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ałość\projekt\"/>
    </mc:Choice>
  </mc:AlternateContent>
  <xr:revisionPtr revIDLastSave="0" documentId="13_ncr:1_{F696C59F-1361-41AC-B3CE-74B01F26265B}" xr6:coauthVersionLast="43" xr6:coauthVersionMax="43" xr10:uidLastSave="{00000000-0000-0000-0000-000000000000}"/>
  <bookViews>
    <workbookView xWindow="-110" yWindow="-110" windowWidth="19420" windowHeight="11020" tabRatio="826" firstSheet="2" activeTab="6" xr2:uid="{C844D38B-6E39-427E-ADE8-DC1390A8343E}"/>
  </bookViews>
  <sheets>
    <sheet name="(1)Bilans" sheetId="2" r:id="rId1"/>
    <sheet name="(2)Rachunek zysków i strat" sheetId="3" r:id="rId2"/>
    <sheet name="(3)Rachunek przepływów pienieżn" sheetId="4" r:id="rId3"/>
    <sheet name="(4)Zmiany w strukturze KW" sheetId="5" r:id="rId4"/>
    <sheet name="(5)Ocena płynności" sheetId="8" r:id="rId5"/>
    <sheet name="(6)Analiza rentowności" sheetId="6" r:id="rId6"/>
    <sheet name="(7)Analiza sytuacji maj-kap" sheetId="9" r:id="rId7"/>
    <sheet name="(8)Analiza sytuacji rynkowej sp" sheetId="10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" i="9" l="1"/>
  <c r="D40" i="9"/>
  <c r="E40" i="9"/>
  <c r="B40" i="9"/>
  <c r="H21" i="9"/>
  <c r="H22" i="9"/>
  <c r="H20" i="9"/>
  <c r="G23" i="9"/>
  <c r="G22" i="9"/>
  <c r="G21" i="9"/>
  <c r="G20" i="9"/>
  <c r="B22" i="9"/>
  <c r="C22" i="9"/>
  <c r="D22" i="9"/>
  <c r="E22" i="9"/>
  <c r="F22" i="9" l="1"/>
  <c r="B45" i="8"/>
  <c r="E8" i="10" l="1"/>
  <c r="I19" i="10" s="1"/>
  <c r="R13" i="10"/>
  <c r="I21" i="10"/>
  <c r="I20" i="10"/>
  <c r="I18" i="10"/>
  <c r="I17" i="10"/>
  <c r="N12" i="10"/>
  <c r="M12" i="10"/>
  <c r="L12" i="10"/>
  <c r="K12" i="10"/>
  <c r="D13" i="10"/>
  <c r="E13" i="10"/>
  <c r="F13" i="10"/>
  <c r="C13" i="10"/>
  <c r="D8" i="10"/>
  <c r="F8" i="10"/>
  <c r="C8" i="10"/>
  <c r="D3" i="10"/>
  <c r="L8" i="10" s="1"/>
  <c r="E3" i="10"/>
  <c r="M8" i="10" s="1"/>
  <c r="F3" i="10"/>
  <c r="N8" i="10" s="1"/>
  <c r="C3" i="10"/>
  <c r="K8" i="10" s="1"/>
  <c r="L3" i="10"/>
  <c r="M3" i="10"/>
  <c r="N3" i="10"/>
  <c r="K3" i="10"/>
  <c r="W31" i="8" l="1"/>
  <c r="X31" i="8"/>
  <c r="Y31" i="8"/>
  <c r="V31" i="8"/>
  <c r="W29" i="8"/>
  <c r="X29" i="8"/>
  <c r="Y29" i="8"/>
  <c r="V29" i="8"/>
  <c r="W27" i="8"/>
  <c r="X27" i="8"/>
  <c r="Y27" i="8"/>
  <c r="V27" i="8"/>
  <c r="U10" i="8"/>
  <c r="V14" i="8"/>
  <c r="W14" i="8"/>
  <c r="X14" i="8"/>
  <c r="U14" i="8"/>
  <c r="V12" i="8"/>
  <c r="W12" i="8"/>
  <c r="X12" i="8"/>
  <c r="U12" i="8"/>
  <c r="V10" i="8"/>
  <c r="W10" i="8"/>
  <c r="X10" i="8"/>
  <c r="F24" i="9" l="1"/>
  <c r="L49" i="9" l="1"/>
  <c r="J49" i="9"/>
  <c r="K49" i="9"/>
  <c r="I49" i="9"/>
  <c r="L59" i="6"/>
  <c r="M59" i="6"/>
  <c r="N59" i="6"/>
  <c r="K59" i="6"/>
  <c r="K54" i="6" l="1"/>
  <c r="K50" i="6" s="1"/>
  <c r="N54" i="6"/>
  <c r="N50" i="6" s="1"/>
  <c r="M54" i="6"/>
  <c r="M50" i="6" s="1"/>
  <c r="L54" i="6"/>
  <c r="L50" i="6" s="1"/>
  <c r="K78" i="6"/>
  <c r="L78" i="6"/>
  <c r="M78" i="6"/>
  <c r="J78" i="6"/>
  <c r="K73" i="6"/>
  <c r="L73" i="6"/>
  <c r="M73" i="6"/>
  <c r="J73" i="6"/>
  <c r="K66" i="6"/>
  <c r="L66" i="6"/>
  <c r="M66" i="6"/>
  <c r="J66" i="6"/>
  <c r="K65" i="6"/>
  <c r="D67" i="6" s="1"/>
  <c r="L65" i="6"/>
  <c r="E67" i="6" s="1"/>
  <c r="M65" i="6"/>
  <c r="F67" i="6" s="1"/>
  <c r="J65" i="6"/>
  <c r="C67" i="6" s="1"/>
  <c r="D59" i="6"/>
  <c r="E59" i="6"/>
  <c r="F59" i="6"/>
  <c r="C59" i="6"/>
  <c r="D54" i="6"/>
  <c r="E54" i="6"/>
  <c r="F54" i="6"/>
  <c r="C54" i="6"/>
  <c r="I22" i="6" l="1"/>
  <c r="J22" i="6"/>
  <c r="K22" i="6"/>
  <c r="H22" i="6"/>
  <c r="C22" i="6"/>
  <c r="D73" i="6" s="1"/>
  <c r="D22" i="6"/>
  <c r="E22" i="6"/>
  <c r="B22" i="6"/>
  <c r="F73" i="6" l="1"/>
  <c r="E73" i="6"/>
  <c r="C73" i="6"/>
  <c r="C54" i="8"/>
  <c r="D54" i="8"/>
  <c r="E54" i="8"/>
  <c r="B54" i="8"/>
  <c r="O10" i="8"/>
  <c r="P10" i="8"/>
  <c r="Q10" i="8"/>
  <c r="N10" i="8"/>
  <c r="C28" i="8"/>
  <c r="D28" i="8"/>
  <c r="E28" i="8"/>
  <c r="B28" i="8"/>
  <c r="I67" i="8"/>
  <c r="O54" i="8"/>
  <c r="N54" i="8"/>
  <c r="H67" i="8"/>
  <c r="C67" i="8"/>
  <c r="B67" i="8"/>
  <c r="F5" i="9" l="1"/>
  <c r="F6" i="9"/>
  <c r="F7" i="9"/>
  <c r="F9" i="9"/>
  <c r="F10" i="9"/>
  <c r="F13" i="9"/>
  <c r="F15" i="9"/>
  <c r="F16" i="9"/>
  <c r="F20" i="9"/>
  <c r="F23" i="9"/>
  <c r="F4" i="9"/>
  <c r="C50" i="9"/>
  <c r="D50" i="9"/>
  <c r="E50" i="9"/>
  <c r="B50" i="9"/>
  <c r="C28" i="9"/>
  <c r="D28" i="9"/>
  <c r="E28" i="9"/>
  <c r="B28" i="9"/>
  <c r="J15" i="9" l="1"/>
  <c r="I15" i="9"/>
  <c r="H5" i="9"/>
  <c r="H16" i="9"/>
  <c r="G16" i="9"/>
  <c r="H10" i="9"/>
  <c r="G10" i="9"/>
  <c r="H7" i="9"/>
  <c r="H6" i="9"/>
  <c r="G7" i="9"/>
  <c r="G6" i="9"/>
  <c r="G5" i="9"/>
  <c r="C21" i="9"/>
  <c r="C19" i="9" s="1"/>
  <c r="D21" i="9"/>
  <c r="D19" i="9" s="1"/>
  <c r="E21" i="9"/>
  <c r="E19" i="9" s="1"/>
  <c r="B21" i="9"/>
  <c r="B19" i="9" s="1"/>
  <c r="C18" i="9"/>
  <c r="D18" i="9"/>
  <c r="G18" i="9" s="1"/>
  <c r="E18" i="9"/>
  <c r="B18" i="9"/>
  <c r="C17" i="9"/>
  <c r="D17" i="9"/>
  <c r="G17" i="9" s="1"/>
  <c r="E17" i="9"/>
  <c r="B17" i="9"/>
  <c r="C12" i="9"/>
  <c r="D12" i="9"/>
  <c r="G12" i="9" s="1"/>
  <c r="E12" i="9"/>
  <c r="B12" i="9"/>
  <c r="C11" i="9"/>
  <c r="D11" i="9"/>
  <c r="G11" i="9" s="1"/>
  <c r="E11" i="9"/>
  <c r="B11" i="9"/>
  <c r="E8" i="9"/>
  <c r="C8" i="9"/>
  <c r="D8" i="9"/>
  <c r="G8" i="9" s="1"/>
  <c r="B8" i="9"/>
  <c r="F19" i="9" l="1"/>
  <c r="I19" i="9"/>
  <c r="J31" i="9"/>
  <c r="J27" i="9"/>
  <c r="C60" i="9"/>
  <c r="C57" i="9"/>
  <c r="C63" i="9" s="1"/>
  <c r="C29" i="9"/>
  <c r="I31" i="9"/>
  <c r="I27" i="9"/>
  <c r="B60" i="9"/>
  <c r="B29" i="9"/>
  <c r="B57" i="9"/>
  <c r="B63" i="9" s="1"/>
  <c r="L31" i="9"/>
  <c r="L27" i="9"/>
  <c r="E29" i="9"/>
  <c r="E60" i="9"/>
  <c r="E57" i="9"/>
  <c r="E63" i="9" s="1"/>
  <c r="F11" i="9"/>
  <c r="F12" i="9"/>
  <c r="F17" i="9"/>
  <c r="F21" i="9"/>
  <c r="K31" i="9"/>
  <c r="D57" i="9"/>
  <c r="D63" i="9" s="1"/>
  <c r="J19" i="9"/>
  <c r="H11" i="9"/>
  <c r="F8" i="9"/>
  <c r="H12" i="9"/>
  <c r="B41" i="9"/>
  <c r="C41" i="9"/>
  <c r="F18" i="9"/>
  <c r="E41" i="9"/>
  <c r="H17" i="9"/>
  <c r="D41" i="9"/>
  <c r="H8" i="9"/>
  <c r="H18" i="9"/>
  <c r="Q62" i="8"/>
  <c r="P62" i="8"/>
  <c r="O62" i="8"/>
  <c r="N62" i="8"/>
  <c r="K62" i="8"/>
  <c r="J62" i="8"/>
  <c r="I62" i="8"/>
  <c r="H62" i="8"/>
  <c r="E62" i="8"/>
  <c r="D62" i="8"/>
  <c r="C62" i="8"/>
  <c r="B62" i="8"/>
  <c r="K54" i="8"/>
  <c r="J54" i="8"/>
  <c r="I54" i="8"/>
  <c r="H54" i="8"/>
  <c r="K45" i="8"/>
  <c r="J45" i="8"/>
  <c r="I45" i="8"/>
  <c r="H45" i="8"/>
  <c r="E45" i="8"/>
  <c r="D45" i="8"/>
  <c r="C45" i="8"/>
  <c r="E37" i="8"/>
  <c r="D37" i="8"/>
  <c r="C37" i="8"/>
  <c r="B37" i="8"/>
  <c r="Q28" i="8"/>
  <c r="P28" i="8"/>
  <c r="O28" i="8"/>
  <c r="N28" i="8"/>
  <c r="K28" i="8"/>
  <c r="J28" i="8"/>
  <c r="I28" i="8"/>
  <c r="H28" i="8"/>
  <c r="Q18" i="8"/>
  <c r="P18" i="8"/>
  <c r="O18" i="8"/>
  <c r="N18" i="8"/>
  <c r="K18" i="8"/>
  <c r="J18" i="8"/>
  <c r="I18" i="8"/>
  <c r="H18" i="8"/>
  <c r="K10" i="8"/>
  <c r="J10" i="8"/>
  <c r="I10" i="8"/>
  <c r="H10" i="8"/>
  <c r="E10" i="8"/>
  <c r="D10" i="8"/>
  <c r="C10" i="8"/>
  <c r="B10" i="8"/>
  <c r="D29" i="9" l="1"/>
  <c r="K27" i="9"/>
  <c r="D60" i="9"/>
  <c r="L44" i="6"/>
  <c r="M44" i="6"/>
  <c r="N44" i="6"/>
  <c r="K44" i="6"/>
  <c r="D50" i="6"/>
  <c r="E50" i="6"/>
  <c r="F50" i="6"/>
  <c r="C50" i="6"/>
  <c r="D44" i="6"/>
  <c r="E44" i="6"/>
  <c r="F44" i="6"/>
  <c r="C44" i="6"/>
  <c r="D37" i="6"/>
  <c r="E37" i="6"/>
  <c r="F37" i="6"/>
  <c r="C37" i="6"/>
  <c r="L32" i="6"/>
  <c r="M32" i="6"/>
  <c r="N32" i="6"/>
  <c r="D32" i="6"/>
  <c r="E32" i="6"/>
  <c r="F32" i="6"/>
  <c r="C32" i="6"/>
  <c r="K32" i="6"/>
  <c r="L26" i="6"/>
  <c r="M26" i="6"/>
  <c r="N26" i="6"/>
  <c r="K26" i="6"/>
  <c r="D26" i="6"/>
  <c r="E26" i="6"/>
  <c r="F26" i="6"/>
  <c r="C26" i="6"/>
  <c r="C19" i="6"/>
  <c r="D19" i="6"/>
  <c r="E19" i="6"/>
  <c r="B19" i="6"/>
  <c r="C16" i="6"/>
  <c r="D16" i="6"/>
  <c r="E16" i="6"/>
  <c r="B16" i="6"/>
  <c r="C4" i="6"/>
  <c r="D4" i="6"/>
  <c r="E4" i="6"/>
  <c r="B4" i="6"/>
</calcChain>
</file>

<file path=xl/sharedStrings.xml><?xml version="1.0" encoding="utf-8"?>
<sst xmlns="http://schemas.openxmlformats.org/spreadsheetml/2006/main" count="274" uniqueCount="226">
  <si>
    <t>BILANS</t>
  </si>
  <si>
    <t>Aktywa trwałe</t>
  </si>
  <si>
    <t>Rzeczowe aktywa trwałe</t>
  </si>
  <si>
    <t>Wartości niematerialne</t>
  </si>
  <si>
    <t>Aktywa z tytułu odroczonego podatku dochodowego</t>
  </si>
  <si>
    <t>Inwestycje długoterminowe</t>
  </si>
  <si>
    <t>Nierychomości inwestycyjne</t>
  </si>
  <si>
    <t>Należności długoterminowe pozostałe</t>
  </si>
  <si>
    <t>Aktywa obrotowe</t>
  </si>
  <si>
    <t>Zapasy</t>
  </si>
  <si>
    <t>Należności handlowe</t>
  </si>
  <si>
    <t>Należności z tytułu podatku dochodowego</t>
  </si>
  <si>
    <t>Należności krótkoterminowe pozostałe</t>
  </si>
  <si>
    <t>Aktywa finansowe</t>
  </si>
  <si>
    <t>Środki pieniężne i ich ekwiwalenty</t>
  </si>
  <si>
    <t>Aktywa razem</t>
  </si>
  <si>
    <t>PASYWA</t>
  </si>
  <si>
    <t>AKTYWA</t>
  </si>
  <si>
    <t>Kapitał własny</t>
  </si>
  <si>
    <t>Kapitał podstawowy</t>
  </si>
  <si>
    <t>Kapitał zapasowy ze sprzedaży akcji pow.ceny nom.</t>
  </si>
  <si>
    <t>Kapitał zapasowy</t>
  </si>
  <si>
    <t>Kapitał z emisji opcji dla kadry zarządczej</t>
  </si>
  <si>
    <t>Pozostały kapitał rezerwowy</t>
  </si>
  <si>
    <t>Zyski zatrzymane</t>
  </si>
  <si>
    <t>Zyski netto</t>
  </si>
  <si>
    <t>Zobowiązania długoterminowe</t>
  </si>
  <si>
    <t>Kredyty i pożyczki</t>
  </si>
  <si>
    <t>Rezerwa z tytułu odroczonego podatku dochodowego</t>
  </si>
  <si>
    <t>Zobowiaząnia długoterminowe i inne</t>
  </si>
  <si>
    <t>Rezerwa na świadczenia pracownicze</t>
  </si>
  <si>
    <t>Zobowiązania krótkoterminowe</t>
  </si>
  <si>
    <t>Zobowiązania handlowe</t>
  </si>
  <si>
    <t>Zobowiązania z tytułu podatku dochodowego</t>
  </si>
  <si>
    <t>Pozostałe zobowiązania oraz inne rezerwy krótk.</t>
  </si>
  <si>
    <t>Pasywa razem</t>
  </si>
  <si>
    <t>RACHUNEK ZYSKÓW I STRAT</t>
  </si>
  <si>
    <t>Przychody ze sprzedaży</t>
  </si>
  <si>
    <t>przych. Netto ze sprz. Produktów</t>
  </si>
  <si>
    <t>przych.netto ze sprz towarów i materiałów</t>
  </si>
  <si>
    <t>Koszty sprzedanych produktów, tow.,mat</t>
  </si>
  <si>
    <t>Koszt wytworzenia sprz.produktów</t>
  </si>
  <si>
    <t>wartość sprzedanych tow. i mat.</t>
  </si>
  <si>
    <t>Zysk brutto ze sprzedaży</t>
  </si>
  <si>
    <t>pozostałe przychody operacyjne</t>
  </si>
  <si>
    <t>koszty sprzedaży</t>
  </si>
  <si>
    <t>pozostałe koszty operacyjne</t>
  </si>
  <si>
    <t>Zysk na działalności operacyjnej</t>
  </si>
  <si>
    <t>Przychody finansowe</t>
  </si>
  <si>
    <t>koszty finansowe</t>
  </si>
  <si>
    <t>Zysk przed opodatkowaniem</t>
  </si>
  <si>
    <t>podatek dochodowy</t>
  </si>
  <si>
    <t xml:space="preserve">Zysk netto </t>
  </si>
  <si>
    <t>koszty ogólnego zarządu</t>
  </si>
  <si>
    <t>RACHUNEK PRZEPŁYWÓW PIENIĘŻNYCH</t>
  </si>
  <si>
    <t>Przepływy środków pieniężnych z działalności operacyjnej</t>
  </si>
  <si>
    <t>Zysk(strata) przed opodatkowaniem</t>
  </si>
  <si>
    <t>korekty razem</t>
  </si>
  <si>
    <t>amortyzacja</t>
  </si>
  <si>
    <t>zmiany w kapitale obrotowym</t>
  </si>
  <si>
    <t>Przepływy pieniężne netto z działalnośći operacyjnej</t>
  </si>
  <si>
    <t>Przepływy środków pieniężnych z działalności inwestycyjnej</t>
  </si>
  <si>
    <t>Przepływy pieniężne netto z działalnośći inwestycyjnej</t>
  </si>
  <si>
    <t>Przepływy środków netto z działalności finansowej</t>
  </si>
  <si>
    <t>Dywidendy wypłacone</t>
  </si>
  <si>
    <t>Przepływy pieniężne netto z działalności finansowej</t>
  </si>
  <si>
    <t>Przepływy pieniężne netto razem</t>
  </si>
  <si>
    <t>Środki pieniężne na początek okresu</t>
  </si>
  <si>
    <t>Środki pieniężne na koniec okresu</t>
  </si>
  <si>
    <t>STATYCZNA ANALIZA PŁYNNOŚCI</t>
  </si>
  <si>
    <t>Wskaźniki :</t>
  </si>
  <si>
    <t>WPB</t>
  </si>
  <si>
    <t>2.Wskaźnik płynności szybkiej(WPS)</t>
  </si>
  <si>
    <t>WPS</t>
  </si>
  <si>
    <t>1.Wskaźnik środków pieniężnych (WSP)</t>
  </si>
  <si>
    <t>3.Wskaźnik płynności bieżącej(WPB)</t>
  </si>
  <si>
    <t>WSP</t>
  </si>
  <si>
    <t>DYNAMICZNA ANALIZA PŁYNNOŚCI</t>
  </si>
  <si>
    <t>1. Przepływy pieniężne netto</t>
  </si>
  <si>
    <t>(wpływy pieniężne – wydatki pieniężne)</t>
  </si>
  <si>
    <t>przepływy pieniężne netto</t>
  </si>
  <si>
    <t>2. Nadwyżka finansowa</t>
  </si>
  <si>
    <t xml:space="preserve"> zysk netto + amortyzacja </t>
  </si>
  <si>
    <t>nadwyżka netto</t>
  </si>
  <si>
    <t xml:space="preserve">3.indeks udziału zysku netto </t>
  </si>
  <si>
    <t>indeks udziału zysku netto</t>
  </si>
  <si>
    <t xml:space="preserve">4. indeks udziału amortyzacji </t>
  </si>
  <si>
    <t>indeks udziału amortyzacji</t>
  </si>
  <si>
    <t>WGA</t>
  </si>
  <si>
    <t>5. wskaźnik wydajności gotówkowej majątku</t>
  </si>
  <si>
    <t xml:space="preserve">6. wskaźnik wydajności gotówkowej sprzedaży </t>
  </si>
  <si>
    <t>WGS</t>
  </si>
  <si>
    <t>7.Wskaźnik wystarczalności gotówki na spłatę zobowiązań</t>
  </si>
  <si>
    <t>WGSZ</t>
  </si>
  <si>
    <t>8. Przepływy pieniężne z poszcz. Form działalności</t>
  </si>
  <si>
    <t>przepływy z dz. inwestycyjnej</t>
  </si>
  <si>
    <t>przepływy z dz. finansowej</t>
  </si>
  <si>
    <t>przepływy z dz. operacyjnej</t>
  </si>
  <si>
    <t>Wynik finansowy ze sprzedaży</t>
  </si>
  <si>
    <t>Wynik finansowy netto</t>
  </si>
  <si>
    <t>Wynik finansowy brutto</t>
  </si>
  <si>
    <t>Wynik operacyjny</t>
  </si>
  <si>
    <t>[w mln zł]</t>
  </si>
  <si>
    <t>Wskaźnik rentowności obrotu brutto</t>
  </si>
  <si>
    <t>Rentowność sprzedaży</t>
  </si>
  <si>
    <t>Wskaźnik rentowności operacyjnych aktywów</t>
  </si>
  <si>
    <t>Wskaźnik poziomu kosztów</t>
  </si>
  <si>
    <t>!aktywa operacyjne=ogółem</t>
  </si>
  <si>
    <t>9.Kapitał obrotowy netto(majątkowa)</t>
  </si>
  <si>
    <t>10.Kapitał obrotowy netto(kapitałowej)</t>
  </si>
  <si>
    <t>kapitał obrotowy netto(majątkowa)</t>
  </si>
  <si>
    <t>kapitał obrotowy netto(kapitałowej)</t>
  </si>
  <si>
    <t>11.Indeks udziału należności krótkoterminowych w aktywach ogółem</t>
  </si>
  <si>
    <t>12.Indeks udziału należności krótkoterminowych w aktywach obrotowych</t>
  </si>
  <si>
    <t>Indeks udziału należności krótkoterminowych w aktywach ogółem</t>
  </si>
  <si>
    <t>Indeks udziału należności krótkoterminowych w aktywach obrotowych</t>
  </si>
  <si>
    <t xml:space="preserve"> Indeks udziału zobowiązań krótkoterminowych w pasywach ogółem</t>
  </si>
  <si>
    <t>Indeks udziału zobowiązań krótkoterminowych w zobowiązaniach ogółem</t>
  </si>
  <si>
    <t>Wskaźnik relacji zobowiązań krótkoterminowych do zobowiązań długoterminowych</t>
  </si>
  <si>
    <t>Należności długoterminowe</t>
  </si>
  <si>
    <t>Aktywa z tytułu odroczonego podatku dochodowego jako  Długoterminowe rozliczenia międzyokresowe pomijamy</t>
  </si>
  <si>
    <t>Dynamika</t>
  </si>
  <si>
    <t>2018/2017</t>
  </si>
  <si>
    <t>Należności krótkoterminowe</t>
  </si>
  <si>
    <t>Inwestycje krótkoterminowe</t>
  </si>
  <si>
    <t>Kapitały zapasowe i rezerwowe</t>
  </si>
  <si>
    <t>Kapitały obce po korekcie</t>
  </si>
  <si>
    <t>Kredyty krótkoterminowe i zbw. przeterminowane</t>
  </si>
  <si>
    <t>-</t>
  </si>
  <si>
    <t>Struktura wewnętrzna</t>
  </si>
  <si>
    <t>złota zasada bilansowa</t>
  </si>
  <si>
    <t>złota zasada bankowa</t>
  </si>
  <si>
    <t>długoterminowy</t>
  </si>
  <si>
    <t>krótkoterminowy</t>
  </si>
  <si>
    <t>1.</t>
  </si>
  <si>
    <t>2.</t>
  </si>
  <si>
    <t>wskaźnik struktury aktywów</t>
  </si>
  <si>
    <t>wskaźnik struktury pasywów</t>
  </si>
  <si>
    <t>wskaźnik dzwigni kapitałówej</t>
  </si>
  <si>
    <t>wskaźnik ogólnej sytuacji finansowej</t>
  </si>
  <si>
    <t>16. Indeks udziału zobowiązań przeterminowanych w zobowiązaniach krótkoterminowych.</t>
  </si>
  <si>
    <t>17. Indeks udziału zobowiązań przeterminowanych w zobowiązaniach ogółem.</t>
  </si>
  <si>
    <t>zobowiązania przeterminowane</t>
  </si>
  <si>
    <t>należności przeterminowane</t>
  </si>
  <si>
    <t>[do 1 miesiąca]</t>
  </si>
  <si>
    <t>13. Indeks udziału należności przeterminowanych w aktywach ogółem</t>
  </si>
  <si>
    <r>
      <t>·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Indeks udziału należności przeterminowanych w aktywach ogółem</t>
    </r>
  </si>
  <si>
    <t>14. Indeks udziału zobowiązań krótkoterminowych w pasywach ogółem</t>
  </si>
  <si>
    <t>15.Indeks udziału zobowiązań krótkoterminowych w zobowiązaniach ogółem</t>
  </si>
  <si>
    <t>16.Wskaźnik relacji zobowiązań krótkoterminowych do zobowiązań długoterminowych</t>
  </si>
  <si>
    <t>Indeks udziału zobowiązań przeterminowanych w zobowiązaniach ogółem</t>
  </si>
  <si>
    <t>Indeks udziału zobowiązań przeterminowanych w zobowiązaniach krótkoterminowych</t>
  </si>
  <si>
    <t>współczynnik oddziaływania sfery pozaoperacyjnej(zysk z działalności operacyjnej/zysk netto)</t>
  </si>
  <si>
    <t xml:space="preserve"> relacji(zysk z działalności operacyjnej - zysk netto)</t>
  </si>
  <si>
    <t>ANALIZA RENTOWNOŚCI W UJĘCIU WZGLĘDNYM</t>
  </si>
  <si>
    <t>ANALIZA RENTOWNOŚCI W UJĘCIU BEZWZGLĘDNYM</t>
  </si>
  <si>
    <t>IC(AKTYWA TRWAŁE + KAPITAŁ OBROTOWY NETTO)</t>
  </si>
  <si>
    <t>NOPAT</t>
  </si>
  <si>
    <t>EVA(NOPAT-WACC*IC)</t>
  </si>
  <si>
    <t>1. Wskaźnik rentowności obrotu brutto</t>
  </si>
  <si>
    <t>Wskaźnik rentowności obrotu netto</t>
  </si>
  <si>
    <t>Stopa marży brutto</t>
  </si>
  <si>
    <t>Skorygowany wskaźnik rentowności operacyjnej</t>
  </si>
  <si>
    <t>2. Wskaźnik rentownosci obrotu netto</t>
  </si>
  <si>
    <t>3. Rentowność sprzedaży</t>
  </si>
  <si>
    <t>4. stopa marży brutto</t>
  </si>
  <si>
    <t>5. Skorygowany wsk. Rentowności operacyjnej</t>
  </si>
  <si>
    <t>6.</t>
  </si>
  <si>
    <t>Rentowność majątki ogółem</t>
  </si>
  <si>
    <t>Wskaźnik rentowności kapitału własnego</t>
  </si>
  <si>
    <t>Wskaźnik rentowności kapitału akcyjnego</t>
  </si>
  <si>
    <t>Wskaźnik rentowności kapitałów stałych</t>
  </si>
  <si>
    <t>Indeks udziału przychodów ze sprzedaży produktów w przychodach ogółem</t>
  </si>
  <si>
    <t>koszty z uzyskannia przychodów</t>
  </si>
  <si>
    <t>przychody z cał. Dz,</t>
  </si>
  <si>
    <t>7. Rentowność majątku ogółem</t>
  </si>
  <si>
    <t>8. Wskaźnik rentowności operacyjnych aktywów</t>
  </si>
  <si>
    <t>9. wskaźnik rentowności kapitału własnego</t>
  </si>
  <si>
    <t>10. Wskaźnik rentowności kapitału akcyjnego</t>
  </si>
  <si>
    <t>11. Wskaźnik rentowności kapitałów stałych</t>
  </si>
  <si>
    <t>12. indeks udziału przychodów ze sprzedaży produktów</t>
  </si>
  <si>
    <t>14. Wskaźnik poziomu kosztów</t>
  </si>
  <si>
    <t>ROIC</t>
  </si>
  <si>
    <t>ROA</t>
  </si>
  <si>
    <t>ROI</t>
  </si>
  <si>
    <t>ROE</t>
  </si>
  <si>
    <t>rynkowa wartość kap akcyjnego=cena akcji sp*liczba akcji</t>
  </si>
  <si>
    <t xml:space="preserve">(w tysiącach złotych polskich) </t>
  </si>
  <si>
    <t xml:space="preserve"> </t>
  </si>
  <si>
    <t>13. indeks udziału ogółem kosztu własnego przychodów ze sprzedaży</t>
  </si>
  <si>
    <t>indeks udziału ogółem kosztu własnego przychodów ze sprzedaży</t>
  </si>
  <si>
    <t>wskaźnik zastosowania dla kapitału własnego</t>
  </si>
  <si>
    <t>wskaźnik zastosowania dla kapitału obcego</t>
  </si>
  <si>
    <t>4.</t>
  </si>
  <si>
    <t>3.</t>
  </si>
  <si>
    <t>iloraz pokrycia majątku kapitałem</t>
  </si>
  <si>
    <t>Wskaźnik ogólnej sytuacji finansowej</t>
  </si>
  <si>
    <t>5.</t>
  </si>
  <si>
    <t>Wskaźnik wykorzystania aktywów ogółem</t>
  </si>
  <si>
    <t>7.</t>
  </si>
  <si>
    <t>8.</t>
  </si>
  <si>
    <t>9.</t>
  </si>
  <si>
    <t>Wynik finansowy</t>
  </si>
  <si>
    <t>Wskaźnik środków pieniężnych</t>
  </si>
  <si>
    <t>Wskaźnik płynności szybkiej</t>
  </si>
  <si>
    <t>Wskaźnik płynności bieżącej</t>
  </si>
  <si>
    <t>Kapitał obrotowy netto(majątkowa)</t>
  </si>
  <si>
    <t>86 777</t>
  </si>
  <si>
    <t>24 430</t>
  </si>
  <si>
    <t xml:space="preserve">2. </t>
  </si>
  <si>
    <t>wartość księgowa przedsiębiorstwa</t>
  </si>
  <si>
    <r>
      <rPr>
        <sz val="7"/>
        <color theme="1"/>
        <rFont val="Times New Roman"/>
        <family val="1"/>
        <charset val="238"/>
      </rPr>
      <t xml:space="preserve"> </t>
    </r>
    <r>
      <rPr>
        <sz val="11"/>
        <color theme="1"/>
        <rFont val="Times New Roman"/>
        <family val="1"/>
        <charset val="238"/>
      </rPr>
      <t>Kapitalizacja giełdowa na koniec okresu.</t>
    </r>
  </si>
  <si>
    <t>cena rynkowa/zysk</t>
  </si>
  <si>
    <t>cena rynkowa/wartość księgowa</t>
  </si>
  <si>
    <t xml:space="preserve"> Cena rynkowa/ Zysk operacyjny.</t>
  </si>
  <si>
    <t>C/ZO</t>
  </si>
  <si>
    <t>C/Z</t>
  </si>
  <si>
    <t>C/WK</t>
  </si>
  <si>
    <t>WK</t>
  </si>
  <si>
    <t>Stopa dywidendy</t>
  </si>
  <si>
    <t>liczba akcji</t>
  </si>
  <si>
    <t>cena akcji</t>
  </si>
  <si>
    <t>Dywidendy</t>
  </si>
  <si>
    <t>Dynamika 2017/2018</t>
  </si>
  <si>
    <t>(x1-x0)/x0</t>
  </si>
  <si>
    <t>kapitalizacja giełdowa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</si>
</sst>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\ _z_ł_-;\-* #,##0\ _z_ł_-;_-* &quot;-&quot;\ _z_ł_-;_-@_-"/>
    <numFmt numFmtId="165" formatCode="_-* #,##0.00\ _z_ł_-;\-* #,##0.00\ _z_ł_-;_-* &quot;-&quot;??\ _z_ł_-;_-@_-"/>
    <numFmt numFmtId="166" formatCode="#,##0\ _z_ł"/>
    <numFmt numFmtId="167" formatCode="_-* #,##0.00000\ _z_ł_-;\-* #,##0.00000\ _z_ł_-;_-* &quot;-&quot;?????\ _z_ł_-;_-@_-"/>
    <numFmt numFmtId="168" formatCode="_-* #,##0.0000\ _z_ł_-;\-* #,##0.0000\ _z_ł_-;_-* &quot;-&quot;????\ _z_ł_-;_-@_-"/>
    <numFmt numFmtId="169" formatCode="_-* #,##0.000\ _z_ł_-;\-* #,##0.000\ _z_ł_-;_-* &quot;-&quot;???\ _z_ł_-;_-@_-"/>
    <numFmt numFmtId="170" formatCode="0.000"/>
  </numFmts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  <font>
      <sz val="11"/>
      <color rgb="FF000000"/>
      <name val="Calibri"/>
      <family val="2"/>
      <charset val="238"/>
      <scheme val="minor"/>
    </font>
    <font>
      <sz val="11"/>
      <color theme="1"/>
      <name val="Arial"/>
      <family val="2"/>
      <charset val="238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EEAF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18" borderId="0" applyNumberFormat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164" fontId="0" fillId="0" borderId="0" xfId="0" applyNumberFormat="1"/>
    <xf numFmtId="164" fontId="0" fillId="3" borderId="0" xfId="0" applyNumberFormat="1" applyFill="1"/>
    <xf numFmtId="166" fontId="0" fillId="2" borderId="0" xfId="0" applyNumberFormat="1" applyFill="1"/>
    <xf numFmtId="166" fontId="0" fillId="0" borderId="0" xfId="0" applyNumberFormat="1"/>
    <xf numFmtId="166" fontId="0" fillId="3" borderId="0" xfId="0" applyNumberFormat="1" applyFill="1"/>
    <xf numFmtId="0" fontId="0" fillId="3" borderId="1" xfId="0" applyFill="1" applyBorder="1"/>
    <xf numFmtId="164" fontId="0" fillId="3" borderId="1" xfId="0" applyNumberFormat="1" applyFill="1" applyBorder="1"/>
    <xf numFmtId="0" fontId="1" fillId="0" borderId="0" xfId="0" applyFont="1"/>
    <xf numFmtId="0" fontId="0" fillId="13" borderId="1" xfId="0" applyFill="1" applyBorder="1"/>
    <xf numFmtId="164" fontId="0" fillId="13" borderId="1" xfId="0" applyNumberFormat="1" applyFill="1" applyBorder="1"/>
    <xf numFmtId="0" fontId="0" fillId="9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14" borderId="0" xfId="0" applyFill="1" applyBorder="1"/>
    <xf numFmtId="0" fontId="0" fillId="15" borderId="1" xfId="0" applyFill="1" applyBorder="1"/>
    <xf numFmtId="167" fontId="0" fillId="15" borderId="1" xfId="0" applyNumberFormat="1" applyFill="1" applyBorder="1"/>
    <xf numFmtId="9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2" borderId="1" xfId="0" applyFill="1" applyBorder="1"/>
    <xf numFmtId="2" fontId="0" fillId="2" borderId="1" xfId="0" applyNumberFormat="1" applyFill="1" applyBorder="1"/>
    <xf numFmtId="10" fontId="0" fillId="16" borderId="0" xfId="0" applyNumberFormat="1" applyFill="1"/>
    <xf numFmtId="10" fontId="0" fillId="17" borderId="0" xfId="0" applyNumberFormat="1" applyFill="1"/>
    <xf numFmtId="0" fontId="2" fillId="15" borderId="1" xfId="0" applyFont="1" applyFill="1" applyBorder="1" applyAlignment="1">
      <alignment horizontal="justify" vertical="center"/>
    </xf>
    <xf numFmtId="167" fontId="0" fillId="9" borderId="1" xfId="0" applyNumberFormat="1" applyFill="1" applyBorder="1"/>
    <xf numFmtId="167" fontId="0" fillId="11" borderId="1" xfId="0" applyNumberFormat="1" applyFill="1" applyBorder="1"/>
    <xf numFmtId="167" fontId="0" fillId="4" borderId="1" xfId="0" applyNumberFormat="1" applyFill="1" applyBorder="1"/>
    <xf numFmtId="167" fontId="0" fillId="3" borderId="1" xfId="0" applyNumberFormat="1" applyFill="1" applyBorder="1"/>
    <xf numFmtId="167" fontId="0" fillId="5" borderId="1" xfId="0" applyNumberFormat="1" applyFill="1" applyBorder="1"/>
    <xf numFmtId="0" fontId="0" fillId="0" borderId="2" xfId="0" applyBorder="1"/>
    <xf numFmtId="0" fontId="0" fillId="0" borderId="4" xfId="0" applyBorder="1"/>
    <xf numFmtId="164" fontId="0" fillId="2" borderId="4" xfId="0" applyNumberFormat="1" applyFill="1" applyBorder="1"/>
    <xf numFmtId="167" fontId="0" fillId="2" borderId="4" xfId="0" applyNumberFormat="1" applyFill="1" applyBorder="1"/>
    <xf numFmtId="0" fontId="0" fillId="2" borderId="3" xfId="0" applyFill="1" applyBorder="1"/>
    <xf numFmtId="0" fontId="0" fillId="0" borderId="1" xfId="0" applyBorder="1"/>
    <xf numFmtId="0" fontId="0" fillId="0" borderId="3" xfId="0" applyBorder="1"/>
    <xf numFmtId="168" fontId="0" fillId="2" borderId="1" xfId="0" applyNumberFormat="1" applyFill="1" applyBorder="1"/>
    <xf numFmtId="0" fontId="0" fillId="2" borderId="1" xfId="0" applyNumberFormat="1" applyFill="1" applyBorder="1"/>
    <xf numFmtId="10" fontId="0" fillId="2" borderId="1" xfId="0" applyNumberFormat="1" applyFill="1" applyBorder="1"/>
    <xf numFmtId="165" fontId="0" fillId="2" borderId="1" xfId="0" applyNumberFormat="1" applyFill="1" applyBorder="1"/>
    <xf numFmtId="0" fontId="0" fillId="0" borderId="1" xfId="0" applyBorder="1" applyAlignment="1">
      <alignment horizontal="left"/>
    </xf>
    <xf numFmtId="0" fontId="4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18" borderId="1" xfId="1" applyFont="1" applyBorder="1"/>
    <xf numFmtId="164" fontId="4" fillId="18" borderId="1" xfId="1" applyNumberFormat="1" applyFont="1" applyBorder="1"/>
    <xf numFmtId="10" fontId="4" fillId="18" borderId="1" xfId="1" applyNumberFormat="1" applyFont="1" applyBorder="1"/>
    <xf numFmtId="9" fontId="6" fillId="18" borderId="1" xfId="1" applyNumberFormat="1" applyFont="1" applyBorder="1"/>
    <xf numFmtId="164" fontId="4" fillId="0" borderId="1" xfId="0" applyNumberFormat="1" applyFont="1" applyBorder="1"/>
    <xf numFmtId="10" fontId="4" fillId="14" borderId="1" xfId="0" applyNumberFormat="1" applyFont="1" applyFill="1" applyBorder="1"/>
    <xf numFmtId="10" fontId="4" fillId="0" borderId="1" xfId="0" applyNumberFormat="1" applyFont="1" applyBorder="1"/>
    <xf numFmtId="0" fontId="4" fillId="3" borderId="1" xfId="0" applyFont="1" applyFill="1" applyBorder="1"/>
    <xf numFmtId="164" fontId="4" fillId="3" borderId="1" xfId="0" applyNumberFormat="1" applyFont="1" applyFill="1" applyBorder="1"/>
    <xf numFmtId="10" fontId="4" fillId="3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0" fillId="14" borderId="1" xfId="0" applyFill="1" applyBorder="1"/>
    <xf numFmtId="0" fontId="7" fillId="19" borderId="8" xfId="0" applyFont="1" applyFill="1" applyBorder="1" applyAlignment="1">
      <alignment vertical="center"/>
    </xf>
    <xf numFmtId="0" fontId="7" fillId="19" borderId="9" xfId="0" applyFont="1" applyFill="1" applyBorder="1" applyAlignment="1">
      <alignment horizontal="right" vertical="center"/>
    </xf>
    <xf numFmtId="0" fontId="7" fillId="19" borderId="10" xfId="0" applyFont="1" applyFill="1" applyBorder="1" applyAlignment="1">
      <alignment vertical="center"/>
    </xf>
    <xf numFmtId="0" fontId="7" fillId="20" borderId="11" xfId="0" applyFont="1" applyFill="1" applyBorder="1" applyAlignment="1">
      <alignment horizontal="right" vertical="center"/>
    </xf>
    <xf numFmtId="3" fontId="7" fillId="20" borderId="11" xfId="0" applyNumberFormat="1" applyFont="1" applyFill="1" applyBorder="1" applyAlignment="1">
      <alignment horizontal="right" vertical="center"/>
    </xf>
    <xf numFmtId="169" fontId="0" fillId="2" borderId="1" xfId="0" applyNumberFormat="1" applyFill="1" applyBorder="1"/>
    <xf numFmtId="170" fontId="0" fillId="2" borderId="1" xfId="0" applyNumberFormat="1" applyFill="1" applyBorder="1"/>
    <xf numFmtId="0" fontId="4" fillId="0" borderId="0" xfId="0" applyFont="1" applyAlignment="1">
      <alignment horizontal="left" vertical="center" indent="4"/>
    </xf>
    <xf numFmtId="0" fontId="4" fillId="0" borderId="1" xfId="0" applyFont="1" applyBorder="1" applyAlignment="1">
      <alignment horizontal="left" vertical="center" indent="4"/>
    </xf>
    <xf numFmtId="164" fontId="0" fillId="2" borderId="1" xfId="0" applyNumberFormat="1" applyFill="1" applyBorder="1"/>
    <xf numFmtId="0" fontId="8" fillId="0" borderId="1" xfId="0" applyFont="1" applyBorder="1" applyAlignment="1">
      <alignment horizontal="left" vertical="center" indent="4"/>
    </xf>
    <xf numFmtId="3" fontId="0" fillId="0" borderId="0" xfId="0" applyNumberFormat="1"/>
    <xf numFmtId="4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9" fontId="4" fillId="18" borderId="1" xfId="1" applyNumberFormat="1" applyFont="1" applyBorder="1" applyAlignment="1">
      <alignment horizontal="center"/>
    </xf>
    <xf numFmtId="9" fontId="4" fillId="18" borderId="1" xfId="1" applyNumberFormat="1" applyFont="1" applyBorder="1" applyAlignment="1">
      <alignment horizontal="right"/>
    </xf>
  </cellXfs>
  <cellStyles count="2">
    <cellStyle name="40% — akcent 1" xfId="1" builtinId="31"/>
    <cellStyle name="Normalny" xfId="0" builtinId="0"/>
  </cellStyles>
  <dxfs count="0"/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</a:t>
            </a:r>
            <a:r>
              <a:rPr lang="pl-PL" baseline="0"/>
              <a:t> sprzedaży a zysk netto</a:t>
            </a:r>
            <a:endParaRPr lang="pl-PL"/>
          </a:p>
        </c:rich>
      </c:tx>
      <c:layout>
        <c:manualLayout>
          <c:xMode val="edge"/>
          <c:yMode val="edge"/>
          <c:x val="0.2520207786526684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07895428399015"/>
          <c:y val="0.17171296296296298"/>
          <c:w val="0.84954420252474616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Wynik ze sprzedaży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'(6)Analiza rentowności'!$B$3:$E$3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'(6)Analiza rentowności'!$B$4:$E$4</c:f>
              <c:numCache>
                <c:formatCode>_-* #\ ##0\ _z_ł_-;\-* #\ ##0\ _z_ł_-;_-* "-"\ _z_ł_-;_-@_-</c:formatCode>
                <c:ptCount val="4"/>
                <c:pt idx="0">
                  <c:v>14674</c:v>
                </c:pt>
                <c:pt idx="1">
                  <c:v>6177</c:v>
                </c:pt>
                <c:pt idx="2">
                  <c:v>373</c:v>
                </c:pt>
                <c:pt idx="3">
                  <c:v>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8-4E65-BBD3-A7A3CB0B7265}"/>
            </c:ext>
          </c:extLst>
        </c:ser>
        <c:ser>
          <c:idx val="2"/>
          <c:order val="1"/>
          <c:tx>
            <c:v>Zysk netto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'(6)Analiza rentowności'!$B$3:$E$3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'(6)Analiza rentowności'!$B$7:$E$7</c:f>
              <c:numCache>
                <c:formatCode>_-* #\ ##0\ _z_ł_-;\-* #\ ##0\ _z_ł_-;_-* "-"\ _z_ł_-;_-@_-</c:formatCode>
                <c:ptCount val="4"/>
                <c:pt idx="0">
                  <c:v>9651</c:v>
                </c:pt>
                <c:pt idx="1">
                  <c:v>4533</c:v>
                </c:pt>
                <c:pt idx="2">
                  <c:v>645</c:v>
                </c:pt>
                <c:pt idx="3">
                  <c:v>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8-4E65-BBD3-A7A3CB0B7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53776"/>
        <c:axId val="402752792"/>
      </c:lineChart>
      <c:catAx>
        <c:axId val="4027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752792"/>
        <c:crosses val="autoZero"/>
        <c:auto val="1"/>
        <c:lblAlgn val="ctr"/>
        <c:lblOffset val="100"/>
        <c:noMultiLvlLbl val="0"/>
      </c:catAx>
      <c:valAx>
        <c:axId val="4027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z_ł_-;\-* #\ ##0\ _z_ł_-;_-* &quot;-&quot;\ _z_ł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75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Struktura kapitały</a:t>
            </a:r>
            <a:r>
              <a:rPr lang="pl-PL" baseline="0"/>
              <a:t> obce a kapitał własny w pasywach rok 2018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D1-44C9-AD47-0749EC8EB1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D1-44C9-AD47-0749EC8EB1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('(7)Analiza sytuacji maj-kap'!$A$15,'(7)Analiza sytuacji maj-kap'!$A$19)</c:f>
              <c:strCache>
                <c:ptCount val="2"/>
                <c:pt idx="0">
                  <c:v>Kapitał własny</c:v>
                </c:pt>
                <c:pt idx="1">
                  <c:v>Kapitały obce po korekcie</c:v>
                </c:pt>
              </c:strCache>
            </c:strRef>
          </c:cat>
          <c:val>
            <c:numRef>
              <c:f>('(7)Analiza sytuacji maj-kap'!$J$15,'(7)Analiza sytuacji maj-kap'!$J$19)</c:f>
              <c:numCache>
                <c:formatCode>0.00%</c:formatCode>
                <c:ptCount val="2"/>
                <c:pt idx="0">
                  <c:v>0.51689622661572165</c:v>
                </c:pt>
                <c:pt idx="1">
                  <c:v>0.4831037733842784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C-4B9C-8699-4E71F700DC2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Struktura aktywów</a:t>
            </a:r>
            <a:r>
              <a:rPr lang="pl-PL" baseline="0"/>
              <a:t> przedsięebiorstwa</a:t>
            </a:r>
            <a:endParaRPr lang="pl-PL"/>
          </a:p>
        </c:rich>
      </c:tx>
      <c:layout>
        <c:manualLayout>
          <c:xMode val="edge"/>
          <c:yMode val="edge"/>
          <c:x val="0.215909667541557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aktywa trwałe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'(7)Analiza sytuacji maj-kap'!$B$3:$E$3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'(7)Analiza sytuacji maj-kap'!$B$4:$E$4</c:f>
              <c:numCache>
                <c:formatCode>_-* #\ ##0\ _z_ł_-;\-* #\ ##0\ _z_ł_-;_-* "-"\ _z_ł_-;_-@_-</c:formatCode>
                <c:ptCount val="4"/>
                <c:pt idx="0">
                  <c:v>40224</c:v>
                </c:pt>
                <c:pt idx="1">
                  <c:v>46126</c:v>
                </c:pt>
                <c:pt idx="2">
                  <c:v>49184</c:v>
                </c:pt>
                <c:pt idx="3">
                  <c:v>39852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B-43A2-8930-E9EE17EE6F9A}"/>
            </c:ext>
          </c:extLst>
        </c:ser>
        <c:ser>
          <c:idx val="1"/>
          <c:order val="1"/>
          <c:tx>
            <c:v>aktywa obrotowe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'(7)Analiza sytuacji maj-kap'!$B$3:$E$3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'(7)Analiza sytuacji maj-kap'!$B$9:$E$9</c:f>
              <c:numCache>
                <c:formatCode>_-* #\ ##0\ _z_ł_-;\-* #\ ##0\ _z_ł_-;_-* "-"\ _z_ł_-;_-@_-</c:formatCode>
                <c:ptCount val="4"/>
                <c:pt idx="0">
                  <c:v>109187</c:v>
                </c:pt>
                <c:pt idx="1">
                  <c:v>96294</c:v>
                </c:pt>
                <c:pt idx="2">
                  <c:v>86964</c:v>
                </c:pt>
                <c:pt idx="3">
                  <c:v>101215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B-43A2-8930-E9EE17EE6F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9592056"/>
        <c:axId val="419592384"/>
      </c:lineChart>
      <c:catAx>
        <c:axId val="419592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9592384"/>
        <c:crosses val="autoZero"/>
        <c:auto val="1"/>
        <c:lblAlgn val="ctr"/>
        <c:lblOffset val="100"/>
        <c:noMultiLvlLbl val="0"/>
      </c:catAx>
      <c:valAx>
        <c:axId val="4195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Wysokość [tys]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* #\ ##0\ _z_ł_-;\-* #\ ##0\ _z_ł_-;_-* &quot;-&quot;\ _z_ł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959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Struktura</a:t>
            </a:r>
            <a:r>
              <a:rPr lang="pl-PL" baseline="0"/>
              <a:t> pasywów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Kapitał Własny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'(7)Analiza sytuacji maj-kap'!$B$3:$E$3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'(7)Analiza sytuacji maj-kap'!$B$15:$E$15</c:f>
              <c:numCache>
                <c:formatCode>_-* #\ ##0\ _z_ł_-;\-* #\ ##0\ _z_ł_-;_-* "-"\ _z_ł_-;_-@_-</c:formatCode>
                <c:ptCount val="4"/>
                <c:pt idx="0">
                  <c:v>65963</c:v>
                </c:pt>
                <c:pt idx="1">
                  <c:v>66536</c:v>
                </c:pt>
                <c:pt idx="2">
                  <c:v>65171</c:v>
                </c:pt>
                <c:pt idx="3">
                  <c:v>72917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F-427C-8F79-FDF1C6CC4AE7}"/>
            </c:ext>
          </c:extLst>
        </c:ser>
        <c:ser>
          <c:idx val="1"/>
          <c:order val="1"/>
          <c:tx>
            <c:v>Kapitał obcy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'(7)Analiza sytuacji maj-kap'!$B$3:$E$3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'(7)Analiza sytuacji maj-kap'!$B$19:$E$19</c:f>
              <c:numCache>
                <c:formatCode>_-* #\ ##0\ _z_ł_-;\-* #\ ##0\ _z_ł_-;_-* "-"\ _z_ł_-;_-@_-</c:formatCode>
                <c:ptCount val="4"/>
                <c:pt idx="0">
                  <c:v>83448</c:v>
                </c:pt>
                <c:pt idx="1">
                  <c:v>75884</c:v>
                </c:pt>
                <c:pt idx="2">
                  <c:v>70977</c:v>
                </c:pt>
                <c:pt idx="3">
                  <c:v>68150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F-427C-8F79-FDF1C6CC4A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8013544"/>
        <c:axId val="448011576"/>
      </c:lineChart>
      <c:catAx>
        <c:axId val="448013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011576"/>
        <c:crosses val="autoZero"/>
        <c:auto val="1"/>
        <c:lblAlgn val="ctr"/>
        <c:lblOffset val="100"/>
        <c:noMultiLvlLbl val="0"/>
      </c:catAx>
      <c:valAx>
        <c:axId val="4480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Wysokość[tys]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* #\ ##0\ _z_ł_-;\-* #\ ##0\ _z_ł_-;_-* &quot;-&quot;\ _z_ł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01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Struktura</a:t>
            </a:r>
            <a:r>
              <a:rPr lang="pl-PL" baseline="0"/>
              <a:t> kapitał obcy 2017 rok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'(7)Analiza sytuacji maj-kap'!$A$20:$A$23</c:f>
              <c:strCache>
                <c:ptCount val="4"/>
                <c:pt idx="0">
                  <c:v>Kredyty i pożyczki</c:v>
                </c:pt>
                <c:pt idx="1">
                  <c:v>Zobowiaząnia długoterminowe i inne</c:v>
                </c:pt>
                <c:pt idx="2">
                  <c:v>Zobowiązania krótkoterminowe</c:v>
                </c:pt>
                <c:pt idx="3">
                  <c:v>Kredyty krótkoterminowe i zbw. przeterminowane</c:v>
                </c:pt>
              </c:strCache>
            </c:strRef>
          </c:cat>
          <c:val>
            <c:numRef>
              <c:f>'(7)Analiza sytuacji maj-kap'!$G$20:$G$23</c:f>
              <c:numCache>
                <c:formatCode>0.00%</c:formatCode>
                <c:ptCount val="4"/>
                <c:pt idx="0">
                  <c:v>0.4952449385012046</c:v>
                </c:pt>
                <c:pt idx="1">
                  <c:v>7.3389971399185655E-2</c:v>
                </c:pt>
                <c:pt idx="2">
                  <c:v>0.35832734547811262</c:v>
                </c:pt>
                <c:pt idx="3">
                  <c:v>7.3037744621497105E-2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2-4329-91A3-70D73EEA1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Wskaźniki rentowności obrotu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9470034995625544E-2"/>
          <c:y val="7.4547437295528901E-2"/>
          <c:w val="0.86608552055993004"/>
          <c:h val="0.737019551945319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('(6)Analiza rentowności'!$C$25:$F$25,'(6)Analiza rentowności'!$K$25:$N$25)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('(6)Analiza rentowności'!$C$26:$F$26,'(6)Analiza rentowności'!$K$26:$N$26)</c:f>
              <c:numCache>
                <c:formatCode>0.00%</c:formatCode>
                <c:ptCount val="8"/>
                <c:pt idx="0">
                  <c:v>4.5757504849752037E-2</c:v>
                </c:pt>
                <c:pt idx="1">
                  <c:v>2.1229382822095133E-2</c:v>
                </c:pt>
                <c:pt idx="2">
                  <c:v>5.0573942847012589E-3</c:v>
                </c:pt>
                <c:pt idx="3">
                  <c:v>4.1013680824633712E-2</c:v>
                </c:pt>
                <c:pt idx="4">
                  <c:v>3.6424091001728547E-2</c:v>
                </c:pt>
                <c:pt idx="5">
                  <c:v>1.7077691629557631E-2</c:v>
                </c:pt>
                <c:pt idx="6">
                  <c:v>3.17626028591267E-3</c:v>
                </c:pt>
                <c:pt idx="7">
                  <c:v>3.186159579456551E-2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D-40E6-9815-C0D007C591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0562624"/>
        <c:axId val="300565904"/>
      </c:barChart>
      <c:catAx>
        <c:axId val="30056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565904"/>
        <c:crosses val="autoZero"/>
        <c:auto val="1"/>
        <c:lblAlgn val="ctr"/>
        <c:lblOffset val="100"/>
        <c:noMultiLvlLbl val="0"/>
      </c:catAx>
      <c:valAx>
        <c:axId val="3005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56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Struktura</a:t>
            </a:r>
            <a:r>
              <a:rPr lang="pl-PL" baseline="0"/>
              <a:t> aktywa trwałe 2017 rok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D0-41C1-A2C7-95E4EA1827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D0-41C1-A2C7-95E4EA1827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D0-41C1-A2C7-95E4EA1827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D0-41C1-A2C7-95E4EA1827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'(7)Analiza sytuacji maj-kap'!$A$5:$A$8</c:f>
              <c:strCache>
                <c:ptCount val="4"/>
                <c:pt idx="0">
                  <c:v>Rzeczowe aktywa trwałe</c:v>
                </c:pt>
                <c:pt idx="1">
                  <c:v>Wartości niematerialne</c:v>
                </c:pt>
                <c:pt idx="2">
                  <c:v>Należności długoterminowe</c:v>
                </c:pt>
                <c:pt idx="3">
                  <c:v>Inwestycje długoterminowe</c:v>
                </c:pt>
              </c:strCache>
            </c:strRef>
          </c:cat>
          <c:val>
            <c:numRef>
              <c:f>'(7)Analiza sytuacji maj-kap'!$G$5:$G$8</c:f>
              <c:numCache>
                <c:formatCode>0.00%</c:formatCode>
                <c:ptCount val="4"/>
                <c:pt idx="0">
                  <c:v>0.92550422901756668</c:v>
                </c:pt>
                <c:pt idx="1">
                  <c:v>6.0283832140533504E-2</c:v>
                </c:pt>
                <c:pt idx="2">
                  <c:v>6.3638581652569939E-3</c:v>
                </c:pt>
                <c:pt idx="3">
                  <c:v>7.8480806766428098E-3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D-4245-A718-D726E7935CA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Struktura</a:t>
            </a:r>
            <a:r>
              <a:rPr lang="pl-PL" baseline="0"/>
              <a:t> aktywa trwałe 2018 rok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BA-4577-95F5-50289A0D96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BA-4577-95F5-50289A0D96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BA-4577-95F5-50289A0D96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BA-4577-95F5-50289A0D96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'(7)Analiza sytuacji maj-kap'!$A$5:$A$8</c:f>
              <c:strCache>
                <c:ptCount val="4"/>
                <c:pt idx="0">
                  <c:v>Rzeczowe aktywa trwałe</c:v>
                </c:pt>
                <c:pt idx="1">
                  <c:v>Wartości niematerialne</c:v>
                </c:pt>
                <c:pt idx="2">
                  <c:v>Należności długoterminowe</c:v>
                </c:pt>
                <c:pt idx="3">
                  <c:v>Inwestycje długoterminowe</c:v>
                </c:pt>
              </c:strCache>
            </c:strRef>
          </c:cat>
          <c:val>
            <c:numRef>
              <c:f>'(7)Analiza sytuacji maj-kap'!$H$5:$H$8</c:f>
              <c:numCache>
                <c:formatCode>0.00%</c:formatCode>
                <c:ptCount val="4"/>
                <c:pt idx="0">
                  <c:v>0.9103683629428887</c:v>
                </c:pt>
                <c:pt idx="1">
                  <c:v>7.3220917394359125E-2</c:v>
                </c:pt>
                <c:pt idx="2">
                  <c:v>8.0798956137709526E-3</c:v>
                </c:pt>
                <c:pt idx="3">
                  <c:v>8.3308240489812311E-3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6-4FFE-8F66-FAA01E547C4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Struktura aktywa obrotowe 2017 rok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A3-4444-934A-667203D795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A3-4444-934A-667203D795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A3-4444-934A-667203D795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'(7)Analiza sytuacji maj-kap'!$A$10:$A$12</c:f>
              <c:strCache>
                <c:ptCount val="3"/>
                <c:pt idx="0">
                  <c:v>Zapasy</c:v>
                </c:pt>
                <c:pt idx="1">
                  <c:v>Należności krótkoterminowe</c:v>
                </c:pt>
                <c:pt idx="2">
                  <c:v>Inwestycje krótkoterminowe</c:v>
                </c:pt>
              </c:strCache>
            </c:strRef>
          </c:cat>
          <c:val>
            <c:numRef>
              <c:f>'(7)Analiza sytuacji maj-kap'!$G$10:$G$12</c:f>
              <c:numCache>
                <c:formatCode>0.00%</c:formatCode>
                <c:ptCount val="3"/>
                <c:pt idx="0">
                  <c:v>0.57666390690400626</c:v>
                </c:pt>
                <c:pt idx="1">
                  <c:v>0.40066004323628168</c:v>
                </c:pt>
                <c:pt idx="2">
                  <c:v>2.2676049859712066E-2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9-4C43-8B69-4D5D67AF5E2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Struktura aktywa obrotowe 2018 rok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06-4DA3-A0B8-B950E50211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06-4DA3-A0B8-B950E50211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06-4DA3-A0B8-B950E50211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'(7)Analiza sytuacji maj-kap'!$A$10:$A$12</c:f>
              <c:strCache>
                <c:ptCount val="3"/>
                <c:pt idx="0">
                  <c:v>Zapasy</c:v>
                </c:pt>
                <c:pt idx="1">
                  <c:v>Należności krótkoterminowe</c:v>
                </c:pt>
                <c:pt idx="2">
                  <c:v>Inwestycje krótkoterminowe</c:v>
                </c:pt>
              </c:strCache>
            </c:strRef>
          </c:cat>
          <c:val>
            <c:numRef>
              <c:f>'(7)Analiza sytuacji maj-kap'!$H$10:$H$12</c:f>
              <c:numCache>
                <c:formatCode>0.00%</c:formatCode>
                <c:ptCount val="3"/>
                <c:pt idx="0">
                  <c:v>0.56369115249715951</c:v>
                </c:pt>
                <c:pt idx="1">
                  <c:v>0.33050437188163811</c:v>
                </c:pt>
                <c:pt idx="2">
                  <c:v>0.10580447562120239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6-4D6E-9E6C-3C0EE3B6E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Struktura kapitał</a:t>
            </a:r>
            <a:r>
              <a:rPr lang="pl-PL" baseline="0"/>
              <a:t> własny 2017 rok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97-4DA7-82E5-DB7BC7AF82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97-4DA7-82E5-DB7BC7AF82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97-4DA7-82E5-DB7BC7AF82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'(7)Analiza sytuacji maj-kap'!$A$16:$A$18</c:f>
              <c:strCache>
                <c:ptCount val="3"/>
                <c:pt idx="0">
                  <c:v>Kapitał podstawowy</c:v>
                </c:pt>
                <c:pt idx="1">
                  <c:v>Kapitały zapasowe i rezerwowe</c:v>
                </c:pt>
                <c:pt idx="2">
                  <c:v>Wynik finansowy</c:v>
                </c:pt>
              </c:strCache>
            </c:strRef>
          </c:cat>
          <c:val>
            <c:numRef>
              <c:f>'(7)Analiza sytuacji maj-kap'!$G$16:$G$18</c:f>
              <c:numCache>
                <c:formatCode>0.00%</c:formatCode>
                <c:ptCount val="3"/>
                <c:pt idx="0">
                  <c:v>9.3477160086541555E-2</c:v>
                </c:pt>
                <c:pt idx="1">
                  <c:v>0.82229826149667795</c:v>
                </c:pt>
                <c:pt idx="2">
                  <c:v>8.4224578416780466E-2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D-4E0F-81CB-012A28788D8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Struktura kapitał własny 2018 rok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C1-4938-96F7-BF8A0C9C01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C1-4938-96F7-BF8A0C9C01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C1-4938-96F7-BF8A0C9C01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'(7)Analiza sytuacji maj-kap'!$A$16:$A$18</c:f>
              <c:strCache>
                <c:ptCount val="3"/>
                <c:pt idx="0">
                  <c:v>Kapitał podstawowy</c:v>
                </c:pt>
                <c:pt idx="1">
                  <c:v>Kapitały zapasowe i rezerwowe</c:v>
                </c:pt>
                <c:pt idx="2">
                  <c:v>Wynik finansowy</c:v>
                </c:pt>
              </c:strCache>
            </c:strRef>
          </c:cat>
          <c:val>
            <c:numRef>
              <c:f>'(7)Analiza sytuacji maj-kap'!$H$16:$H$18</c:f>
              <c:numCache>
                <c:formatCode>0.00%</c:formatCode>
                <c:ptCount val="3"/>
                <c:pt idx="0">
                  <c:v>8.3547046642072492E-2</c:v>
                </c:pt>
                <c:pt idx="1">
                  <c:v>0.74379088552738049</c:v>
                </c:pt>
                <c:pt idx="2">
                  <c:v>0.17266206783054705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2-41C8-96AE-3886B6D10B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Struktura</a:t>
            </a:r>
            <a:r>
              <a:rPr lang="pl-PL" baseline="0"/>
              <a:t> kapitały obce a kapitał własny w pasywach 2017 rok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F0-4BD6-9963-EF7CAFBF2F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F0-4BD6-9963-EF7CAFBF2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('(7)Analiza sytuacji maj-kap'!$A$15,'(7)Analiza sytuacji maj-kap'!$A$19)</c:f>
              <c:strCache>
                <c:ptCount val="2"/>
                <c:pt idx="0">
                  <c:v>Kapitał własny</c:v>
                </c:pt>
                <c:pt idx="1">
                  <c:v>Kapitały obce po korekcie</c:v>
                </c:pt>
              </c:strCache>
            </c:strRef>
          </c:cat>
          <c:val>
            <c:numRef>
              <c:f>('(7)Analiza sytuacji maj-kap'!$I$15,'(7)Analiza sytuacji maj-kap'!$I$19)</c:f>
              <c:numCache>
                <c:formatCode>0.00%</c:formatCode>
                <c:ptCount val="2"/>
                <c:pt idx="0">
                  <c:v>0.47867761553603433</c:v>
                </c:pt>
                <c:pt idx="1">
                  <c:v>0.52132238446396573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E-4906-89F3-5FFE53B8946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tmp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tmp"/><Relationship Id="rId7" Type="http://schemas.openxmlformats.org/officeDocument/2006/relationships/image" Target="../media/image8.tmp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tmp"/><Relationship Id="rId16" Type="http://schemas.openxmlformats.org/officeDocument/2006/relationships/image" Target="../media/image17.png"/><Relationship Id="rId1" Type="http://schemas.openxmlformats.org/officeDocument/2006/relationships/image" Target="../media/image2.tmp"/><Relationship Id="rId6" Type="http://schemas.openxmlformats.org/officeDocument/2006/relationships/image" Target="../media/image7.tmp"/><Relationship Id="rId11" Type="http://schemas.openxmlformats.org/officeDocument/2006/relationships/image" Target="../media/image12.png"/><Relationship Id="rId5" Type="http://schemas.openxmlformats.org/officeDocument/2006/relationships/image" Target="../media/image6.tmp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tmp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tmp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2.tmp"/><Relationship Id="rId7" Type="http://schemas.openxmlformats.org/officeDocument/2006/relationships/image" Target="../media/image26.tmp"/><Relationship Id="rId12" Type="http://schemas.openxmlformats.org/officeDocument/2006/relationships/chart" Target="../charts/chart1.xml"/><Relationship Id="rId17" Type="http://schemas.openxmlformats.org/officeDocument/2006/relationships/image" Target="../media/image35.png"/><Relationship Id="rId2" Type="http://schemas.openxmlformats.org/officeDocument/2006/relationships/image" Target="../media/image21.tmp"/><Relationship Id="rId16" Type="http://schemas.openxmlformats.org/officeDocument/2006/relationships/image" Target="../media/image34.png"/><Relationship Id="rId20" Type="http://schemas.openxmlformats.org/officeDocument/2006/relationships/chart" Target="../charts/chart2.xml"/><Relationship Id="rId1" Type="http://schemas.openxmlformats.org/officeDocument/2006/relationships/image" Target="../media/image20.tmp"/><Relationship Id="rId6" Type="http://schemas.openxmlformats.org/officeDocument/2006/relationships/image" Target="../media/image25.tmp"/><Relationship Id="rId11" Type="http://schemas.openxmlformats.org/officeDocument/2006/relationships/image" Target="../media/image30.tmp"/><Relationship Id="rId5" Type="http://schemas.openxmlformats.org/officeDocument/2006/relationships/image" Target="../media/image24.tmp"/><Relationship Id="rId15" Type="http://schemas.openxmlformats.org/officeDocument/2006/relationships/image" Target="../media/image33.png"/><Relationship Id="rId10" Type="http://schemas.openxmlformats.org/officeDocument/2006/relationships/image" Target="../media/image29.tmp"/><Relationship Id="rId19" Type="http://schemas.openxmlformats.org/officeDocument/2006/relationships/image" Target="../media/image37.png"/><Relationship Id="rId4" Type="http://schemas.openxmlformats.org/officeDocument/2006/relationships/image" Target="../media/image23.tmp"/><Relationship Id="rId9" Type="http://schemas.openxmlformats.org/officeDocument/2006/relationships/image" Target="../media/image28.tmp"/><Relationship Id="rId14" Type="http://schemas.openxmlformats.org/officeDocument/2006/relationships/image" Target="../media/image32.tmp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1.xml"/><Relationship Id="rId18" Type="http://schemas.openxmlformats.org/officeDocument/2006/relationships/chart" Target="../charts/chart13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image" Target="../media/image41.png"/><Relationship Id="rId17" Type="http://schemas.openxmlformats.org/officeDocument/2006/relationships/chart" Target="../charts/chart12.xml"/><Relationship Id="rId2" Type="http://schemas.openxmlformats.org/officeDocument/2006/relationships/chart" Target="../charts/chart4.xml"/><Relationship Id="rId16" Type="http://schemas.openxmlformats.org/officeDocument/2006/relationships/image" Target="../media/image44.png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image" Target="../media/image40.png"/><Relationship Id="rId5" Type="http://schemas.openxmlformats.org/officeDocument/2006/relationships/chart" Target="../charts/chart7.xml"/><Relationship Id="rId15" Type="http://schemas.openxmlformats.org/officeDocument/2006/relationships/image" Target="../media/image43.png"/><Relationship Id="rId10" Type="http://schemas.openxmlformats.org/officeDocument/2006/relationships/image" Target="../media/image39.png"/><Relationship Id="rId4" Type="http://schemas.openxmlformats.org/officeDocument/2006/relationships/chart" Target="../charts/chart6.xml"/><Relationship Id="rId9" Type="http://schemas.openxmlformats.org/officeDocument/2006/relationships/image" Target="../media/image38.png"/><Relationship Id="rId14" Type="http://schemas.openxmlformats.org/officeDocument/2006/relationships/image" Target="../media/image4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7.png"/><Relationship Id="rId2" Type="http://schemas.openxmlformats.org/officeDocument/2006/relationships/image" Target="../media/image46.png"/><Relationship Id="rId1" Type="http://schemas.openxmlformats.org/officeDocument/2006/relationships/image" Target="../media/image45.png"/><Relationship Id="rId6" Type="http://schemas.openxmlformats.org/officeDocument/2006/relationships/image" Target="../media/image50.png"/><Relationship Id="rId5" Type="http://schemas.openxmlformats.org/officeDocument/2006/relationships/image" Target="../media/image49.png"/><Relationship Id="rId4" Type="http://schemas.openxmlformats.org/officeDocument/2006/relationships/image" Target="../media/image4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0</xdr:row>
      <xdr:rowOff>127000</xdr:rowOff>
    </xdr:from>
    <xdr:to>
      <xdr:col>13</xdr:col>
      <xdr:colOff>304800</xdr:colOff>
      <xdr:row>21</xdr:row>
      <xdr:rowOff>25400</xdr:rowOff>
    </xdr:to>
    <xdr:pic>
      <xdr:nvPicPr>
        <xdr:cNvPr id="2" name="Obraz 1" descr="Obraz zawierający tekst, paragon&#10;&#10;Opis wygenerowany automatycznie">
          <a:extLst>
            <a:ext uri="{FF2B5EF4-FFF2-40B4-BE49-F238E27FC236}">
              <a16:creationId xmlns:a16="http://schemas.microsoft.com/office/drawing/2014/main" id="{07F84432-E122-473C-8533-17C1707D187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0" y="127000"/>
          <a:ext cx="7607300" cy="3765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958850</xdr:colOff>
      <xdr:row>4</xdr:row>
      <xdr:rowOff>171450</xdr:rowOff>
    </xdr:from>
    <xdr:to>
      <xdr:col>2</xdr:col>
      <xdr:colOff>311150</xdr:colOff>
      <xdr:row>7</xdr:row>
      <xdr:rowOff>69850</xdr:rowOff>
    </xdr:to>
    <xdr:pic>
      <xdr:nvPicPr>
        <xdr:cNvPr id="2" name="Obraz 1" descr="Obraz zawierający zdjęcie, obiekt&#10;&#10;Opis wygenerowany automatycznie">
          <a:extLst>
            <a:ext uri="{FF2B5EF4-FFF2-40B4-BE49-F238E27FC236}">
              <a16:creationId xmlns:a16="http://schemas.microsoft.com/office/drawing/2014/main" id="{75C0431C-EA37-4346-BC82-8F5287FD1DB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850" y="908050"/>
          <a:ext cx="2044700" cy="45085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4</xdr:row>
      <xdr:rowOff>158750</xdr:rowOff>
    </xdr:from>
    <xdr:to>
      <xdr:col>9</xdr:col>
      <xdr:colOff>273050</xdr:colOff>
      <xdr:row>7</xdr:row>
      <xdr:rowOff>101600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6F4178D1-5A89-46E5-A9C5-DEC1F2D5118E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8950" y="895350"/>
          <a:ext cx="3771900" cy="495300"/>
        </a:xfrm>
        <a:prstGeom prst="rect">
          <a:avLst/>
        </a:prstGeom>
      </xdr:spPr>
    </xdr:pic>
    <xdr:clientData/>
  </xdr:twoCellAnchor>
  <xdr:twoCellAnchor editAs="oneCell">
    <xdr:from>
      <xdr:col>12</xdr:col>
      <xdr:colOff>254000</xdr:colOff>
      <xdr:row>4</xdr:row>
      <xdr:rowOff>127000</xdr:rowOff>
    </xdr:from>
    <xdr:to>
      <xdr:col>13</xdr:col>
      <xdr:colOff>209550</xdr:colOff>
      <xdr:row>7</xdr:row>
      <xdr:rowOff>95250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8B2481C-C1F1-4F96-B1BF-8B9FFC1C63F3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93450" y="863600"/>
          <a:ext cx="2070100" cy="52070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23</xdr:row>
      <xdr:rowOff>69850</xdr:rowOff>
    </xdr:from>
    <xdr:to>
      <xdr:col>8</xdr:col>
      <xdr:colOff>241300</xdr:colOff>
      <xdr:row>25</xdr:row>
      <xdr:rowOff>60325</xdr:rowOff>
    </xdr:to>
    <xdr:pic>
      <xdr:nvPicPr>
        <xdr:cNvPr id="5" name="Obraz 4" descr="Obraz zawierający zrzut ekranu&#10;&#10;Opis wygenerowany automatycznie">
          <a:extLst>
            <a:ext uri="{FF2B5EF4-FFF2-40B4-BE49-F238E27FC236}">
              <a16:creationId xmlns:a16="http://schemas.microsoft.com/office/drawing/2014/main" id="{1747A420-3E45-4FA1-A6A2-9A17E3A60FFA}"/>
            </a:ext>
          </a:extLst>
        </xdr:cNvPr>
        <xdr:cNvPicPr/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919" r="47862"/>
        <a:stretch/>
      </xdr:blipFill>
      <xdr:spPr bwMode="auto">
        <a:xfrm>
          <a:off x="5562600" y="4305300"/>
          <a:ext cx="3003550" cy="3587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12</xdr:col>
      <xdr:colOff>6350</xdr:colOff>
      <xdr:row>23</xdr:row>
      <xdr:rowOff>82550</xdr:rowOff>
    </xdr:from>
    <xdr:to>
      <xdr:col>14</xdr:col>
      <xdr:colOff>209550</xdr:colOff>
      <xdr:row>25</xdr:row>
      <xdr:rowOff>73660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A7202450-7E6E-4832-92AC-2CCBCDD0E7F2}"/>
            </a:ext>
          </a:extLst>
        </xdr:cNvPr>
        <xdr:cNvPicPr/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530" r="47090"/>
        <a:stretch/>
      </xdr:blipFill>
      <xdr:spPr bwMode="auto">
        <a:xfrm>
          <a:off x="10845800" y="4318000"/>
          <a:ext cx="3048000" cy="35941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13</xdr:col>
      <xdr:colOff>12701</xdr:colOff>
      <xdr:row>13</xdr:row>
      <xdr:rowOff>165100</xdr:rowOff>
    </xdr:from>
    <xdr:to>
      <xdr:col>16</xdr:col>
      <xdr:colOff>203201</xdr:colOff>
      <xdr:row>15</xdr:row>
      <xdr:rowOff>171450</xdr:rowOff>
    </xdr:to>
    <xdr:pic>
      <xdr:nvPicPr>
        <xdr:cNvPr id="7" name="Obraz 6" descr="Obraz zawierający obiekt&#10;&#10;Opis wygenerowany automatycznie">
          <a:extLst>
            <a:ext uri="{FF2B5EF4-FFF2-40B4-BE49-F238E27FC236}">
              <a16:creationId xmlns:a16="http://schemas.microsoft.com/office/drawing/2014/main" id="{903B44D1-DB08-42AB-875B-8D5C83D6B6D1}"/>
            </a:ext>
          </a:extLst>
        </xdr:cNvPr>
        <xdr:cNvPicPr/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001"/>
        <a:stretch/>
      </xdr:blipFill>
      <xdr:spPr bwMode="auto">
        <a:xfrm>
          <a:off x="12966701" y="2559050"/>
          <a:ext cx="2432050" cy="3746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215900</xdr:colOff>
      <xdr:row>33</xdr:row>
      <xdr:rowOff>12700</xdr:rowOff>
    </xdr:from>
    <xdr:to>
      <xdr:col>2</xdr:col>
      <xdr:colOff>292100</xdr:colOff>
      <xdr:row>34</xdr:row>
      <xdr:rowOff>152400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79DB86B8-9EA0-45C1-81A9-51703D37D06D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00" y="6089650"/>
          <a:ext cx="2768600" cy="3238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23</xdr:row>
      <xdr:rowOff>88900</xdr:rowOff>
    </xdr:from>
    <xdr:to>
      <xdr:col>2</xdr:col>
      <xdr:colOff>742315</xdr:colOff>
      <xdr:row>25</xdr:row>
      <xdr:rowOff>127000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5F12B87E-5875-487E-91F8-24DCBCD3AA64}"/>
            </a:ext>
          </a:extLst>
        </xdr:cNvPr>
        <xdr:cNvPicPr/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064"/>
        <a:stretch/>
      </xdr:blipFill>
      <xdr:spPr bwMode="auto">
        <a:xfrm>
          <a:off x="114300" y="4324350"/>
          <a:ext cx="3320415" cy="4064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0</xdr:col>
      <xdr:colOff>0</xdr:colOff>
      <xdr:row>41</xdr:row>
      <xdr:rowOff>158750</xdr:rowOff>
    </xdr:from>
    <xdr:to>
      <xdr:col>5</xdr:col>
      <xdr:colOff>546100</xdr:colOff>
      <xdr:row>42</xdr:row>
      <xdr:rowOff>152400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546D52D3-08D7-49B7-9B65-717C6C19A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08900"/>
          <a:ext cx="54673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381000</xdr:colOff>
      <xdr:row>41</xdr:row>
      <xdr:rowOff>165100</xdr:rowOff>
    </xdr:from>
    <xdr:to>
      <xdr:col>9</xdr:col>
      <xdr:colOff>584200</xdr:colOff>
      <xdr:row>42</xdr:row>
      <xdr:rowOff>158750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7A4B26D8-2312-4D78-B7EB-D60B81EC3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1850" y="7715250"/>
          <a:ext cx="35877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49</xdr:row>
      <xdr:rowOff>171450</xdr:rowOff>
    </xdr:from>
    <xdr:to>
      <xdr:col>1</xdr:col>
      <xdr:colOff>6350</xdr:colOff>
      <xdr:row>51</xdr:row>
      <xdr:rowOff>165100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25353FB0-9C97-48E0-AC6E-8406FDF01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9194800"/>
          <a:ext cx="17970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50</xdr:row>
      <xdr:rowOff>0</xdr:rowOff>
    </xdr:from>
    <xdr:to>
      <xdr:col>6</xdr:col>
      <xdr:colOff>1797050</xdr:colOff>
      <xdr:row>51</xdr:row>
      <xdr:rowOff>177800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80B39DE7-7330-4743-BBDE-57A08C523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0850" y="9207500"/>
          <a:ext cx="17970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1</xdr:col>
      <xdr:colOff>165100</xdr:colOff>
      <xdr:row>59</xdr:row>
      <xdr:rowOff>177800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9D210CDA-8434-49DF-88F9-5DCD80A7A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80700"/>
          <a:ext cx="20828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552450</xdr:colOff>
      <xdr:row>58</xdr:row>
      <xdr:rowOff>6350</xdr:rowOff>
    </xdr:from>
    <xdr:to>
      <xdr:col>6</xdr:col>
      <xdr:colOff>2025650</xdr:colOff>
      <xdr:row>60</xdr:row>
      <xdr:rowOff>0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C28611C7-B602-414B-B030-3E4BD93AC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10687050"/>
          <a:ext cx="20828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58</xdr:row>
      <xdr:rowOff>0</xdr:rowOff>
    </xdr:from>
    <xdr:to>
      <xdr:col>12</xdr:col>
      <xdr:colOff>1936750</xdr:colOff>
      <xdr:row>59</xdr:row>
      <xdr:rowOff>177800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94B555C9-2078-4A74-84DD-CB47235A0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10680700"/>
          <a:ext cx="19367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67</xdr:row>
      <xdr:rowOff>31750</xdr:rowOff>
    </xdr:from>
    <xdr:to>
      <xdr:col>1</xdr:col>
      <xdr:colOff>234950</xdr:colOff>
      <xdr:row>69</xdr:row>
      <xdr:rowOff>25400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B72A0ABE-3AAC-4FB4-8C01-566275C0B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19050"/>
          <a:ext cx="21526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101600</xdr:colOff>
      <xdr:row>67</xdr:row>
      <xdr:rowOff>139700</xdr:rowOff>
    </xdr:from>
    <xdr:to>
      <xdr:col>7</xdr:col>
      <xdr:colOff>165100</xdr:colOff>
      <xdr:row>69</xdr:row>
      <xdr:rowOff>133350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4DFB83BF-9C8B-4AE3-99AE-56444167E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2450" y="12827000"/>
          <a:ext cx="21526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12</xdr:col>
      <xdr:colOff>1816100</xdr:colOff>
      <xdr:row>51</xdr:row>
      <xdr:rowOff>177800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97CE90EA-65AC-4024-9067-12109C472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9207500"/>
          <a:ext cx="18161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63500</xdr:rowOff>
    </xdr:from>
    <xdr:to>
      <xdr:col>1</xdr:col>
      <xdr:colOff>438150</xdr:colOff>
      <xdr:row>27</xdr:row>
      <xdr:rowOff>63500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512D49F8-4ACA-468A-8F70-2F21B3C4C90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67250"/>
          <a:ext cx="2292350" cy="368300"/>
        </a:xfrm>
        <a:prstGeom prst="rect">
          <a:avLst/>
        </a:prstGeom>
      </xdr:spPr>
    </xdr:pic>
    <xdr:clientData/>
  </xdr:twoCellAnchor>
  <xdr:twoCellAnchor editAs="oneCell">
    <xdr:from>
      <xdr:col>7</xdr:col>
      <xdr:colOff>25400</xdr:colOff>
      <xdr:row>25</xdr:row>
      <xdr:rowOff>95250</xdr:rowOff>
    </xdr:from>
    <xdr:to>
      <xdr:col>9</xdr:col>
      <xdr:colOff>342900</xdr:colOff>
      <xdr:row>27</xdr:row>
      <xdr:rowOff>50800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D7E0236B-D1BD-488F-BCEA-0FA9BB12B39D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3900" y="4699000"/>
          <a:ext cx="2432050" cy="323850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31</xdr:row>
      <xdr:rowOff>25400</xdr:rowOff>
    </xdr:from>
    <xdr:to>
      <xdr:col>1</xdr:col>
      <xdr:colOff>609600</xdr:colOff>
      <xdr:row>33</xdr:row>
      <xdr:rowOff>171450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9C4960-E8D6-4024-A211-D8191648AB2E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" y="5734050"/>
          <a:ext cx="2413000" cy="514350"/>
        </a:xfrm>
        <a:prstGeom prst="rect">
          <a:avLst/>
        </a:prstGeom>
      </xdr:spPr>
    </xdr:pic>
    <xdr:clientData/>
  </xdr:twoCellAnchor>
  <xdr:twoCellAnchor editAs="oneCell">
    <xdr:from>
      <xdr:col>6</xdr:col>
      <xdr:colOff>577850</xdr:colOff>
      <xdr:row>31</xdr:row>
      <xdr:rowOff>69850</xdr:rowOff>
    </xdr:from>
    <xdr:to>
      <xdr:col>9</xdr:col>
      <xdr:colOff>482600</xdr:colOff>
      <xdr:row>33</xdr:row>
      <xdr:rowOff>127000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0CCD6179-FB71-457C-8C7E-7018EB05EEA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6600" y="5778500"/>
          <a:ext cx="2628900" cy="425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69850</xdr:rowOff>
    </xdr:from>
    <xdr:to>
      <xdr:col>1</xdr:col>
      <xdr:colOff>31750</xdr:colOff>
      <xdr:row>39</xdr:row>
      <xdr:rowOff>107950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657A75EB-A762-458B-B1A8-CD7032FABEA4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99250"/>
          <a:ext cx="1885950" cy="590550"/>
        </a:xfrm>
        <a:prstGeom prst="rect">
          <a:avLst/>
        </a:prstGeom>
      </xdr:spPr>
    </xdr:pic>
    <xdr:clientData/>
  </xdr:twoCellAnchor>
  <xdr:twoCellAnchor editAs="oneCell">
    <xdr:from>
      <xdr:col>0</xdr:col>
      <xdr:colOff>69850</xdr:colOff>
      <xdr:row>43</xdr:row>
      <xdr:rowOff>146050</xdr:rowOff>
    </xdr:from>
    <xdr:to>
      <xdr:col>1</xdr:col>
      <xdr:colOff>584200</xdr:colOff>
      <xdr:row>46</xdr:row>
      <xdr:rowOff>19050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B4BBD7B4-4563-47B2-B3CB-3DBDF5CD4B36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8064500"/>
          <a:ext cx="2368550" cy="425450"/>
        </a:xfrm>
        <a:prstGeom prst="rect">
          <a:avLst/>
        </a:prstGeom>
      </xdr:spPr>
    </xdr:pic>
    <xdr:clientData/>
  </xdr:twoCellAnchor>
  <xdr:twoCellAnchor editAs="oneCell">
    <xdr:from>
      <xdr:col>6</xdr:col>
      <xdr:colOff>603250</xdr:colOff>
      <xdr:row>43</xdr:row>
      <xdr:rowOff>82550</xdr:rowOff>
    </xdr:from>
    <xdr:to>
      <xdr:col>9</xdr:col>
      <xdr:colOff>501650</xdr:colOff>
      <xdr:row>46</xdr:row>
      <xdr:rowOff>25400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8FEB65AA-D90C-45A8-A091-E292BF740F34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2000" y="8001000"/>
          <a:ext cx="262255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577850</xdr:colOff>
      <xdr:row>51</xdr:row>
      <xdr:rowOff>31750</xdr:rowOff>
    </xdr:to>
    <xdr:pic>
      <xdr:nvPicPr>
        <xdr:cNvPr id="9" name="Obraz 8" descr="Obraz zawierający osoba&#10;&#10;Opis wygenerowany automatycznie">
          <a:extLst>
            <a:ext uri="{FF2B5EF4-FFF2-40B4-BE49-F238E27FC236}">
              <a16:creationId xmlns:a16="http://schemas.microsoft.com/office/drawing/2014/main" id="{C55D54C6-D01C-4EB4-90EC-1A5EB6EA4EE8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23350"/>
          <a:ext cx="2432050" cy="400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88900</xdr:rowOff>
    </xdr:from>
    <xdr:to>
      <xdr:col>1</xdr:col>
      <xdr:colOff>609600</xdr:colOff>
      <xdr:row>61</xdr:row>
      <xdr:rowOff>12700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B3A69445-1FF5-4E79-A3A0-85882B61D8B4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9600"/>
          <a:ext cx="2463800" cy="476250"/>
        </a:xfrm>
        <a:prstGeom prst="rect">
          <a:avLst/>
        </a:prstGeom>
      </xdr:spPr>
    </xdr:pic>
    <xdr:clientData/>
  </xdr:twoCellAnchor>
  <xdr:twoCellAnchor editAs="oneCell">
    <xdr:from>
      <xdr:col>7</xdr:col>
      <xdr:colOff>25400</xdr:colOff>
      <xdr:row>58</xdr:row>
      <xdr:rowOff>139700</xdr:rowOff>
    </xdr:from>
    <xdr:to>
      <xdr:col>9</xdr:col>
      <xdr:colOff>431800</xdr:colOff>
      <xdr:row>61</xdr:row>
      <xdr:rowOff>165100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DAF43677-5994-46E9-9DBC-9CF012EDF928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0" y="10820400"/>
          <a:ext cx="2520950" cy="57785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67</xdr:row>
      <xdr:rowOff>31750</xdr:rowOff>
    </xdr:from>
    <xdr:to>
      <xdr:col>2</xdr:col>
      <xdr:colOff>254000</xdr:colOff>
      <xdr:row>69</xdr:row>
      <xdr:rowOff>139699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A6A42380-5CD8-444B-B700-7FFA9E7C3FA1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12369800"/>
          <a:ext cx="3098800" cy="476249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1</xdr:row>
      <xdr:rowOff>117475</xdr:rowOff>
    </xdr:from>
    <xdr:to>
      <xdr:col>11</xdr:col>
      <xdr:colOff>117475</xdr:colOff>
      <xdr:row>16</xdr:row>
      <xdr:rowOff>98425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AF19050B-056B-4BA6-8590-1DEF6BF1B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57150</xdr:colOff>
      <xdr:row>52</xdr:row>
      <xdr:rowOff>177800</xdr:rowOff>
    </xdr:from>
    <xdr:to>
      <xdr:col>0</xdr:col>
      <xdr:colOff>1524000</xdr:colOff>
      <xdr:row>55</xdr:row>
      <xdr:rowOff>57150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59905AB5-255A-4079-BABD-E690C733D9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177" t="-19298"/>
        <a:stretch/>
      </xdr:blipFill>
      <xdr:spPr bwMode="auto">
        <a:xfrm>
          <a:off x="57150" y="9753600"/>
          <a:ext cx="146685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95250</xdr:rowOff>
    </xdr:from>
    <xdr:to>
      <xdr:col>1</xdr:col>
      <xdr:colOff>857250</xdr:colOff>
      <xdr:row>56</xdr:row>
      <xdr:rowOff>133350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94D842AB-95D3-4F58-BAAE-16F83114D43C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23500"/>
          <a:ext cx="2711450" cy="222250"/>
        </a:xfrm>
        <a:prstGeom prst="rect">
          <a:avLst/>
        </a:prstGeom>
      </xdr:spPr>
    </xdr:pic>
    <xdr:clientData/>
  </xdr:twoCellAnchor>
  <xdr:twoCellAnchor>
    <xdr:from>
      <xdr:col>0</xdr:col>
      <xdr:colOff>63500</xdr:colOff>
      <xdr:row>72</xdr:row>
      <xdr:rowOff>76200</xdr:rowOff>
    </xdr:from>
    <xdr:to>
      <xdr:col>0</xdr:col>
      <xdr:colOff>965200</xdr:colOff>
      <xdr:row>74</xdr:row>
      <xdr:rowOff>31750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6223AA63-C395-4619-99B5-3D2CB6057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13335000"/>
          <a:ext cx="9017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514350</xdr:colOff>
      <xdr:row>77</xdr:row>
      <xdr:rowOff>44450</xdr:rowOff>
    </xdr:from>
    <xdr:to>
      <xdr:col>7</xdr:col>
      <xdr:colOff>1295400</xdr:colOff>
      <xdr:row>79</xdr:row>
      <xdr:rowOff>38100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03AFBA7A-5186-4F83-9575-A6CD627EF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0" y="14224000"/>
          <a:ext cx="13906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539750</xdr:colOff>
      <xdr:row>72</xdr:row>
      <xdr:rowOff>19050</xdr:rowOff>
    </xdr:from>
    <xdr:to>
      <xdr:col>7</xdr:col>
      <xdr:colOff>1371600</xdr:colOff>
      <xdr:row>74</xdr:row>
      <xdr:rowOff>25400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D26B5F15-6F05-4B09-8184-7E16F8EC79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-3509" r="72847"/>
        <a:stretch/>
      </xdr:blipFill>
      <xdr:spPr bwMode="auto">
        <a:xfrm>
          <a:off x="6407150" y="13277850"/>
          <a:ext cx="1441450" cy="37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558800</xdr:colOff>
      <xdr:row>50</xdr:row>
      <xdr:rowOff>50800</xdr:rowOff>
    </xdr:from>
    <xdr:to>
      <xdr:col>9</xdr:col>
      <xdr:colOff>228600</xdr:colOff>
      <xdr:row>52</xdr:row>
      <xdr:rowOff>76200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D256888E-4AAC-4F63-B5AA-8A87813AE3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855" t="-8773" b="-1"/>
        <a:stretch/>
      </xdr:blipFill>
      <xdr:spPr bwMode="auto">
        <a:xfrm>
          <a:off x="6426200" y="9258300"/>
          <a:ext cx="23939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1631950</xdr:colOff>
      <xdr:row>79</xdr:row>
      <xdr:rowOff>95250</xdr:rowOff>
    </xdr:from>
    <xdr:to>
      <xdr:col>3</xdr:col>
      <xdr:colOff>711200</xdr:colOff>
      <xdr:row>81</xdr:row>
      <xdr:rowOff>88900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75CE87A1-B5D5-4476-BBDB-DB08821B3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950" y="14643100"/>
          <a:ext cx="2647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320674</xdr:colOff>
      <xdr:row>33</xdr:row>
      <xdr:rowOff>3174</xdr:rowOff>
    </xdr:from>
    <xdr:to>
      <xdr:col>18</xdr:col>
      <xdr:colOff>107950</xdr:colOff>
      <xdr:row>51</xdr:row>
      <xdr:rowOff>19050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4E5DE885-C562-4FA4-9A5F-54B330819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0.66257</cdr:x>
      <cdr:y>0.86854</cdr:y>
    </cdr:from>
    <cdr:to>
      <cdr:x>0.87274</cdr:x>
      <cdr:y>1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E2F171EC-0832-4A86-BC95-EF4E8FF31725}"/>
            </a:ext>
          </a:extLst>
        </cdr:cNvPr>
        <cdr:cNvSpPr txBox="1"/>
      </cdr:nvSpPr>
      <cdr:spPr>
        <a:xfrm xmlns:a="http://schemas.openxmlformats.org/drawingml/2006/main">
          <a:off x="3140756" y="2892723"/>
          <a:ext cx="996270" cy="437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800">
              <a:latin typeface="Times New Roman" panose="02020603050405020304" pitchFamily="18" charset="0"/>
              <a:cs typeface="Times New Roman" panose="02020603050405020304" pitchFamily="18" charset="0"/>
            </a:rPr>
            <a:t>Wsk rentowności netto</a:t>
          </a:r>
        </a:p>
      </cdr:txBody>
    </cdr:sp>
  </cdr:relSizeAnchor>
  <cdr:relSizeAnchor xmlns:cdr="http://schemas.openxmlformats.org/drawingml/2006/chartDrawing">
    <cdr:from>
      <cdr:x>0.16946</cdr:x>
      <cdr:y>0.87989</cdr:y>
    </cdr:from>
    <cdr:to>
      <cdr:x>0.37441</cdr:x>
      <cdr:y>0.99428</cdr:y>
    </cdr:to>
    <cdr:sp macro="" textlink="">
      <cdr:nvSpPr>
        <cdr:cNvPr id="3" name="pole tekstowe 2">
          <a:extLst xmlns:a="http://schemas.openxmlformats.org/drawingml/2006/main">
            <a:ext uri="{FF2B5EF4-FFF2-40B4-BE49-F238E27FC236}">
              <a16:creationId xmlns:a16="http://schemas.microsoft.com/office/drawing/2014/main" id="{750AFE47-B93B-4EAC-A2C6-7EDF755DC9F7}"/>
            </a:ext>
          </a:extLst>
        </cdr:cNvPr>
        <cdr:cNvSpPr txBox="1"/>
      </cdr:nvSpPr>
      <cdr:spPr>
        <a:xfrm xmlns:a="http://schemas.openxmlformats.org/drawingml/2006/main">
          <a:off x="803276" y="2930526"/>
          <a:ext cx="97155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800">
              <a:latin typeface="Times New Roman" panose="02020603050405020304" pitchFamily="18" charset="0"/>
              <a:cs typeface="Times New Roman" panose="02020603050405020304" pitchFamily="18" charset="0"/>
            </a:rPr>
            <a:t>Wsk rentowności brutto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661460</xdr:colOff>
      <xdr:row>6</xdr:row>
      <xdr:rowOff>181328</xdr:rowOff>
    </xdr:from>
    <xdr:to>
      <xdr:col>17</xdr:col>
      <xdr:colOff>14112</xdr:colOff>
      <xdr:row>19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4FE02CD-E48A-42CF-8277-7C52487F1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235302</xdr:colOff>
      <xdr:row>32</xdr:row>
      <xdr:rowOff>90311</xdr:rowOff>
    </xdr:from>
    <xdr:to>
      <xdr:col>18</xdr:col>
      <xdr:colOff>578556</xdr:colOff>
      <xdr:row>45</xdr:row>
      <xdr:rowOff>156984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C14C19ED-83B2-4605-B76B-3FED36101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77611</xdr:colOff>
      <xdr:row>20</xdr:row>
      <xdr:rowOff>21167</xdr:rowOff>
    </xdr:from>
    <xdr:to>
      <xdr:col>17</xdr:col>
      <xdr:colOff>484188</xdr:colOff>
      <xdr:row>31</xdr:row>
      <xdr:rowOff>79375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8BA1D3E8-A2A1-4F8D-A7B1-DC8D14E96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7056</xdr:colOff>
      <xdr:row>19</xdr:row>
      <xdr:rowOff>155222</xdr:rowOff>
    </xdr:from>
    <xdr:to>
      <xdr:col>24</xdr:col>
      <xdr:colOff>579437</xdr:colOff>
      <xdr:row>31</xdr:row>
      <xdr:rowOff>31749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09FADE24-5D6A-43B7-97F9-9C7916DBE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547688</xdr:colOff>
      <xdr:row>45</xdr:row>
      <xdr:rowOff>135641</xdr:rowOff>
    </xdr:from>
    <xdr:to>
      <xdr:col>24</xdr:col>
      <xdr:colOff>146757</xdr:colOff>
      <xdr:row>58</xdr:row>
      <xdr:rowOff>23813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22A2CFB2-3DFE-4364-BDE6-4AE08FEE1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128764</xdr:colOff>
      <xdr:row>31</xdr:row>
      <xdr:rowOff>43743</xdr:rowOff>
    </xdr:from>
    <xdr:to>
      <xdr:col>24</xdr:col>
      <xdr:colOff>335139</xdr:colOff>
      <xdr:row>41</xdr:row>
      <xdr:rowOff>179563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DDE2DB70-3831-4FE6-8459-84559AD7A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3174</xdr:colOff>
      <xdr:row>6</xdr:row>
      <xdr:rowOff>168629</xdr:rowOff>
    </xdr:from>
    <xdr:to>
      <xdr:col>22</xdr:col>
      <xdr:colOff>592667</xdr:colOff>
      <xdr:row>19</xdr:row>
      <xdr:rowOff>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2E50A691-39ED-49DA-ACAE-6D37E093A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130173</xdr:colOff>
      <xdr:row>33</xdr:row>
      <xdr:rowOff>97365</xdr:rowOff>
    </xdr:from>
    <xdr:to>
      <xdr:col>29</xdr:col>
      <xdr:colOff>548216</xdr:colOff>
      <xdr:row>44</xdr:row>
      <xdr:rowOff>81490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19709C58-FB1E-412B-B686-61746F0F2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91722</xdr:colOff>
      <xdr:row>31</xdr:row>
      <xdr:rowOff>35277</xdr:rowOff>
    </xdr:from>
    <xdr:to>
      <xdr:col>2</xdr:col>
      <xdr:colOff>3528</xdr:colOff>
      <xdr:row>33</xdr:row>
      <xdr:rowOff>29633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90DB923E-071D-47ED-8C91-33A2BB822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2" y="5722055"/>
          <a:ext cx="2451806" cy="361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0</xdr:col>
      <xdr:colOff>1390650</xdr:colOff>
      <xdr:row>35</xdr:row>
      <xdr:rowOff>177800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F1E37801-456B-4045-BC67-8DE79073E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1100"/>
          <a:ext cx="13906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289277</xdr:colOff>
      <xdr:row>41</xdr:row>
      <xdr:rowOff>112889</xdr:rowOff>
    </xdr:from>
    <xdr:to>
      <xdr:col>1</xdr:col>
      <xdr:colOff>498827</xdr:colOff>
      <xdr:row>43</xdr:row>
      <xdr:rowOff>107245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2E0CB754-6870-403E-8EA9-2BB822D0C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277" y="7634111"/>
          <a:ext cx="1867606" cy="361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246944</xdr:colOff>
      <xdr:row>44</xdr:row>
      <xdr:rowOff>49389</xdr:rowOff>
    </xdr:from>
    <xdr:to>
      <xdr:col>1</xdr:col>
      <xdr:colOff>513644</xdr:colOff>
      <xdr:row>46</xdr:row>
      <xdr:rowOff>43745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915BD3CC-0695-4B76-82E0-C60D0E035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944" y="8120945"/>
          <a:ext cx="1924756" cy="3612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578554</xdr:colOff>
      <xdr:row>17</xdr:row>
      <xdr:rowOff>110064</xdr:rowOff>
    </xdr:from>
    <xdr:to>
      <xdr:col>33</xdr:col>
      <xdr:colOff>296332</xdr:colOff>
      <xdr:row>30</xdr:row>
      <xdr:rowOff>101598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7199102-D992-495C-B2F7-8DC589E20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246945</xdr:colOff>
      <xdr:row>26</xdr:row>
      <xdr:rowOff>141110</xdr:rowOff>
    </xdr:from>
    <xdr:to>
      <xdr:col>8</xdr:col>
      <xdr:colOff>88195</xdr:colOff>
      <xdr:row>28</xdr:row>
      <xdr:rowOff>135465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9DA6A646-D37D-425A-95F8-774FC12130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659"/>
        <a:stretch/>
      </xdr:blipFill>
      <xdr:spPr bwMode="auto">
        <a:xfrm>
          <a:off x="5990167" y="4910666"/>
          <a:ext cx="2211917" cy="3612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155222</xdr:colOff>
      <xdr:row>31</xdr:row>
      <xdr:rowOff>148166</xdr:rowOff>
    </xdr:from>
    <xdr:to>
      <xdr:col>8</xdr:col>
      <xdr:colOff>45155</xdr:colOff>
      <xdr:row>33</xdr:row>
      <xdr:rowOff>142522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0CB81513-A60D-4AE4-9881-5DAA9C2414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510"/>
        <a:stretch/>
      </xdr:blipFill>
      <xdr:spPr bwMode="auto">
        <a:xfrm>
          <a:off x="5898444" y="5834944"/>
          <a:ext cx="2260600" cy="361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747889</xdr:colOff>
      <xdr:row>50</xdr:row>
      <xdr:rowOff>35277</xdr:rowOff>
    </xdr:from>
    <xdr:to>
      <xdr:col>9</xdr:col>
      <xdr:colOff>378883</xdr:colOff>
      <xdr:row>52</xdr:row>
      <xdr:rowOff>36688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7DFE3CE4-32A2-4727-9CA9-AD94AC5CFF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246" t="-1953"/>
        <a:stretch/>
      </xdr:blipFill>
      <xdr:spPr bwMode="auto">
        <a:xfrm>
          <a:off x="6491111" y="9207499"/>
          <a:ext cx="2664883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479778</xdr:colOff>
      <xdr:row>0</xdr:row>
      <xdr:rowOff>39511</xdr:rowOff>
    </xdr:from>
    <xdr:to>
      <xdr:col>33</xdr:col>
      <xdr:colOff>197556</xdr:colOff>
      <xdr:row>17</xdr:row>
      <xdr:rowOff>31044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133873D-8862-40ED-97A3-35F1B7289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452436</xdr:colOff>
      <xdr:row>45</xdr:row>
      <xdr:rowOff>17463</xdr:rowOff>
    </xdr:from>
    <xdr:to>
      <xdr:col>30</xdr:col>
      <xdr:colOff>11904</xdr:colOff>
      <xdr:row>58</xdr:row>
      <xdr:rowOff>39688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CC64D9C-FFA8-4757-95CC-EA7709F83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1174750</xdr:colOff>
      <xdr:row>0</xdr:row>
      <xdr:rowOff>0</xdr:rowOff>
    </xdr:from>
    <xdr:to>
      <xdr:col>14</xdr:col>
      <xdr:colOff>12700</xdr:colOff>
      <xdr:row>0</xdr:row>
      <xdr:rowOff>177800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2FB9B30E-16F2-459D-928D-1A1E5980A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6100" y="0"/>
          <a:ext cx="38735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609600</xdr:colOff>
      <xdr:row>8</xdr:row>
      <xdr:rowOff>177800</xdr:rowOff>
    </xdr:from>
    <xdr:to>
      <xdr:col>1</xdr:col>
      <xdr:colOff>11012</xdr:colOff>
      <xdr:row>10</xdr:row>
      <xdr:rowOff>171450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6EAC022F-A1B9-47A8-9819-F4BD660F8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1000"/>
          <a:ext cx="1007962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1079500</xdr:colOff>
      <xdr:row>4</xdr:row>
      <xdr:rowOff>31788</xdr:rowOff>
    </xdr:from>
    <xdr:to>
      <xdr:col>1</xdr:col>
      <xdr:colOff>158750</xdr:colOff>
      <xdr:row>5</xdr:row>
      <xdr:rowOff>184149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954065A7-55A9-46AD-B42A-25E37D373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768388"/>
          <a:ext cx="685800" cy="3365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165100</xdr:colOff>
      <xdr:row>0</xdr:row>
      <xdr:rowOff>0</xdr:rowOff>
    </xdr:from>
    <xdr:to>
      <xdr:col>6</xdr:col>
      <xdr:colOff>361950</xdr:colOff>
      <xdr:row>0</xdr:row>
      <xdr:rowOff>166688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43040B78-74B8-41E4-8204-20968BB77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0"/>
          <a:ext cx="4362450" cy="166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56092</xdr:colOff>
      <xdr:row>8</xdr:row>
      <xdr:rowOff>57150</xdr:rowOff>
    </xdr:from>
    <xdr:to>
      <xdr:col>10</xdr:col>
      <xdr:colOff>565150</xdr:colOff>
      <xdr:row>10</xdr:row>
      <xdr:rowOff>6350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65B2B107-8699-48FC-8ECF-C0F0D1DDC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9842" y="1530350"/>
          <a:ext cx="2566458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1441450</xdr:colOff>
      <xdr:row>3</xdr:row>
      <xdr:rowOff>57150</xdr:rowOff>
    </xdr:from>
    <xdr:to>
      <xdr:col>11</xdr:col>
      <xdr:colOff>260350</xdr:colOff>
      <xdr:row>5</xdr:row>
      <xdr:rowOff>50800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FCE2CD6F-882C-40D1-B21E-783E81F1C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2800" y="609600"/>
          <a:ext cx="19113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Analiza%20ekon.%20dec.%20biz/lab/prezentacja-Atlanta%20Poland/3.Analiza%20rentowno&#347;ci/2_Gu&#347;ciora_AtlantaPoland_Ocena%20p&#322;ynno&#347;ci%20finansowe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ans"/>
      <sheetName val="Rachunek zysków i strat"/>
      <sheetName val="Rachunek przepływów pienieżnych"/>
      <sheetName val="Ocena płynności"/>
      <sheetName val="Zmiany w strukturze KW"/>
    </sheetNames>
    <sheetDataSet>
      <sheetData sheetId="0" refreshError="1">
        <row r="3">
          <cell r="B3">
            <v>40224</v>
          </cell>
          <cell r="C3">
            <v>46126</v>
          </cell>
          <cell r="D3">
            <v>49184</v>
          </cell>
          <cell r="E3">
            <v>39852</v>
          </cell>
        </row>
        <row r="10">
          <cell r="B10">
            <v>109187</v>
          </cell>
          <cell r="C10">
            <v>96294</v>
          </cell>
          <cell r="D10">
            <v>86964</v>
          </cell>
          <cell r="E10">
            <v>101215</v>
          </cell>
        </row>
        <row r="12">
          <cell r="B12">
            <v>36420</v>
          </cell>
          <cell r="C12">
            <v>26627</v>
          </cell>
          <cell r="D12">
            <v>31934</v>
          </cell>
          <cell r="E12">
            <v>32090</v>
          </cell>
        </row>
        <row r="13">
          <cell r="B13">
            <v>62</v>
          </cell>
          <cell r="C13">
            <v>506</v>
          </cell>
          <cell r="D13">
            <v>484</v>
          </cell>
          <cell r="E13">
            <v>0</v>
          </cell>
        </row>
        <row r="14">
          <cell r="B14">
            <v>1811</v>
          </cell>
          <cell r="C14">
            <v>5472</v>
          </cell>
          <cell r="D14">
            <v>2425</v>
          </cell>
          <cell r="E14">
            <v>1362</v>
          </cell>
        </row>
        <row r="15">
          <cell r="B15">
            <v>36</v>
          </cell>
          <cell r="C15">
            <v>36</v>
          </cell>
          <cell r="D15">
            <v>100</v>
          </cell>
          <cell r="E15">
            <v>121</v>
          </cell>
        </row>
        <row r="16">
          <cell r="B16">
            <v>4552</v>
          </cell>
          <cell r="C16">
            <v>8471</v>
          </cell>
          <cell r="D16">
            <v>1872</v>
          </cell>
          <cell r="E16">
            <v>10588</v>
          </cell>
        </row>
        <row r="17">
          <cell r="B17">
            <v>149411</v>
          </cell>
          <cell r="C17">
            <v>142420</v>
          </cell>
          <cell r="D17">
            <v>136148</v>
          </cell>
          <cell r="E17">
            <v>141067</v>
          </cell>
        </row>
        <row r="19">
          <cell r="B19">
            <v>65963</v>
          </cell>
          <cell r="C19">
            <v>66536</v>
          </cell>
          <cell r="D19">
            <v>65171</v>
          </cell>
          <cell r="E19">
            <v>72917</v>
          </cell>
        </row>
        <row r="27">
          <cell r="B27">
            <v>61038</v>
          </cell>
          <cell r="C27">
            <v>4020</v>
          </cell>
          <cell r="D27">
            <v>40360</v>
          </cell>
          <cell r="E27">
            <v>43029</v>
          </cell>
        </row>
        <row r="32">
          <cell r="B32">
            <v>22410</v>
          </cell>
          <cell r="C32">
            <v>71864</v>
          </cell>
          <cell r="D32">
            <v>30617</v>
          </cell>
          <cell r="E32">
            <v>25121</v>
          </cell>
        </row>
        <row r="38">
          <cell r="B38">
            <v>149411</v>
          </cell>
          <cell r="C38">
            <v>142420</v>
          </cell>
          <cell r="D38">
            <v>136148</v>
          </cell>
          <cell r="E38">
            <v>141067</v>
          </cell>
        </row>
      </sheetData>
      <sheetData sheetId="1" refreshError="1">
        <row r="3">
          <cell r="B3">
            <v>262481</v>
          </cell>
          <cell r="C3">
            <v>262590</v>
          </cell>
          <cell r="D3">
            <v>199469</v>
          </cell>
          <cell r="E3">
            <v>232720</v>
          </cell>
        </row>
        <row r="19">
          <cell r="B19">
            <v>9651</v>
          </cell>
          <cell r="C19">
            <v>4533</v>
          </cell>
          <cell r="D19">
            <v>645</v>
          </cell>
          <cell r="E19">
            <v>7746</v>
          </cell>
        </row>
      </sheetData>
      <sheetData sheetId="2" refreshError="1">
        <row r="6">
          <cell r="B6">
            <v>2849</v>
          </cell>
          <cell r="C6">
            <v>2571</v>
          </cell>
          <cell r="D6">
            <v>2943</v>
          </cell>
          <cell r="E6">
            <v>3357</v>
          </cell>
        </row>
        <row r="8">
          <cell r="B8">
            <v>5824</v>
          </cell>
          <cell r="C8">
            <v>25826</v>
          </cell>
          <cell r="D8">
            <v>7914</v>
          </cell>
          <cell r="E8">
            <v>449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8ABE-FB41-4D7C-9C19-49DC13EDE3E1}">
  <sheetPr codeName="Arkusz1"/>
  <dimension ref="A1:K38"/>
  <sheetViews>
    <sheetView topLeftCell="A25" workbookViewId="0">
      <selection activeCell="B11" sqref="B11"/>
    </sheetView>
  </sheetViews>
  <sheetFormatPr defaultRowHeight="14.5" x14ac:dyDescent="0.35"/>
  <cols>
    <col min="1" max="1" width="43.90625" customWidth="1"/>
    <col min="2" max="5" width="10.26953125" bestFit="1" customWidth="1"/>
    <col min="9" max="9" width="24" customWidth="1"/>
  </cols>
  <sheetData>
    <row r="1" spans="1:11" x14ac:dyDescent="0.35">
      <c r="A1" s="81" t="s">
        <v>0</v>
      </c>
      <c r="B1" s="81"/>
      <c r="C1" s="81"/>
      <c r="D1" s="81"/>
      <c r="E1" s="81"/>
      <c r="F1" t="s">
        <v>187</v>
      </c>
    </row>
    <row r="2" spans="1:11" x14ac:dyDescent="0.35">
      <c r="A2" s="1" t="s">
        <v>17</v>
      </c>
      <c r="B2">
        <v>2015</v>
      </c>
      <c r="C2">
        <v>2016</v>
      </c>
      <c r="D2">
        <v>2017</v>
      </c>
      <c r="E2">
        <v>2018</v>
      </c>
      <c r="F2" t="s">
        <v>188</v>
      </c>
      <c r="I2" t="s">
        <v>144</v>
      </c>
      <c r="J2">
        <v>2017</v>
      </c>
      <c r="K2">
        <v>2018</v>
      </c>
    </row>
    <row r="3" spans="1:11" x14ac:dyDescent="0.35">
      <c r="A3" s="2" t="s">
        <v>1</v>
      </c>
      <c r="B3" s="4">
        <v>40224</v>
      </c>
      <c r="C3" s="4">
        <v>46126</v>
      </c>
      <c r="D3" s="4">
        <v>49184</v>
      </c>
      <c r="E3" s="4">
        <v>39852</v>
      </c>
      <c r="I3" t="s">
        <v>142</v>
      </c>
      <c r="J3">
        <v>2995</v>
      </c>
      <c r="K3">
        <v>3112</v>
      </c>
    </row>
    <row r="4" spans="1:11" x14ac:dyDescent="0.35">
      <c r="A4" t="s">
        <v>2</v>
      </c>
      <c r="B4" s="5">
        <v>33893</v>
      </c>
      <c r="C4" s="5">
        <v>39769</v>
      </c>
      <c r="D4" s="5">
        <v>45520</v>
      </c>
      <c r="E4" s="5">
        <v>36280</v>
      </c>
      <c r="I4" t="s">
        <v>143</v>
      </c>
      <c r="J4">
        <v>4576</v>
      </c>
      <c r="K4">
        <v>4823</v>
      </c>
    </row>
    <row r="5" spans="1:11" x14ac:dyDescent="0.35">
      <c r="A5" t="s">
        <v>3</v>
      </c>
      <c r="B5" s="5">
        <v>3071</v>
      </c>
      <c r="C5" s="5">
        <v>3038</v>
      </c>
      <c r="D5" s="5">
        <v>2965</v>
      </c>
      <c r="E5" s="5">
        <v>2918</v>
      </c>
    </row>
    <row r="6" spans="1:11" x14ac:dyDescent="0.35">
      <c r="A6" t="s">
        <v>4</v>
      </c>
      <c r="B6" s="5">
        <v>0</v>
      </c>
      <c r="C6" s="5">
        <v>0</v>
      </c>
      <c r="D6" s="5">
        <v>0</v>
      </c>
      <c r="E6" s="5">
        <v>0</v>
      </c>
    </row>
    <row r="7" spans="1:11" x14ac:dyDescent="0.35">
      <c r="A7" t="s">
        <v>5</v>
      </c>
      <c r="B7" s="5">
        <v>360</v>
      </c>
      <c r="C7" s="5">
        <v>527</v>
      </c>
      <c r="D7" s="5">
        <v>386</v>
      </c>
      <c r="E7" s="5">
        <v>332</v>
      </c>
    </row>
    <row r="8" spans="1:11" x14ac:dyDescent="0.35">
      <c r="A8" t="s">
        <v>6</v>
      </c>
      <c r="B8" s="5">
        <v>2900</v>
      </c>
      <c r="C8" s="5">
        <v>2792</v>
      </c>
      <c r="D8" s="5">
        <v>0</v>
      </c>
      <c r="E8" s="5">
        <v>0</v>
      </c>
    </row>
    <row r="9" spans="1:11" x14ac:dyDescent="0.35">
      <c r="A9" t="s">
        <v>7</v>
      </c>
      <c r="B9" s="5">
        <v>0</v>
      </c>
      <c r="C9" s="5">
        <v>0</v>
      </c>
      <c r="D9" s="5">
        <v>313</v>
      </c>
      <c r="E9" s="5">
        <v>322</v>
      </c>
    </row>
    <row r="10" spans="1:11" x14ac:dyDescent="0.35">
      <c r="A10" s="2" t="s">
        <v>8</v>
      </c>
      <c r="B10" s="4">
        <v>109187</v>
      </c>
      <c r="C10" s="4">
        <v>96294</v>
      </c>
      <c r="D10" s="4">
        <v>86964</v>
      </c>
      <c r="E10" s="4">
        <v>101215</v>
      </c>
    </row>
    <row r="11" spans="1:11" x14ac:dyDescent="0.35">
      <c r="A11" t="s">
        <v>9</v>
      </c>
      <c r="B11" s="5">
        <v>66306</v>
      </c>
      <c r="C11" s="5">
        <v>55182</v>
      </c>
      <c r="D11" s="5">
        <v>50149</v>
      </c>
      <c r="E11" s="5">
        <v>57054</v>
      </c>
    </row>
    <row r="12" spans="1:11" x14ac:dyDescent="0.35">
      <c r="A12" t="s">
        <v>10</v>
      </c>
      <c r="B12" s="5">
        <v>36420</v>
      </c>
      <c r="C12" s="5">
        <v>26627</v>
      </c>
      <c r="D12" s="5">
        <v>31934</v>
      </c>
      <c r="E12" s="5">
        <v>32090</v>
      </c>
    </row>
    <row r="13" spans="1:11" x14ac:dyDescent="0.35">
      <c r="A13" t="s">
        <v>11</v>
      </c>
      <c r="B13" s="5">
        <v>62</v>
      </c>
      <c r="C13" s="5">
        <v>506</v>
      </c>
      <c r="D13" s="5">
        <v>484</v>
      </c>
      <c r="E13" s="5">
        <v>0</v>
      </c>
    </row>
    <row r="14" spans="1:11" x14ac:dyDescent="0.35">
      <c r="A14" t="s">
        <v>12</v>
      </c>
      <c r="B14" s="5">
        <v>1811</v>
      </c>
      <c r="C14" s="5">
        <v>5472</v>
      </c>
      <c r="D14" s="5">
        <v>2425</v>
      </c>
      <c r="E14" s="5">
        <v>1362</v>
      </c>
    </row>
    <row r="15" spans="1:11" x14ac:dyDescent="0.35">
      <c r="A15" t="s">
        <v>13</v>
      </c>
      <c r="B15" s="5">
        <v>36</v>
      </c>
      <c r="C15" s="5">
        <v>36</v>
      </c>
      <c r="D15" s="5">
        <v>100</v>
      </c>
      <c r="E15" s="5">
        <v>121</v>
      </c>
    </row>
    <row r="16" spans="1:11" x14ac:dyDescent="0.35">
      <c r="A16" t="s">
        <v>14</v>
      </c>
      <c r="B16" s="5">
        <v>4552</v>
      </c>
      <c r="C16" s="5">
        <v>8471</v>
      </c>
      <c r="D16" s="5">
        <v>1872</v>
      </c>
      <c r="E16" s="5">
        <v>10588</v>
      </c>
    </row>
    <row r="17" spans="1:9" x14ac:dyDescent="0.35">
      <c r="A17" s="3" t="s">
        <v>15</v>
      </c>
      <c r="B17" s="6">
        <v>149411</v>
      </c>
      <c r="C17" s="6">
        <v>142420</v>
      </c>
      <c r="D17" s="6">
        <v>136148</v>
      </c>
      <c r="E17" s="6">
        <v>141067</v>
      </c>
    </row>
    <row r="18" spans="1:9" x14ac:dyDescent="0.35">
      <c r="A18" s="82" t="s">
        <v>16</v>
      </c>
      <c r="B18" s="82"/>
      <c r="C18" s="82"/>
      <c r="D18" s="82"/>
      <c r="E18" s="82"/>
    </row>
    <row r="19" spans="1:9" x14ac:dyDescent="0.35">
      <c r="A19" s="2" t="s">
        <v>18</v>
      </c>
      <c r="B19" s="7">
        <v>65963</v>
      </c>
      <c r="C19" s="7">
        <v>66536</v>
      </c>
      <c r="D19" s="7">
        <v>65171</v>
      </c>
      <c r="E19" s="7">
        <v>72917</v>
      </c>
    </row>
    <row r="20" spans="1:9" x14ac:dyDescent="0.35">
      <c r="A20" t="s">
        <v>19</v>
      </c>
      <c r="B20" s="8">
        <v>6092</v>
      </c>
      <c r="C20" s="8">
        <v>6092</v>
      </c>
      <c r="D20" s="8">
        <v>6092</v>
      </c>
      <c r="E20" s="8">
        <v>6092</v>
      </c>
    </row>
    <row r="21" spans="1:9" x14ac:dyDescent="0.35">
      <c r="A21" t="s">
        <v>20</v>
      </c>
      <c r="B21" s="8">
        <v>12929</v>
      </c>
      <c r="C21" s="8">
        <v>12929</v>
      </c>
      <c r="D21" s="8">
        <v>12929</v>
      </c>
      <c r="E21" s="8">
        <v>12929</v>
      </c>
    </row>
    <row r="22" spans="1:9" x14ac:dyDescent="0.35">
      <c r="A22" t="s">
        <v>21</v>
      </c>
      <c r="B22" s="8">
        <v>23362</v>
      </c>
      <c r="C22" s="8">
        <v>29053</v>
      </c>
      <c r="D22" s="8">
        <v>31576</v>
      </c>
      <c r="E22" s="8">
        <v>32221</v>
      </c>
    </row>
    <row r="23" spans="1:9" x14ac:dyDescent="0.35">
      <c r="A23" t="s">
        <v>22</v>
      </c>
      <c r="B23" s="8">
        <v>495</v>
      </c>
      <c r="C23" s="8">
        <v>495</v>
      </c>
      <c r="D23" s="8">
        <v>495</v>
      </c>
      <c r="E23" s="8">
        <v>495</v>
      </c>
    </row>
    <row r="24" spans="1:9" x14ac:dyDescent="0.35">
      <c r="A24" t="s">
        <v>23</v>
      </c>
      <c r="B24" s="8">
        <v>8590</v>
      </c>
      <c r="C24" s="8">
        <v>8590</v>
      </c>
      <c r="D24" s="8">
        <v>8590</v>
      </c>
      <c r="E24" s="8">
        <v>8590</v>
      </c>
    </row>
    <row r="25" spans="1:9" x14ac:dyDescent="0.35">
      <c r="A25" t="s">
        <v>24</v>
      </c>
      <c r="B25" s="8">
        <v>4844</v>
      </c>
      <c r="C25" s="8">
        <v>4844</v>
      </c>
      <c r="D25" s="8">
        <v>4844</v>
      </c>
      <c r="E25" s="8">
        <v>4844</v>
      </c>
    </row>
    <row r="26" spans="1:9" x14ac:dyDescent="0.35">
      <c r="A26" t="s">
        <v>25</v>
      </c>
      <c r="B26" s="8">
        <v>9651</v>
      </c>
      <c r="C26" s="8">
        <v>4533</v>
      </c>
      <c r="D26" s="8">
        <v>645</v>
      </c>
      <c r="E26" s="8">
        <v>7746</v>
      </c>
    </row>
    <row r="27" spans="1:9" x14ac:dyDescent="0.35">
      <c r="A27" s="2" t="s">
        <v>26</v>
      </c>
      <c r="B27" s="7">
        <v>61038</v>
      </c>
      <c r="C27" s="7">
        <v>4020</v>
      </c>
      <c r="D27" s="7">
        <v>40360</v>
      </c>
      <c r="E27" s="7">
        <v>43029</v>
      </c>
    </row>
    <row r="28" spans="1:9" x14ac:dyDescent="0.35">
      <c r="A28" t="s">
        <v>27</v>
      </c>
      <c r="B28" s="8">
        <v>59382</v>
      </c>
      <c r="C28" s="8">
        <v>2799</v>
      </c>
      <c r="D28" s="8">
        <v>35151</v>
      </c>
      <c r="E28" s="8">
        <v>38388</v>
      </c>
    </row>
    <row r="29" spans="1:9" x14ac:dyDescent="0.35">
      <c r="A29" t="s">
        <v>28</v>
      </c>
      <c r="B29" s="8">
        <v>561</v>
      </c>
      <c r="C29" s="8">
        <v>499</v>
      </c>
      <c r="D29" s="8">
        <v>809</v>
      </c>
      <c r="E29" s="8">
        <v>1253</v>
      </c>
      <c r="I29" s="8"/>
    </row>
    <row r="30" spans="1:9" x14ac:dyDescent="0.35">
      <c r="A30" t="s">
        <v>29</v>
      </c>
      <c r="B30" s="8">
        <v>997</v>
      </c>
      <c r="C30" s="8">
        <v>668</v>
      </c>
      <c r="D30" s="8">
        <v>4080</v>
      </c>
      <c r="E30" s="8">
        <v>3082</v>
      </c>
    </row>
    <row r="31" spans="1:9" x14ac:dyDescent="0.35">
      <c r="A31" t="s">
        <v>30</v>
      </c>
      <c r="B31" s="8">
        <v>98</v>
      </c>
      <c r="C31" s="8">
        <v>54</v>
      </c>
      <c r="D31" s="8">
        <v>320</v>
      </c>
      <c r="E31" s="8">
        <v>306</v>
      </c>
    </row>
    <row r="32" spans="1:9" x14ac:dyDescent="0.35">
      <c r="A32" s="2" t="s">
        <v>31</v>
      </c>
      <c r="B32" s="7">
        <v>22410</v>
      </c>
      <c r="C32" s="7">
        <v>71864</v>
      </c>
      <c r="D32" s="7">
        <v>30617</v>
      </c>
      <c r="E32" s="7">
        <v>25121</v>
      </c>
    </row>
    <row r="33" spans="1:5" x14ac:dyDescent="0.35">
      <c r="A33" t="s">
        <v>27</v>
      </c>
      <c r="B33" s="8">
        <v>85</v>
      </c>
      <c r="C33" s="8">
        <v>47281</v>
      </c>
      <c r="D33" s="8">
        <v>5184</v>
      </c>
      <c r="E33" s="8">
        <v>0</v>
      </c>
    </row>
    <row r="34" spans="1:5" x14ac:dyDescent="0.35">
      <c r="A34" t="s">
        <v>32</v>
      </c>
      <c r="B34" s="8">
        <v>18155</v>
      </c>
      <c r="C34" s="8">
        <v>20091</v>
      </c>
      <c r="D34" s="8">
        <v>20932</v>
      </c>
      <c r="E34" s="8">
        <v>20069</v>
      </c>
    </row>
    <row r="35" spans="1:5" x14ac:dyDescent="0.35">
      <c r="A35" t="s">
        <v>33</v>
      </c>
      <c r="B35" s="8">
        <v>0</v>
      </c>
      <c r="C35" s="8">
        <v>0</v>
      </c>
      <c r="D35" s="8">
        <v>0</v>
      </c>
      <c r="E35" s="8">
        <v>320</v>
      </c>
    </row>
    <row r="36" spans="1:5" x14ac:dyDescent="0.35">
      <c r="A36" t="s">
        <v>34</v>
      </c>
      <c r="B36" s="8">
        <v>4147</v>
      </c>
      <c r="C36" s="8">
        <v>4469</v>
      </c>
      <c r="D36" s="8">
        <v>4462</v>
      </c>
      <c r="E36" s="8">
        <v>4658</v>
      </c>
    </row>
    <row r="37" spans="1:5" x14ac:dyDescent="0.35">
      <c r="A37" t="s">
        <v>30</v>
      </c>
      <c r="B37" s="8">
        <v>23</v>
      </c>
      <c r="C37" s="8">
        <v>23</v>
      </c>
      <c r="D37" s="8">
        <v>39</v>
      </c>
      <c r="E37" s="8">
        <v>74</v>
      </c>
    </row>
    <row r="38" spans="1:5" x14ac:dyDescent="0.35">
      <c r="A38" s="3" t="s">
        <v>35</v>
      </c>
      <c r="B38" s="9">
        <v>149411</v>
      </c>
      <c r="C38" s="9">
        <v>142420</v>
      </c>
      <c r="D38" s="9">
        <v>136148</v>
      </c>
      <c r="E38" s="9">
        <v>141067</v>
      </c>
    </row>
  </sheetData>
  <mergeCells count="2">
    <mergeCell ref="A1:E1"/>
    <mergeCell ref="A18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515C4-11B8-4343-B8EA-A5A3BE942885}">
  <sheetPr codeName="Arkusz4"/>
  <dimension ref="A1:F19"/>
  <sheetViews>
    <sheetView workbookViewId="0">
      <selection activeCell="F1" sqref="F1:F2"/>
    </sheetView>
  </sheetViews>
  <sheetFormatPr defaultRowHeight="14.5" x14ac:dyDescent="0.35"/>
  <cols>
    <col min="1" max="1" width="35.90625" customWidth="1"/>
    <col min="2" max="5" width="10.26953125" bestFit="1" customWidth="1"/>
  </cols>
  <sheetData>
    <row r="1" spans="1:6" x14ac:dyDescent="0.35">
      <c r="A1" s="81" t="s">
        <v>36</v>
      </c>
      <c r="B1" s="81"/>
      <c r="C1" s="81"/>
      <c r="D1" s="81"/>
      <c r="E1" s="81"/>
      <c r="F1" t="s">
        <v>187</v>
      </c>
    </row>
    <row r="2" spans="1:6" x14ac:dyDescent="0.35">
      <c r="B2">
        <v>2015</v>
      </c>
      <c r="C2">
        <v>2016</v>
      </c>
      <c r="D2">
        <v>2017</v>
      </c>
      <c r="E2">
        <v>2018</v>
      </c>
      <c r="F2" t="s">
        <v>188</v>
      </c>
    </row>
    <row r="3" spans="1:6" x14ac:dyDescent="0.35">
      <c r="A3" s="2" t="s">
        <v>37</v>
      </c>
      <c r="B3" s="4">
        <v>262481</v>
      </c>
      <c r="C3" s="4">
        <v>262590</v>
      </c>
      <c r="D3" s="4">
        <v>199469</v>
      </c>
      <c r="E3" s="4">
        <v>232720</v>
      </c>
    </row>
    <row r="4" spans="1:6" x14ac:dyDescent="0.35">
      <c r="A4" t="s">
        <v>38</v>
      </c>
      <c r="B4" s="5">
        <v>170854</v>
      </c>
      <c r="C4" s="5">
        <v>179637</v>
      </c>
      <c r="D4" s="5">
        <v>132131</v>
      </c>
      <c r="E4" s="5">
        <v>164567</v>
      </c>
    </row>
    <row r="5" spans="1:6" x14ac:dyDescent="0.35">
      <c r="A5" t="s">
        <v>39</v>
      </c>
      <c r="B5" s="5">
        <v>91627</v>
      </c>
      <c r="C5" s="5">
        <v>82953</v>
      </c>
      <c r="D5" s="5">
        <v>67338</v>
      </c>
      <c r="E5" s="5">
        <v>68153</v>
      </c>
    </row>
    <row r="6" spans="1:6" x14ac:dyDescent="0.35">
      <c r="A6" s="2" t="s">
        <v>40</v>
      </c>
      <c r="B6" s="4">
        <v>219579</v>
      </c>
      <c r="C6" s="4">
        <v>226864</v>
      </c>
      <c r="D6" s="4">
        <v>169826</v>
      </c>
      <c r="E6" s="4">
        <v>196770</v>
      </c>
    </row>
    <row r="7" spans="1:6" x14ac:dyDescent="0.35">
      <c r="A7" t="s">
        <v>41</v>
      </c>
      <c r="B7" s="5">
        <v>141096</v>
      </c>
      <c r="C7" s="5">
        <v>150874</v>
      </c>
      <c r="D7" s="5">
        <v>110909</v>
      </c>
      <c r="E7" s="5">
        <v>137229</v>
      </c>
    </row>
    <row r="8" spans="1:6" x14ac:dyDescent="0.35">
      <c r="A8" t="s">
        <v>42</v>
      </c>
      <c r="B8" s="5">
        <v>78483</v>
      </c>
      <c r="C8" s="5">
        <v>75990</v>
      </c>
      <c r="D8" s="5">
        <v>58917</v>
      </c>
      <c r="E8" s="5">
        <v>59541</v>
      </c>
    </row>
    <row r="9" spans="1:6" x14ac:dyDescent="0.35">
      <c r="A9" s="2" t="s">
        <v>43</v>
      </c>
      <c r="B9" s="4">
        <v>42902</v>
      </c>
      <c r="C9" s="4">
        <v>35726</v>
      </c>
      <c r="D9" s="4">
        <v>29643</v>
      </c>
      <c r="E9" s="4">
        <v>35950</v>
      </c>
    </row>
    <row r="10" spans="1:6" x14ac:dyDescent="0.35">
      <c r="A10" t="s">
        <v>44</v>
      </c>
      <c r="B10" s="5">
        <v>1700</v>
      </c>
      <c r="C10" s="5">
        <v>1810</v>
      </c>
      <c r="D10" s="5">
        <v>3551</v>
      </c>
      <c r="E10" s="5">
        <v>9683</v>
      </c>
    </row>
    <row r="11" spans="1:6" x14ac:dyDescent="0.35">
      <c r="A11" t="s">
        <v>45</v>
      </c>
      <c r="B11" s="5">
        <v>19458</v>
      </c>
      <c r="C11" s="5">
        <v>21207</v>
      </c>
      <c r="D11" s="5">
        <v>20639</v>
      </c>
      <c r="E11" s="5">
        <v>24446</v>
      </c>
    </row>
    <row r="12" spans="1:6" x14ac:dyDescent="0.35">
      <c r="A12" t="s">
        <v>53</v>
      </c>
      <c r="B12" s="5">
        <v>8770</v>
      </c>
      <c r="C12" s="5">
        <v>8342</v>
      </c>
      <c r="D12" s="5">
        <v>8631</v>
      </c>
      <c r="E12" s="5">
        <v>8661</v>
      </c>
    </row>
    <row r="13" spans="1:6" x14ac:dyDescent="0.35">
      <c r="A13" t="s">
        <v>46</v>
      </c>
      <c r="B13" s="5">
        <v>3228</v>
      </c>
      <c r="C13" s="5">
        <v>1805</v>
      </c>
      <c r="D13" s="5">
        <v>1205</v>
      </c>
      <c r="E13" s="5">
        <v>1977</v>
      </c>
    </row>
    <row r="14" spans="1:6" x14ac:dyDescent="0.35">
      <c r="A14" s="2" t="s">
        <v>47</v>
      </c>
      <c r="B14" s="4">
        <v>13146</v>
      </c>
      <c r="C14" s="4">
        <v>6182</v>
      </c>
      <c r="D14" s="4">
        <v>2719</v>
      </c>
      <c r="E14" s="4">
        <v>10549</v>
      </c>
    </row>
    <row r="15" spans="1:6" x14ac:dyDescent="0.35">
      <c r="A15" t="s">
        <v>48</v>
      </c>
      <c r="B15" s="5">
        <v>781</v>
      </c>
      <c r="C15" s="5">
        <v>1034</v>
      </c>
      <c r="D15" s="5">
        <v>49</v>
      </c>
      <c r="E15" s="5">
        <v>711</v>
      </c>
    </row>
    <row r="16" spans="1:6" x14ac:dyDescent="0.35">
      <c r="A16" t="s">
        <v>49</v>
      </c>
      <c r="B16" s="5">
        <v>1803</v>
      </c>
      <c r="C16" s="5">
        <v>1581</v>
      </c>
      <c r="D16" s="5">
        <v>1741</v>
      </c>
      <c r="E16" s="5">
        <v>1289</v>
      </c>
    </row>
    <row r="17" spans="1:5" x14ac:dyDescent="0.35">
      <c r="A17" s="2" t="s">
        <v>50</v>
      </c>
      <c r="B17" s="4">
        <v>12124</v>
      </c>
      <c r="C17" s="4">
        <v>5635</v>
      </c>
      <c r="D17" s="4">
        <v>1027</v>
      </c>
      <c r="E17" s="4">
        <v>9971</v>
      </c>
    </row>
    <row r="18" spans="1:5" x14ac:dyDescent="0.35">
      <c r="A18" t="s">
        <v>51</v>
      </c>
      <c r="B18" s="5">
        <v>2473</v>
      </c>
      <c r="C18" s="5">
        <v>1102</v>
      </c>
      <c r="D18" s="5">
        <v>382</v>
      </c>
      <c r="E18" s="5">
        <v>2225</v>
      </c>
    </row>
    <row r="19" spans="1:5" x14ac:dyDescent="0.35">
      <c r="A19" s="2" t="s">
        <v>52</v>
      </c>
      <c r="B19" s="4">
        <v>9651</v>
      </c>
      <c r="C19" s="4">
        <v>4533</v>
      </c>
      <c r="D19" s="4">
        <v>645</v>
      </c>
      <c r="E19" s="4">
        <v>7746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C284-20AB-484A-9DB3-1C8CD545D78D}">
  <sheetPr codeName="Arkusz2"/>
  <dimension ref="A1:F16"/>
  <sheetViews>
    <sheetView workbookViewId="0">
      <selection activeCell="A22" sqref="A22"/>
    </sheetView>
  </sheetViews>
  <sheetFormatPr defaultRowHeight="14.5" x14ac:dyDescent="0.35"/>
  <cols>
    <col min="1" max="1" width="51.90625" customWidth="1"/>
    <col min="2" max="2" width="9.26953125" bestFit="1" customWidth="1"/>
    <col min="3" max="3" width="9.36328125" bestFit="1" customWidth="1"/>
    <col min="4" max="5" width="9.26953125" bestFit="1" customWidth="1"/>
  </cols>
  <sheetData>
    <row r="1" spans="1:6" x14ac:dyDescent="0.35">
      <c r="A1" s="81" t="s">
        <v>54</v>
      </c>
      <c r="B1" s="81"/>
      <c r="C1" s="81"/>
      <c r="D1" s="81"/>
      <c r="E1" s="81"/>
      <c r="F1" t="s">
        <v>187</v>
      </c>
    </row>
    <row r="2" spans="1:6" x14ac:dyDescent="0.35">
      <c r="B2">
        <v>2015</v>
      </c>
      <c r="C2">
        <v>2016</v>
      </c>
      <c r="D2">
        <v>2017</v>
      </c>
      <c r="E2">
        <v>2018</v>
      </c>
      <c r="F2" t="s">
        <v>188</v>
      </c>
    </row>
    <row r="3" spans="1:6" x14ac:dyDescent="0.35">
      <c r="A3" s="82" t="s">
        <v>55</v>
      </c>
      <c r="B3" s="82"/>
      <c r="C3" s="82"/>
      <c r="D3" s="82"/>
      <c r="E3" s="82"/>
    </row>
    <row r="4" spans="1:6" x14ac:dyDescent="0.35">
      <c r="A4" t="s">
        <v>56</v>
      </c>
      <c r="B4" s="5">
        <v>12124</v>
      </c>
      <c r="C4" s="5">
        <v>5635</v>
      </c>
      <c r="D4" s="5">
        <v>1027</v>
      </c>
      <c r="E4" s="5">
        <v>9971</v>
      </c>
    </row>
    <row r="5" spans="1:6" x14ac:dyDescent="0.35">
      <c r="A5" t="s">
        <v>57</v>
      </c>
      <c r="B5" s="5">
        <v>-6300</v>
      </c>
      <c r="C5" s="5">
        <v>20191</v>
      </c>
      <c r="D5" s="5">
        <v>6887</v>
      </c>
      <c r="E5" s="5">
        <v>-9522</v>
      </c>
    </row>
    <row r="6" spans="1:6" x14ac:dyDescent="0.35">
      <c r="A6" t="s">
        <v>58</v>
      </c>
      <c r="B6" s="5">
        <v>2849</v>
      </c>
      <c r="C6" s="5">
        <v>2571</v>
      </c>
      <c r="D6" s="5">
        <v>2943</v>
      </c>
      <c r="E6" s="5">
        <v>3357</v>
      </c>
    </row>
    <row r="7" spans="1:6" x14ac:dyDescent="0.35">
      <c r="A7" t="s">
        <v>59</v>
      </c>
      <c r="B7" s="5">
        <v>-8447</v>
      </c>
      <c r="C7" s="5">
        <v>17871</v>
      </c>
      <c r="D7" s="5">
        <v>3379</v>
      </c>
      <c r="E7" s="5">
        <v>-5855</v>
      </c>
    </row>
    <row r="8" spans="1:6" x14ac:dyDescent="0.35">
      <c r="A8" s="2" t="s">
        <v>60</v>
      </c>
      <c r="B8" s="4">
        <v>5824</v>
      </c>
      <c r="C8" s="4">
        <v>25826</v>
      </c>
      <c r="D8" s="4">
        <v>7914</v>
      </c>
      <c r="E8" s="4">
        <v>449</v>
      </c>
    </row>
    <row r="9" spans="1:6" x14ac:dyDescent="0.35">
      <c r="A9" s="82" t="s">
        <v>61</v>
      </c>
      <c r="B9" s="82"/>
      <c r="C9" s="82"/>
      <c r="D9" s="82"/>
      <c r="E9" s="82"/>
    </row>
    <row r="10" spans="1:6" x14ac:dyDescent="0.35">
      <c r="A10" s="2" t="s">
        <v>62</v>
      </c>
      <c r="B10" s="4">
        <v>-4524</v>
      </c>
      <c r="C10" s="4">
        <v>-6663</v>
      </c>
      <c r="D10" s="4">
        <v>-129</v>
      </c>
      <c r="E10" s="4">
        <v>12561</v>
      </c>
    </row>
    <row r="11" spans="1:6" x14ac:dyDescent="0.35">
      <c r="A11" s="82" t="s">
        <v>63</v>
      </c>
      <c r="B11" s="82"/>
      <c r="C11" s="82"/>
      <c r="D11" s="82"/>
      <c r="E11" s="82"/>
    </row>
    <row r="12" spans="1:6" x14ac:dyDescent="0.35">
      <c r="A12" t="s">
        <v>64</v>
      </c>
      <c r="B12" s="5">
        <v>2376</v>
      </c>
      <c r="C12" s="5">
        <v>-3960</v>
      </c>
      <c r="D12" s="5">
        <v>-2010</v>
      </c>
      <c r="E12" s="5">
        <v>0</v>
      </c>
    </row>
    <row r="13" spans="1:6" x14ac:dyDescent="0.35">
      <c r="A13" s="2" t="s">
        <v>65</v>
      </c>
      <c r="B13" s="4">
        <v>-915</v>
      </c>
      <c r="C13" s="4">
        <v>-15244</v>
      </c>
      <c r="D13" s="4">
        <v>-14327</v>
      </c>
      <c r="E13" s="4">
        <v>-4584</v>
      </c>
    </row>
    <row r="14" spans="1:6" x14ac:dyDescent="0.35">
      <c r="A14" t="s">
        <v>66</v>
      </c>
      <c r="B14" s="5">
        <v>385</v>
      </c>
      <c r="C14" s="5">
        <v>3919</v>
      </c>
      <c r="D14" s="5">
        <v>-6542</v>
      </c>
      <c r="E14" s="5">
        <v>8426</v>
      </c>
    </row>
    <row r="15" spans="1:6" x14ac:dyDescent="0.35">
      <c r="A15" s="10" t="s">
        <v>67</v>
      </c>
      <c r="B15" s="11">
        <v>4167</v>
      </c>
      <c r="C15" s="11">
        <v>4552</v>
      </c>
      <c r="D15" s="11">
        <v>8471</v>
      </c>
      <c r="E15" s="11">
        <v>1929</v>
      </c>
    </row>
    <row r="16" spans="1:6" x14ac:dyDescent="0.35">
      <c r="A16" s="10" t="s">
        <v>68</v>
      </c>
      <c r="B16" s="11">
        <v>4552</v>
      </c>
      <c r="C16" s="11">
        <v>8471</v>
      </c>
      <c r="D16" s="11">
        <v>1929</v>
      </c>
      <c r="E16" s="11">
        <v>10355</v>
      </c>
    </row>
  </sheetData>
  <mergeCells count="4">
    <mergeCell ref="A11:E11"/>
    <mergeCell ref="A9:E9"/>
    <mergeCell ref="A3:E3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6B01-10F6-44FA-A69D-7F9A70D0EC5E}">
  <sheetPr codeName="Arkusz3"/>
  <dimension ref="O1:O2"/>
  <sheetViews>
    <sheetView workbookViewId="0">
      <selection activeCell="O1" sqref="O1:O2"/>
    </sheetView>
  </sheetViews>
  <sheetFormatPr defaultRowHeight="14.5" x14ac:dyDescent="0.35"/>
  <sheetData>
    <row r="1" spans="15:15" x14ac:dyDescent="0.35">
      <c r="O1" t="s">
        <v>187</v>
      </c>
    </row>
    <row r="2" spans="15:15" x14ac:dyDescent="0.35">
      <c r="O2" t="s">
        <v>188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ED7F-2BB0-4DBA-AFA1-97CC46E56480}">
  <sheetPr codeName="Arkusz7"/>
  <dimension ref="A1:Y67"/>
  <sheetViews>
    <sheetView workbookViewId="0">
      <selection activeCell="I18" sqref="I18"/>
    </sheetView>
  </sheetViews>
  <sheetFormatPr defaultRowHeight="14.5" x14ac:dyDescent="0.35"/>
  <cols>
    <col min="1" max="1" width="27.453125" customWidth="1"/>
    <col min="2" max="2" width="11.08984375" customWidth="1"/>
    <col min="3" max="3" width="10.81640625" customWidth="1"/>
    <col min="4" max="4" width="10.7265625" customWidth="1"/>
    <col min="5" max="5" width="10.36328125" customWidth="1"/>
    <col min="7" max="7" width="29.90625" customWidth="1"/>
    <col min="8" max="8" width="10.08984375" customWidth="1"/>
    <col min="9" max="9" width="10.6328125" customWidth="1"/>
    <col min="10" max="11" width="10.453125" customWidth="1"/>
    <col min="13" max="13" width="30.26953125" customWidth="1"/>
    <col min="14" max="14" width="10.453125" bestFit="1" customWidth="1"/>
    <col min="15" max="15" width="11.26953125" bestFit="1" customWidth="1"/>
    <col min="16" max="17" width="10.36328125" bestFit="1" customWidth="1"/>
    <col min="21" max="21" width="11" customWidth="1"/>
    <col min="22" max="22" width="10.6328125" customWidth="1"/>
    <col min="23" max="23" width="10.81640625" customWidth="1"/>
    <col min="24" max="24" width="11.6328125" customWidth="1"/>
    <col min="25" max="25" width="10.90625" customWidth="1"/>
  </cols>
  <sheetData>
    <row r="1" spans="1:24" x14ac:dyDescent="0.35">
      <c r="A1" s="83" t="s">
        <v>69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3" spans="1:24" x14ac:dyDescent="0.35">
      <c r="A3" t="s">
        <v>70</v>
      </c>
    </row>
    <row r="4" spans="1:24" x14ac:dyDescent="0.35">
      <c r="A4" s="12" t="s">
        <v>74</v>
      </c>
      <c r="G4" s="12" t="s">
        <v>72</v>
      </c>
      <c r="M4" s="12" t="s">
        <v>75</v>
      </c>
    </row>
    <row r="9" spans="1:24" x14ac:dyDescent="0.35">
      <c r="A9" s="23"/>
      <c r="B9" s="23">
        <v>2015</v>
      </c>
      <c r="C9" s="23">
        <v>2016</v>
      </c>
      <c r="D9" s="23">
        <v>2017</v>
      </c>
      <c r="E9" s="23">
        <v>2018</v>
      </c>
      <c r="G9" s="10"/>
      <c r="H9" s="10">
        <v>2015</v>
      </c>
      <c r="I9" s="10">
        <v>2016</v>
      </c>
      <c r="J9" s="10">
        <v>2017</v>
      </c>
      <c r="K9" s="10">
        <v>2018</v>
      </c>
      <c r="M9" s="22"/>
      <c r="N9" s="22">
        <v>2015</v>
      </c>
      <c r="O9" s="22">
        <v>2016</v>
      </c>
      <c r="P9" s="22">
        <v>2017</v>
      </c>
      <c r="Q9" s="22">
        <v>2018</v>
      </c>
      <c r="T9" s="67"/>
      <c r="U9" s="67">
        <v>2015</v>
      </c>
      <c r="V9" s="67">
        <v>2016</v>
      </c>
      <c r="W9" s="67">
        <v>2017</v>
      </c>
      <c r="X9" s="67">
        <v>2018</v>
      </c>
    </row>
    <row r="10" spans="1:24" x14ac:dyDescent="0.35">
      <c r="A10" s="23" t="s">
        <v>76</v>
      </c>
      <c r="B10" s="37">
        <f>([1]Bilans!B15+[1]Bilans!B16)/[1]Bilans!B32</f>
        <v>0.20473003123605532</v>
      </c>
      <c r="C10" s="37">
        <f>([1]Bilans!C15+[1]Bilans!C16)/[1]Bilans!C32</f>
        <v>0.11837637760213737</v>
      </c>
      <c r="D10" s="37">
        <f>([1]Bilans!D15+[1]Bilans!D16)/[1]Bilans!D32</f>
        <v>6.4408661854525262E-2</v>
      </c>
      <c r="E10" s="37">
        <f>([1]Bilans!E15+[1]Bilans!E16)/[1]Bilans!E32</f>
        <v>0.42629672385653439</v>
      </c>
      <c r="G10" s="10" t="s">
        <v>73</v>
      </c>
      <c r="H10" s="38">
        <f>([1]Bilans!B12+[1]Bilans!B13+[1]Bilans!B14+[1]Bilans!B15+[1]Bilans!B16)/[1]Bilans!B32</f>
        <v>1.9134761267291387</v>
      </c>
      <c r="I10" s="38">
        <f>([1]Bilans!C12+[1]Bilans!C13+[1]Bilans!C14+[1]Bilans!C15+[1]Bilans!C16)/[1]Bilans!C32</f>
        <v>0.57208059668262268</v>
      </c>
      <c r="J10" s="38">
        <f>([1]Bilans!D12+[1]Bilans!D13+[1]Bilans!D14+[1]Bilans!D15+[1]Bilans!D16)/[1]Bilans!D32</f>
        <v>1.2024365548551459</v>
      </c>
      <c r="K10" s="38">
        <f>([1]Bilans!E12+[1]Bilans!E13+[1]Bilans!E14+[1]Bilans!E15+[1]Bilans!E16)/[1]Bilans!E32</f>
        <v>1.7579316110027468</v>
      </c>
      <c r="M10" s="22" t="s">
        <v>71</v>
      </c>
      <c r="N10" s="39">
        <f>'(1)Bilans'!B10/'(1)Bilans'!B32</f>
        <v>4.8722445336903171</v>
      </c>
      <c r="O10" s="39">
        <f>'(1)Bilans'!C10/'(1)Bilans'!C32</f>
        <v>1.339947678949126</v>
      </c>
      <c r="P10" s="39">
        <f>'(1)Bilans'!D10/'(1)Bilans'!D32</f>
        <v>2.8403827938726853</v>
      </c>
      <c r="Q10" s="39">
        <f>'(1)Bilans'!E10/'(1)Bilans'!E32</f>
        <v>4.0290991600652841</v>
      </c>
      <c r="T10" s="67" t="s">
        <v>203</v>
      </c>
      <c r="U10" s="50">
        <f>('(1)Bilans'!B16+'(1)Bilans'!B15)/'(1)Bilans'!B32</f>
        <v>0.20473003123605532</v>
      </c>
      <c r="V10" s="50">
        <f>('(1)Bilans'!C16+'(1)Bilans'!C15)/'(1)Bilans'!C32</f>
        <v>0.11837637760213737</v>
      </c>
      <c r="W10" s="50">
        <f>('(1)Bilans'!D16+'(1)Bilans'!D15)/'(1)Bilans'!D32</f>
        <v>6.4408661854525262E-2</v>
      </c>
      <c r="X10" s="50">
        <f>('(1)Bilans'!E16+'(1)Bilans'!E15)/'(1)Bilans'!E32</f>
        <v>0.42629672385653439</v>
      </c>
    </row>
    <row r="11" spans="1:24" x14ac:dyDescent="0.35">
      <c r="T11" s="67"/>
      <c r="U11" s="67">
        <v>2015</v>
      </c>
      <c r="V11" s="67">
        <v>2016</v>
      </c>
      <c r="W11" s="67">
        <v>2017</v>
      </c>
      <c r="X11" s="67">
        <v>2018</v>
      </c>
    </row>
    <row r="12" spans="1:24" x14ac:dyDescent="0.35">
      <c r="T12" s="67" t="s">
        <v>204</v>
      </c>
      <c r="U12" s="50">
        <f>('(1)Bilans'!B15+'(1)Bilans'!B16+'(1)Bilans'!B14+'(1)Bilans'!B13+'(1)Bilans'!B12)/'(1)Bilans'!B32</f>
        <v>1.9134761267291387</v>
      </c>
      <c r="V12" s="50">
        <f>('(1)Bilans'!C15+'(1)Bilans'!C16+'(1)Bilans'!C14+'(1)Bilans'!C13+'(1)Bilans'!C12)/'(1)Bilans'!C32</f>
        <v>0.57208059668262268</v>
      </c>
      <c r="W12" s="50">
        <f>('(1)Bilans'!D15+'(1)Bilans'!D16+'(1)Bilans'!D14+'(1)Bilans'!D13+'(1)Bilans'!D12)/'(1)Bilans'!D32</f>
        <v>1.2024365548551459</v>
      </c>
      <c r="X12" s="50">
        <f>('(1)Bilans'!E15+'(1)Bilans'!E16+'(1)Bilans'!E14+'(1)Bilans'!E13+'(1)Bilans'!E12)/'(1)Bilans'!E32</f>
        <v>1.7579316110027468</v>
      </c>
    </row>
    <row r="13" spans="1:24" x14ac:dyDescent="0.35">
      <c r="A13" s="83" t="s">
        <v>77</v>
      </c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T13" s="67"/>
      <c r="U13" s="67">
        <v>2015</v>
      </c>
      <c r="V13" s="67">
        <v>2016</v>
      </c>
      <c r="W13" s="67">
        <v>2017</v>
      </c>
      <c r="X13" s="67">
        <v>2018</v>
      </c>
    </row>
    <row r="14" spans="1:24" x14ac:dyDescent="0.35">
      <c r="A14" t="s">
        <v>70</v>
      </c>
      <c r="T14" s="67" t="s">
        <v>205</v>
      </c>
      <c r="U14" s="50">
        <f>'(1)Bilans'!B10/'(1)Bilans'!B32</f>
        <v>4.8722445336903171</v>
      </c>
      <c r="V14" s="50">
        <f>'(1)Bilans'!C10/'(1)Bilans'!C32</f>
        <v>1.339947678949126</v>
      </c>
      <c r="W14" s="50">
        <f>'(1)Bilans'!D10/'(1)Bilans'!D32</f>
        <v>2.8403827938726853</v>
      </c>
      <c r="X14" s="50">
        <f>'(1)Bilans'!E10/'(1)Bilans'!E32</f>
        <v>4.0290991600652841</v>
      </c>
    </row>
    <row r="15" spans="1:24" x14ac:dyDescent="0.35">
      <c r="A15" s="12" t="s">
        <v>78</v>
      </c>
      <c r="G15" s="12" t="s">
        <v>81</v>
      </c>
      <c r="M15" s="12" t="s">
        <v>84</v>
      </c>
    </row>
    <row r="16" spans="1:24" x14ac:dyDescent="0.35">
      <c r="A16" t="s">
        <v>79</v>
      </c>
      <c r="G16" t="s">
        <v>82</v>
      </c>
    </row>
    <row r="17" spans="1:25" ht="15" thickBot="1" x14ac:dyDescent="0.4">
      <c r="A17" s="18"/>
      <c r="B17" s="18">
        <v>2015</v>
      </c>
      <c r="C17" s="18">
        <v>2016</v>
      </c>
      <c r="D17" s="18">
        <v>2017</v>
      </c>
      <c r="E17" s="18">
        <v>2018</v>
      </c>
      <c r="G17" s="20"/>
      <c r="H17" s="20">
        <v>2015</v>
      </c>
      <c r="I17" s="20">
        <v>2016</v>
      </c>
      <c r="J17" s="20">
        <v>2017</v>
      </c>
      <c r="K17" s="20">
        <v>2018</v>
      </c>
      <c r="M17" s="21"/>
      <c r="N17" s="21">
        <v>2015</v>
      </c>
      <c r="O17" s="21">
        <v>2016</v>
      </c>
      <c r="P17" s="21">
        <v>2017</v>
      </c>
      <c r="Q17" s="21">
        <v>2018</v>
      </c>
    </row>
    <row r="18" spans="1:25" ht="15" thickBot="1" x14ac:dyDescent="0.4">
      <c r="A18" s="18" t="s">
        <v>80</v>
      </c>
      <c r="B18" s="19">
        <v>385</v>
      </c>
      <c r="C18" s="19">
        <v>3919</v>
      </c>
      <c r="D18" s="19">
        <v>6542</v>
      </c>
      <c r="E18" s="19">
        <v>8426</v>
      </c>
      <c r="G18" s="20" t="s">
        <v>83</v>
      </c>
      <c r="H18" s="20">
        <f>'[1]Rachunek zysków i strat'!B19+'[1]Rachunek przepływów pienieżnych'!B6</f>
        <v>12500</v>
      </c>
      <c r="I18" s="20">
        <f>'[1]Rachunek zysków i strat'!C19+'[1]Rachunek przepływów pienieżnych'!C6</f>
        <v>7104</v>
      </c>
      <c r="J18" s="20">
        <f>'[1]Rachunek zysków i strat'!D19+'[1]Rachunek przepływów pienieżnych'!D6</f>
        <v>3588</v>
      </c>
      <c r="K18" s="20">
        <f>'[1]Rachunek zysków i strat'!E19+'[1]Rachunek przepływów pienieżnych'!E6</f>
        <v>11103</v>
      </c>
      <c r="M18" s="21" t="s">
        <v>85</v>
      </c>
      <c r="N18" s="21">
        <f>'[1]Rachunek zysków i strat'!B19/'[1]Rachunek przepływów pienieżnych'!B8</f>
        <v>1.6571085164835164</v>
      </c>
      <c r="O18" s="21">
        <f>'[1]Rachunek zysków i strat'!C19/'[1]Rachunek przepływów pienieżnych'!C8</f>
        <v>0.17552079299930304</v>
      </c>
      <c r="P18" s="21">
        <f>'[1]Rachunek zysków i strat'!D19/'[1]Rachunek przepływów pienieżnych'!D8</f>
        <v>8.1501137225170578E-2</v>
      </c>
      <c r="Q18" s="21">
        <f>'[1]Rachunek zysków i strat'!E19/'[1]Rachunek przepływów pienieżnych'!E8</f>
        <v>17.251670378619153</v>
      </c>
      <c r="T18" s="68"/>
      <c r="U18" s="69">
        <v>2015</v>
      </c>
      <c r="V18" s="69">
        <v>2016</v>
      </c>
      <c r="W18" s="69">
        <v>2017</v>
      </c>
      <c r="X18" s="69">
        <v>2018</v>
      </c>
    </row>
    <row r="19" spans="1:25" ht="15" thickBot="1" x14ac:dyDescent="0.4">
      <c r="T19" s="70" t="s">
        <v>206</v>
      </c>
      <c r="U19" s="71" t="s">
        <v>207</v>
      </c>
      <c r="V19" s="71" t="s">
        <v>208</v>
      </c>
      <c r="W19" s="72">
        <v>56347</v>
      </c>
      <c r="X19" s="72">
        <v>76094</v>
      </c>
    </row>
    <row r="23" spans="1:25" x14ac:dyDescent="0.35">
      <c r="A23" s="12" t="s">
        <v>86</v>
      </c>
      <c r="G23" s="12" t="s">
        <v>89</v>
      </c>
      <c r="M23" s="12" t="s">
        <v>90</v>
      </c>
    </row>
    <row r="26" spans="1:25" x14ac:dyDescent="0.35">
      <c r="U26" s="67"/>
      <c r="V26" s="67">
        <v>2015</v>
      </c>
      <c r="W26" s="67">
        <v>2016</v>
      </c>
      <c r="X26" s="67">
        <v>2017</v>
      </c>
      <c r="Y26" s="67">
        <v>2018</v>
      </c>
    </row>
    <row r="27" spans="1:25" x14ac:dyDescent="0.35">
      <c r="A27" s="16"/>
      <c r="B27" s="16">
        <v>2015</v>
      </c>
      <c r="C27" s="16">
        <v>2016</v>
      </c>
      <c r="D27" s="16">
        <v>2017</v>
      </c>
      <c r="E27" s="16">
        <v>2018</v>
      </c>
      <c r="G27" s="17"/>
      <c r="H27" s="17">
        <v>2015</v>
      </c>
      <c r="I27" s="17">
        <v>2016</v>
      </c>
      <c r="J27" s="17">
        <v>2017</v>
      </c>
      <c r="K27" s="17">
        <v>2018</v>
      </c>
      <c r="M27" s="15"/>
      <c r="N27" s="15">
        <v>2015</v>
      </c>
      <c r="O27" s="15">
        <v>2016</v>
      </c>
      <c r="P27" s="15">
        <v>2017</v>
      </c>
      <c r="Q27" s="15">
        <v>2018</v>
      </c>
      <c r="U27" s="67" t="s">
        <v>88</v>
      </c>
      <c r="V27" s="74">
        <f>'(3)Rachunek przepływów pienieżn'!B8/'(1)Bilans'!B17</f>
        <v>3.89797270615952E-2</v>
      </c>
      <c r="W27" s="74">
        <f>'(3)Rachunek przepływów pienieżn'!C8/'(1)Bilans'!C17</f>
        <v>0.18133689088611149</v>
      </c>
      <c r="X27" s="74">
        <f>'(3)Rachunek przepływów pienieżn'!D8/'(1)Bilans'!D17</f>
        <v>5.8127919616887506E-2</v>
      </c>
      <c r="Y27" s="74">
        <f>'(3)Rachunek przepływów pienieżn'!E8/'(1)Bilans'!E17</f>
        <v>3.1828847285332502E-3</v>
      </c>
    </row>
    <row r="28" spans="1:25" x14ac:dyDescent="0.35">
      <c r="A28" s="16" t="s">
        <v>87</v>
      </c>
      <c r="B28" s="36">
        <f>'(3)Rachunek przepływów pienieżn'!B6/'(3)Rachunek przepływów pienieżn'!B8</f>
        <v>0.48918269230769229</v>
      </c>
      <c r="C28" s="36">
        <f>'(3)Rachunek przepływów pienieżn'!C6/'(3)Rachunek przepływów pienieżn'!C8</f>
        <v>9.9550840238519317E-2</v>
      </c>
      <c r="D28" s="36">
        <f>'(3)Rachunek przepływów pienieżn'!D6/'(3)Rachunek przepływów pienieżn'!D8</f>
        <v>0.37187263078089461</v>
      </c>
      <c r="E28" s="36">
        <f>'(3)Rachunek przepływów pienieżn'!E6/'(3)Rachunek przepływów pienieżn'!E8</f>
        <v>7.476614699331849</v>
      </c>
      <c r="G28" s="17" t="s">
        <v>88</v>
      </c>
      <c r="H28" s="17">
        <f>'[1]Rachunek przepływów pienieżnych'!B8/[1]Bilans!B17</f>
        <v>3.89797270615952E-2</v>
      </c>
      <c r="I28" s="17">
        <f>'[1]Rachunek przepływów pienieżnych'!C8/[1]Bilans!C17</f>
        <v>0.18133689088611149</v>
      </c>
      <c r="J28" s="17">
        <f>'[1]Rachunek przepływów pienieżnych'!D8/[1]Bilans!D17</f>
        <v>5.8127919616887506E-2</v>
      </c>
      <c r="K28" s="17">
        <f>'[1]Rachunek przepływów pienieżnych'!E8/[1]Bilans!E17</f>
        <v>3.1828847285332502E-3</v>
      </c>
      <c r="M28" s="15" t="s">
        <v>91</v>
      </c>
      <c r="N28" s="15">
        <f>'[1]Rachunek przepływów pienieżnych'!B8/'[1]Rachunek zysków i strat'!B3</f>
        <v>2.2188272674974571E-2</v>
      </c>
      <c r="O28" s="15">
        <f>'[1]Rachunek przepływów pienieżnych'!C8/'[1]Rachunek zysków i strat'!C3</f>
        <v>9.8351041547659848E-2</v>
      </c>
      <c r="P28" s="15">
        <f>'[1]Rachunek przepływów pienieżnych'!D8/'[1]Rachunek zysków i strat'!D3</f>
        <v>3.9675338022449602E-2</v>
      </c>
      <c r="Q28" s="15">
        <f>'[1]Rachunek przepływów pienieżnych'!E8/'[1]Rachunek zysków i strat'!E3</f>
        <v>1.9293571674114816E-3</v>
      </c>
      <c r="U28" s="67"/>
      <c r="V28" s="67">
        <v>2015</v>
      </c>
      <c r="W28" s="67">
        <v>2016</v>
      </c>
      <c r="X28" s="67">
        <v>2017</v>
      </c>
      <c r="Y28" s="67">
        <v>2018</v>
      </c>
    </row>
    <row r="29" spans="1:25" x14ac:dyDescent="0.35">
      <c r="U29" s="67" t="s">
        <v>91</v>
      </c>
      <c r="V29" s="73">
        <f>'(3)Rachunek przepływów pienieżn'!B8/'(2)Rachunek zysków i strat'!B3</f>
        <v>2.2188272674974571E-2</v>
      </c>
      <c r="W29" s="73">
        <f>'(3)Rachunek przepływów pienieżn'!C8/'(2)Rachunek zysków i strat'!C3</f>
        <v>9.8351041547659848E-2</v>
      </c>
      <c r="X29" s="73">
        <f>'(3)Rachunek przepływów pienieżn'!D8/'(2)Rachunek zysków i strat'!D3</f>
        <v>3.9675338022449602E-2</v>
      </c>
      <c r="Y29" s="73">
        <f>'(3)Rachunek przepływów pienieżn'!E8/'(2)Rachunek zysków i strat'!E3</f>
        <v>1.9293571674114816E-3</v>
      </c>
    </row>
    <row r="30" spans="1:25" x14ac:dyDescent="0.35">
      <c r="U30" s="67"/>
      <c r="V30" s="67">
        <v>2015</v>
      </c>
      <c r="W30" s="67">
        <v>2016</v>
      </c>
      <c r="X30" s="67">
        <v>2017</v>
      </c>
      <c r="Y30" s="67">
        <v>2018</v>
      </c>
    </row>
    <row r="31" spans="1:25" x14ac:dyDescent="0.35">
      <c r="U31" s="67" t="s">
        <v>93</v>
      </c>
      <c r="V31" s="73">
        <f>'(3)Rachunek przepływów pienieżn'!B8/('(1)Bilans'!B27+'(1)Bilans'!B32)</f>
        <v>6.9791966254433901E-2</v>
      </c>
      <c r="W31" s="73">
        <f>'(3)Rachunek przepływów pienieżn'!C8/('(1)Bilans'!C27+'(1)Bilans'!C32)</f>
        <v>0.34033524853724106</v>
      </c>
      <c r="X31" s="73">
        <f>'(3)Rachunek przepływów pienieżn'!D8/('(1)Bilans'!D27+'(1)Bilans'!D32)</f>
        <v>0.11150090874508643</v>
      </c>
      <c r="Y31" s="73">
        <f>'(3)Rachunek przepływów pienieżn'!E8/('(1)Bilans'!E27+'(1)Bilans'!E32)</f>
        <v>6.5884079236977252E-3</v>
      </c>
    </row>
    <row r="33" spans="1:11" x14ac:dyDescent="0.35">
      <c r="A33" s="12" t="s">
        <v>92</v>
      </c>
      <c r="G33" t="s">
        <v>94</v>
      </c>
    </row>
    <row r="36" spans="1:11" x14ac:dyDescent="0.35">
      <c r="A36" s="15"/>
      <c r="B36" s="15">
        <v>2015</v>
      </c>
      <c r="C36" s="15">
        <v>2016</v>
      </c>
      <c r="D36" s="15">
        <v>2017</v>
      </c>
      <c r="E36" s="15">
        <v>2018</v>
      </c>
      <c r="G36" s="13"/>
      <c r="H36" s="13">
        <v>2015</v>
      </c>
      <c r="I36" s="13">
        <v>2016</v>
      </c>
      <c r="J36" s="13">
        <v>2017</v>
      </c>
      <c r="K36" s="13">
        <v>2018</v>
      </c>
    </row>
    <row r="37" spans="1:11" x14ac:dyDescent="0.35">
      <c r="A37" s="15" t="s">
        <v>93</v>
      </c>
      <c r="B37" s="35">
        <f>'[1]Rachunek przepływów pienieżnych'!B8/([1]Bilans!B27+[1]Bilans!B32)</f>
        <v>6.9791966254433901E-2</v>
      </c>
      <c r="C37" s="35">
        <f>'[1]Rachunek przepływów pienieżnych'!C8/([1]Bilans!C27+[1]Bilans!C32)</f>
        <v>0.34033524853724106</v>
      </c>
      <c r="D37" s="35">
        <f>'[1]Rachunek przepływów pienieżnych'!D8/([1]Bilans!D27+[1]Bilans!D32)</f>
        <v>0.11150090874508643</v>
      </c>
      <c r="E37" s="35">
        <f>'[1]Rachunek przepływów pienieżnych'!E8/([1]Bilans!E27+[1]Bilans!E32)</f>
        <v>6.5884079236977252E-3</v>
      </c>
      <c r="G37" s="13" t="s">
        <v>97</v>
      </c>
      <c r="H37" s="14">
        <v>5824</v>
      </c>
      <c r="I37" s="14">
        <v>25826</v>
      </c>
      <c r="J37" s="14">
        <v>7914</v>
      </c>
      <c r="K37" s="14">
        <v>449</v>
      </c>
    </row>
    <row r="38" spans="1:11" x14ac:dyDescent="0.35">
      <c r="G38" s="13" t="s">
        <v>95</v>
      </c>
      <c r="H38" s="14">
        <v>-4524</v>
      </c>
      <c r="I38" s="14">
        <v>-6663</v>
      </c>
      <c r="J38" s="14">
        <v>-129</v>
      </c>
      <c r="K38" s="14">
        <v>12561</v>
      </c>
    </row>
    <row r="39" spans="1:11" x14ac:dyDescent="0.35">
      <c r="G39" s="13" t="s">
        <v>96</v>
      </c>
      <c r="H39" s="14">
        <v>-915</v>
      </c>
      <c r="I39" s="14">
        <v>-15244</v>
      </c>
      <c r="J39" s="14">
        <v>-14327</v>
      </c>
      <c r="K39" s="14">
        <v>-4584</v>
      </c>
    </row>
    <row r="40" spans="1:11" x14ac:dyDescent="0.35">
      <c r="G40" s="13" t="s">
        <v>66</v>
      </c>
      <c r="H40" s="14">
        <v>385</v>
      </c>
      <c r="I40" s="14">
        <v>3919</v>
      </c>
      <c r="J40" s="14">
        <v>-6542</v>
      </c>
      <c r="K40" s="14">
        <v>8426</v>
      </c>
    </row>
    <row r="42" spans="1:11" x14ac:dyDescent="0.35">
      <c r="A42" t="s">
        <v>108</v>
      </c>
      <c r="G42" s="24" t="s">
        <v>109</v>
      </c>
    </row>
    <row r="44" spans="1:11" x14ac:dyDescent="0.35">
      <c r="A44" s="25"/>
      <c r="B44" s="25">
        <v>2015</v>
      </c>
      <c r="C44" s="25">
        <v>2016</v>
      </c>
      <c r="D44" s="25">
        <v>2017</v>
      </c>
      <c r="E44" s="25">
        <v>2018</v>
      </c>
      <c r="H44">
        <v>2015</v>
      </c>
      <c r="I44">
        <v>2016</v>
      </c>
      <c r="J44">
        <v>2017</v>
      </c>
      <c r="K44">
        <v>2018</v>
      </c>
    </row>
    <row r="45" spans="1:11" x14ac:dyDescent="0.35">
      <c r="A45" s="25" t="s">
        <v>110</v>
      </c>
      <c r="B45" s="25">
        <f>[1]Bilans!B10-[1]Bilans!B32</f>
        <v>86777</v>
      </c>
      <c r="C45" s="25">
        <f>[1]Bilans!C10-[1]Bilans!C32</f>
        <v>24430</v>
      </c>
      <c r="D45" s="25">
        <f>[1]Bilans!D10-[1]Bilans!D32</f>
        <v>56347</v>
      </c>
      <c r="E45" s="25">
        <f>[1]Bilans!E10-[1]Bilans!E32</f>
        <v>76094</v>
      </c>
      <c r="G45" t="s">
        <v>111</v>
      </c>
      <c r="H45">
        <f>([1]Bilans!B19+[1]Bilans!B27)-[1]Bilans!B3</f>
        <v>86777</v>
      </c>
      <c r="I45">
        <f>([1]Bilans!C19+[1]Bilans!C27)-[1]Bilans!C3</f>
        <v>24430</v>
      </c>
      <c r="J45">
        <f>([1]Bilans!D19+[1]Bilans!D27)-[1]Bilans!D3</f>
        <v>56347</v>
      </c>
      <c r="K45">
        <f>([1]Bilans!E19+[1]Bilans!E27)-[1]Bilans!E3</f>
        <v>76094</v>
      </c>
    </row>
    <row r="50" spans="1:17" x14ac:dyDescent="0.35">
      <c r="A50" t="s">
        <v>112</v>
      </c>
      <c r="G50" t="s">
        <v>113</v>
      </c>
      <c r="M50" t="s">
        <v>145</v>
      </c>
    </row>
    <row r="53" spans="1:17" x14ac:dyDescent="0.35">
      <c r="A53" s="25"/>
      <c r="B53" s="25">
        <v>2015</v>
      </c>
      <c r="C53" s="25">
        <v>2016</v>
      </c>
      <c r="D53" s="25">
        <v>2017</v>
      </c>
      <c r="E53" s="25">
        <v>2018</v>
      </c>
      <c r="G53" s="25"/>
      <c r="H53" s="25">
        <v>2015</v>
      </c>
      <c r="I53" s="25">
        <v>2016</v>
      </c>
      <c r="J53" s="25">
        <v>2017</v>
      </c>
      <c r="K53" s="25">
        <v>2018</v>
      </c>
      <c r="M53" s="25"/>
      <c r="N53" s="25">
        <v>2017</v>
      </c>
      <c r="O53" s="25">
        <v>2018</v>
      </c>
    </row>
    <row r="54" spans="1:17" ht="42" x14ac:dyDescent="0.35">
      <c r="A54" s="25" t="s">
        <v>114</v>
      </c>
      <c r="B54" s="26">
        <f>('(1)Bilans'!B12+'(1)Bilans'!B13+'(1)Bilans'!B14)/'(1)Bilans'!B17</f>
        <v>0.25629304401951664</v>
      </c>
      <c r="C54" s="26">
        <f>('(1)Bilans'!C12+'(1)Bilans'!C13+'(1)Bilans'!C14)/'(1)Bilans'!C17</f>
        <v>0.22893554276084818</v>
      </c>
      <c r="D54" s="26">
        <f>('(1)Bilans'!D12+'(1)Bilans'!D13+'(1)Bilans'!D14)/'(1)Bilans'!D17</f>
        <v>0.25592002820460086</v>
      </c>
      <c r="E54" s="26">
        <f>('(1)Bilans'!E12+'(1)Bilans'!E13+'(1)Bilans'!E14)/'(1)Bilans'!E17</f>
        <v>0.23713554552092267</v>
      </c>
      <c r="G54" s="25" t="s">
        <v>115</v>
      </c>
      <c r="H54" s="25">
        <f>([1]Bilans!B12+[1]Bilans!B13+[1]Bilans!B14)/[1]Bilans!B10</f>
        <v>0.35071024938866346</v>
      </c>
      <c r="I54" s="25">
        <f>([1]Bilans!C12+[1]Bilans!C13+[1]Bilans!C14)/[1]Bilans!C10</f>
        <v>0.33859845888632728</v>
      </c>
      <c r="J54" s="25">
        <f>([1]Bilans!D12+[1]Bilans!D13+[1]Bilans!D14)/[1]Bilans!D10</f>
        <v>0.40066004323628168</v>
      </c>
      <c r="K54" s="25">
        <f>([1]Bilans!E12+[1]Bilans!E13+[1]Bilans!E14)/[1]Bilans!E10</f>
        <v>0.33050437188163811</v>
      </c>
      <c r="M54" s="34" t="s">
        <v>146</v>
      </c>
      <c r="N54" s="26">
        <f>'(1)Bilans'!J4/'(1)Bilans'!D17</f>
        <v>3.3610482709992069E-2</v>
      </c>
      <c r="O54" s="26">
        <f>'(1)Bilans'!K4/'(1)Bilans'!E17</f>
        <v>3.4189427718743573E-2</v>
      </c>
    </row>
    <row r="58" spans="1:17" x14ac:dyDescent="0.35">
      <c r="A58" t="s">
        <v>147</v>
      </c>
      <c r="G58" t="s">
        <v>148</v>
      </c>
      <c r="M58" t="s">
        <v>149</v>
      </c>
    </row>
    <row r="61" spans="1:17" x14ac:dyDescent="0.35">
      <c r="A61" s="25"/>
      <c r="B61" s="25">
        <v>2015</v>
      </c>
      <c r="C61" s="25">
        <v>2016</v>
      </c>
      <c r="D61" s="25">
        <v>2017</v>
      </c>
      <c r="E61" s="25">
        <v>2018</v>
      </c>
      <c r="G61" s="25"/>
      <c r="H61" s="25">
        <v>2015</v>
      </c>
      <c r="I61" s="25">
        <v>2016</v>
      </c>
      <c r="J61" s="25">
        <v>2017</v>
      </c>
      <c r="K61" s="25">
        <v>2018</v>
      </c>
      <c r="M61" s="25"/>
      <c r="N61" s="25">
        <v>2015</v>
      </c>
      <c r="O61" s="25">
        <v>2016</v>
      </c>
      <c r="P61" s="25">
        <v>2017</v>
      </c>
      <c r="Q61" s="25">
        <v>2018</v>
      </c>
    </row>
    <row r="62" spans="1:17" x14ac:dyDescent="0.35">
      <c r="A62" s="25" t="s">
        <v>116</v>
      </c>
      <c r="B62" s="26">
        <f>([1]Bilans!B32/[1]Bilans!B38)</f>
        <v>0.14998895663639222</v>
      </c>
      <c r="C62" s="26">
        <f>([1]Bilans!C32/[1]Bilans!C38)</f>
        <v>0.50459205167813515</v>
      </c>
      <c r="D62" s="26">
        <f>([1]Bilans!D32/[1]Bilans!D38)</f>
        <v>0.22488027734524194</v>
      </c>
      <c r="E62" s="26">
        <f>([1]Bilans!E32/[1]Bilans!E38)</f>
        <v>0.17807850170486364</v>
      </c>
      <c r="G62" s="25" t="s">
        <v>117</v>
      </c>
      <c r="H62" s="26">
        <f>[1]Bilans!B32/([1]Bilans!B27+[1]Bilans!B32)</f>
        <v>0.2685504745470233</v>
      </c>
      <c r="I62" s="26">
        <f>[1]Bilans!C32/([1]Bilans!C27+[1]Bilans!C32)</f>
        <v>0.9470244056718149</v>
      </c>
      <c r="J62" s="26">
        <f>[1]Bilans!D32/([1]Bilans!D27+[1]Bilans!D32)</f>
        <v>0.43136509009960972</v>
      </c>
      <c r="K62" s="26">
        <f>[1]Bilans!E32/([1]Bilans!E27+[1]Bilans!E32)</f>
        <v>0.36861335289801905</v>
      </c>
      <c r="M62" s="25" t="s">
        <v>118</v>
      </c>
      <c r="N62" s="26">
        <f>[1]Bilans!B32/[1]Bilans!B27</f>
        <v>0.36714833382483042</v>
      </c>
      <c r="O62" s="26">
        <f>[1]Bilans!C32/[1]Bilans!C27</f>
        <v>17.876616915422886</v>
      </c>
      <c r="P62" s="26">
        <f>[1]Bilans!D32/[1]Bilans!D27</f>
        <v>0.758597621407334</v>
      </c>
      <c r="Q62" s="26">
        <f>[1]Bilans!E32/[1]Bilans!E27</f>
        <v>0.58381556624602016</v>
      </c>
    </row>
    <row r="65" spans="1:9" x14ac:dyDescent="0.35">
      <c r="A65" t="s">
        <v>140</v>
      </c>
      <c r="G65" t="s">
        <v>141</v>
      </c>
    </row>
    <row r="66" spans="1:9" x14ac:dyDescent="0.35">
      <c r="A66" s="25"/>
      <c r="B66" s="25">
        <v>2017</v>
      </c>
      <c r="C66" s="25">
        <v>2018</v>
      </c>
      <c r="G66" s="25"/>
      <c r="H66" s="25">
        <v>2017</v>
      </c>
      <c r="I66" s="25">
        <v>2018</v>
      </c>
    </row>
    <row r="67" spans="1:9" x14ac:dyDescent="0.35">
      <c r="A67" s="25" t="s">
        <v>151</v>
      </c>
      <c r="B67" s="26">
        <f>'(1)Bilans'!J3/'(1)Bilans'!D32</f>
        <v>9.7821471731391052E-2</v>
      </c>
      <c r="C67" s="26">
        <f>'(1)Bilans'!K3/'(1)Bilans'!E32</f>
        <v>0.12388041877313802</v>
      </c>
      <c r="G67" s="25" t="s">
        <v>150</v>
      </c>
      <c r="H67" s="26">
        <f>'(1)Bilans'!J3/('(1)Bilans'!D27+'(1)Bilans'!D32)</f>
        <v>4.2196767967087927E-2</v>
      </c>
      <c r="I67" s="26">
        <f>'(1)Bilans'!K3/('(1)Bilans'!E27+'(1)Bilans'!E32)</f>
        <v>4.5663976522377109E-2</v>
      </c>
    </row>
  </sheetData>
  <mergeCells count="2">
    <mergeCell ref="A1:M1"/>
    <mergeCell ref="A13:M1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1A1A-4B10-4B53-923E-3415C57970BB}">
  <sheetPr codeName="Arkusz6"/>
  <dimension ref="A1:T90"/>
  <sheetViews>
    <sheetView topLeftCell="A7" workbookViewId="0">
      <selection activeCell="H22" sqref="H22"/>
    </sheetView>
  </sheetViews>
  <sheetFormatPr defaultRowHeight="14.5" x14ac:dyDescent="0.35"/>
  <cols>
    <col min="1" max="1" width="26.54296875" customWidth="1"/>
    <col min="2" max="2" width="14.36328125" customWidth="1"/>
    <col min="3" max="3" width="10.1796875" customWidth="1"/>
    <col min="4" max="4" width="11.26953125" customWidth="1"/>
    <col min="5" max="5" width="10.90625" customWidth="1"/>
    <col min="6" max="6" width="10.7265625" customWidth="1"/>
    <col min="7" max="7" width="8.7265625" customWidth="1"/>
    <col min="8" max="8" width="19.7265625" customWidth="1"/>
    <col min="9" max="9" width="10.54296875" customWidth="1"/>
    <col min="10" max="10" width="12.26953125" customWidth="1"/>
    <col min="11" max="11" width="11.453125" customWidth="1"/>
    <col min="12" max="12" width="11.26953125" customWidth="1"/>
    <col min="13" max="13" width="10.36328125" customWidth="1"/>
    <col min="14" max="14" width="9.26953125" bestFit="1" customWidth="1"/>
    <col min="16" max="16" width="9.26953125" bestFit="1" customWidth="1"/>
    <col min="17" max="17" width="9.81640625" customWidth="1"/>
    <col min="18" max="18" width="12.1796875" customWidth="1"/>
    <col min="19" max="19" width="10.54296875" customWidth="1"/>
  </cols>
  <sheetData>
    <row r="1" spans="1:14" x14ac:dyDescent="0.35">
      <c r="A1" s="83" t="s">
        <v>155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</row>
    <row r="2" spans="1:14" x14ac:dyDescent="0.35">
      <c r="A2" t="s">
        <v>102</v>
      </c>
    </row>
    <row r="3" spans="1:14" x14ac:dyDescent="0.35">
      <c r="A3" t="s">
        <v>98</v>
      </c>
      <c r="B3" s="45">
        <v>2015</v>
      </c>
      <c r="C3" s="45">
        <v>2016</v>
      </c>
      <c r="D3" s="45">
        <v>2017</v>
      </c>
      <c r="E3" s="45">
        <v>2018</v>
      </c>
    </row>
    <row r="4" spans="1:14" x14ac:dyDescent="0.35">
      <c r="B4" s="42">
        <f>'(2)Rachunek zysków i strat'!B9-'(2)Rachunek zysków i strat'!B11-'(2)Rachunek zysków i strat'!B12</f>
        <v>14674</v>
      </c>
      <c r="C4" s="42">
        <f>'(2)Rachunek zysków i strat'!C9-'(2)Rachunek zysków i strat'!C11-'(2)Rachunek zysków i strat'!C12</f>
        <v>6177</v>
      </c>
      <c r="D4" s="42">
        <f>'(2)Rachunek zysków i strat'!D9-'(2)Rachunek zysków i strat'!D11-'(2)Rachunek zysków i strat'!D12</f>
        <v>373</v>
      </c>
      <c r="E4" s="42">
        <f>'(2)Rachunek zysków i strat'!E9-'(2)Rachunek zysków i strat'!E11-'(2)Rachunek zysków i strat'!E12</f>
        <v>2843</v>
      </c>
    </row>
    <row r="5" spans="1:14" x14ac:dyDescent="0.35">
      <c r="B5" s="41"/>
      <c r="C5" s="41"/>
      <c r="D5" s="41"/>
      <c r="E5" s="41"/>
    </row>
    <row r="6" spans="1:14" x14ac:dyDescent="0.35">
      <c r="A6" t="s">
        <v>99</v>
      </c>
      <c r="B6" s="46">
        <v>2015</v>
      </c>
      <c r="C6" s="46">
        <v>2016</v>
      </c>
      <c r="D6" s="46">
        <v>2017</v>
      </c>
      <c r="E6" s="46">
        <v>2018</v>
      </c>
    </row>
    <row r="7" spans="1:14" x14ac:dyDescent="0.35">
      <c r="B7" s="42">
        <v>9651</v>
      </c>
      <c r="C7" s="42">
        <v>4533</v>
      </c>
      <c r="D7" s="42">
        <v>645</v>
      </c>
      <c r="E7" s="42">
        <v>7746</v>
      </c>
    </row>
    <row r="8" spans="1:14" x14ac:dyDescent="0.35">
      <c r="B8" s="41"/>
      <c r="C8" s="41"/>
      <c r="D8" s="41"/>
      <c r="E8" s="41"/>
    </row>
    <row r="9" spans="1:14" x14ac:dyDescent="0.35">
      <c r="A9" t="s">
        <v>100</v>
      </c>
      <c r="B9" s="46">
        <v>2015</v>
      </c>
      <c r="C9" s="46">
        <v>2016</v>
      </c>
      <c r="D9" s="46">
        <v>2017</v>
      </c>
      <c r="E9" s="46">
        <v>2018</v>
      </c>
    </row>
    <row r="10" spans="1:14" x14ac:dyDescent="0.35">
      <c r="B10" s="42">
        <v>12124</v>
      </c>
      <c r="C10" s="42">
        <v>5635</v>
      </c>
      <c r="D10" s="42">
        <v>1027</v>
      </c>
      <c r="E10" s="42">
        <v>9971</v>
      </c>
    </row>
    <row r="11" spans="1:14" x14ac:dyDescent="0.35">
      <c r="B11" s="41"/>
      <c r="C11" s="41"/>
      <c r="D11" s="41"/>
      <c r="E11" s="41"/>
    </row>
    <row r="12" spans="1:14" x14ac:dyDescent="0.35">
      <c r="A12" t="s">
        <v>101</v>
      </c>
      <c r="B12" s="46">
        <v>2015</v>
      </c>
      <c r="C12" s="46">
        <v>2016</v>
      </c>
      <c r="D12" s="46">
        <v>2017</v>
      </c>
      <c r="E12" s="46">
        <v>2018</v>
      </c>
    </row>
    <row r="13" spans="1:14" x14ac:dyDescent="0.35">
      <c r="B13" s="42">
        <v>13146</v>
      </c>
      <c r="C13" s="42">
        <v>6182</v>
      </c>
      <c r="D13" s="42">
        <v>2719</v>
      </c>
      <c r="E13" s="42">
        <v>10549</v>
      </c>
    </row>
    <row r="14" spans="1:14" x14ac:dyDescent="0.35">
      <c r="B14" s="41"/>
      <c r="C14" s="41"/>
      <c r="D14" s="41"/>
      <c r="E14" s="41"/>
    </row>
    <row r="15" spans="1:14" x14ac:dyDescent="0.35">
      <c r="B15" s="46">
        <v>2015</v>
      </c>
      <c r="C15" s="46">
        <v>2016</v>
      </c>
      <c r="D15" s="46">
        <v>2017</v>
      </c>
      <c r="E15" s="46">
        <v>2018</v>
      </c>
    </row>
    <row r="16" spans="1:14" x14ac:dyDescent="0.35">
      <c r="A16" t="s">
        <v>152</v>
      </c>
      <c r="B16" s="43">
        <f>'(2)Rachunek zysków i strat'!B14/'(2)Rachunek zysków i strat'!B19</f>
        <v>1.3621386384830587</v>
      </c>
      <c r="C16" s="43">
        <f>'(2)Rachunek zysków i strat'!C14/'(2)Rachunek zysków i strat'!C19</f>
        <v>1.3637767482903154</v>
      </c>
      <c r="D16" s="43">
        <f>'(2)Rachunek zysków i strat'!D14/'(2)Rachunek zysków i strat'!D19</f>
        <v>4.2155038759689925</v>
      </c>
      <c r="E16" s="43">
        <f>'(2)Rachunek zysków i strat'!E14/'(2)Rachunek zysków i strat'!E19</f>
        <v>1.3618641879679836</v>
      </c>
    </row>
    <row r="17" spans="1:20" x14ac:dyDescent="0.35">
      <c r="B17" s="41"/>
      <c r="C17" s="41"/>
      <c r="D17" s="41"/>
      <c r="E17" s="41"/>
    </row>
    <row r="18" spans="1:20" x14ac:dyDescent="0.35">
      <c r="B18" s="46">
        <v>2015</v>
      </c>
      <c r="C18" s="46">
        <v>2016</v>
      </c>
      <c r="D18" s="46">
        <v>2017</v>
      </c>
      <c r="E18" s="46">
        <v>2018</v>
      </c>
    </row>
    <row r="19" spans="1:20" x14ac:dyDescent="0.35">
      <c r="A19" s="40" t="s">
        <v>153</v>
      </c>
      <c r="B19" s="44">
        <f>'(2)Rachunek zysków i strat'!B14-'(2)Rachunek zysków i strat'!B19</f>
        <v>3495</v>
      </c>
      <c r="C19" s="44">
        <f>'(2)Rachunek zysków i strat'!C14-'(2)Rachunek zysków i strat'!C19</f>
        <v>1649</v>
      </c>
      <c r="D19" s="44">
        <f>'(2)Rachunek zysków i strat'!D14-'(2)Rachunek zysków i strat'!D19</f>
        <v>2074</v>
      </c>
      <c r="E19" s="44">
        <f>'(2)Rachunek zysków i strat'!E14-'(2)Rachunek zysków i strat'!E19</f>
        <v>2803</v>
      </c>
    </row>
    <row r="21" spans="1:20" x14ac:dyDescent="0.35">
      <c r="B21">
        <v>2015</v>
      </c>
      <c r="C21">
        <v>2016</v>
      </c>
      <c r="D21">
        <v>2017</v>
      </c>
      <c r="E21">
        <v>2018</v>
      </c>
      <c r="H21">
        <v>2015</v>
      </c>
      <c r="I21">
        <v>2016</v>
      </c>
      <c r="J21">
        <v>2017</v>
      </c>
      <c r="K21">
        <v>2018</v>
      </c>
    </row>
    <row r="22" spans="1:20" x14ac:dyDescent="0.35">
      <c r="A22" t="s">
        <v>157</v>
      </c>
      <c r="B22" s="4">
        <f>'(2)Rachunek zysków i strat'!B14*0.81</f>
        <v>10648.26</v>
      </c>
      <c r="C22" s="4">
        <f>'(2)Rachunek zysków i strat'!C14*0.81</f>
        <v>5007.42</v>
      </c>
      <c r="D22" s="4">
        <f>'(2)Rachunek zysków i strat'!D14*0.81</f>
        <v>2202.3900000000003</v>
      </c>
      <c r="E22" s="4">
        <f>'(2)Rachunek zysków i strat'!E14*0.81</f>
        <v>8544.69</v>
      </c>
      <c r="G22" t="s">
        <v>156</v>
      </c>
      <c r="H22" s="5">
        <f>'(1)Bilans'!B3+'(5)Ocena płynności'!H45</f>
        <v>127001</v>
      </c>
      <c r="I22" s="5">
        <f>'(1)Bilans'!C3+'(5)Ocena płynności'!I45</f>
        <v>70556</v>
      </c>
      <c r="J22" s="5">
        <f>'(1)Bilans'!D3+'(5)Ocena płynności'!J45</f>
        <v>105531</v>
      </c>
      <c r="K22" s="5">
        <f>'(1)Bilans'!E3+'(5)Ocena płynności'!K45</f>
        <v>115946</v>
      </c>
      <c r="Q22" s="29"/>
      <c r="R22" s="29"/>
      <c r="S22" s="29"/>
    </row>
    <row r="23" spans="1:20" x14ac:dyDescent="0.35">
      <c r="A23" t="s">
        <v>158</v>
      </c>
      <c r="P23" s="29"/>
    </row>
    <row r="24" spans="1:20" x14ac:dyDescent="0.35">
      <c r="A24" s="83" t="s">
        <v>154</v>
      </c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P24" s="29"/>
      <c r="Q24" s="29"/>
      <c r="R24" s="29"/>
    </row>
    <row r="25" spans="1:20" x14ac:dyDescent="0.35">
      <c r="A25" t="s">
        <v>159</v>
      </c>
      <c r="B25" s="30"/>
      <c r="C25" s="30">
        <v>2015</v>
      </c>
      <c r="D25" s="30">
        <v>2016</v>
      </c>
      <c r="E25" s="30">
        <v>2017</v>
      </c>
      <c r="F25" s="30">
        <v>2018</v>
      </c>
      <c r="H25" t="s">
        <v>163</v>
      </c>
      <c r="J25" s="30"/>
      <c r="K25" s="30">
        <v>2015</v>
      </c>
      <c r="L25" s="30">
        <v>2016</v>
      </c>
      <c r="M25" s="30">
        <v>2017</v>
      </c>
      <c r="N25" s="30">
        <v>2018</v>
      </c>
      <c r="P25" s="30"/>
      <c r="Q25" s="30"/>
      <c r="R25" s="30"/>
      <c r="S25" s="30"/>
      <c r="T25" s="30"/>
    </row>
    <row r="26" spans="1:20" x14ac:dyDescent="0.35">
      <c r="B26" s="30" t="s">
        <v>103</v>
      </c>
      <c r="C26" s="49">
        <f>'(2)Rachunek zysków i strat'!B17/('(2)Rachunek zysków i strat'!B3+'(2)Rachunek zysków i strat'!B10+'(2)Rachunek zysków i strat'!B15)</f>
        <v>4.5757504849752037E-2</v>
      </c>
      <c r="D26" s="49">
        <f>'(2)Rachunek zysków i strat'!C17/('(2)Rachunek zysków i strat'!C3+'(2)Rachunek zysków i strat'!C10+'(2)Rachunek zysków i strat'!C15)</f>
        <v>2.1229382822095133E-2</v>
      </c>
      <c r="E26" s="49">
        <f>'(2)Rachunek zysków i strat'!D17/('(2)Rachunek zysków i strat'!D3+'(2)Rachunek zysków i strat'!D10+'(2)Rachunek zysków i strat'!D15)</f>
        <v>5.0573942847012589E-3</v>
      </c>
      <c r="F26" s="49">
        <f>'(2)Rachunek zysków i strat'!E17/('(2)Rachunek zysków i strat'!E3+'(2)Rachunek zysków i strat'!E10+'(2)Rachunek zysków i strat'!E15)</f>
        <v>4.1013680824633712E-2</v>
      </c>
      <c r="J26" s="30" t="s">
        <v>160</v>
      </c>
      <c r="K26" s="49">
        <f>'(2)Rachunek zysków i strat'!B19/('(2)Rachunek zysków i strat'!B3+'(2)Rachunek zysków i strat'!B10+'(2)Rachunek zysków i strat'!B15)</f>
        <v>3.6424091001728547E-2</v>
      </c>
      <c r="L26" s="49">
        <f>'(2)Rachunek zysków i strat'!C19/('(2)Rachunek zysków i strat'!C3+'(2)Rachunek zysków i strat'!C10+'(2)Rachunek zysków i strat'!C15)</f>
        <v>1.7077691629557631E-2</v>
      </c>
      <c r="M26" s="49">
        <f>'(2)Rachunek zysków i strat'!D19/('(2)Rachunek zysków i strat'!D3+'(2)Rachunek zysków i strat'!D10+'(2)Rachunek zysków i strat'!D15)</f>
        <v>3.17626028591267E-3</v>
      </c>
      <c r="N26" s="49">
        <f>'(2)Rachunek zysków i strat'!E19/('(2)Rachunek zysków i strat'!E3+'(2)Rachunek zysków i strat'!E10+'(2)Rachunek zysków i strat'!E15)</f>
        <v>3.186159579456551E-2</v>
      </c>
      <c r="P26" s="30"/>
      <c r="Q26" s="49"/>
      <c r="R26" s="49"/>
      <c r="S26" s="49"/>
      <c r="T26" s="49"/>
    </row>
    <row r="27" spans="1:20" x14ac:dyDescent="0.35">
      <c r="P27" s="29"/>
    </row>
    <row r="28" spans="1:20" x14ac:dyDescent="0.35">
      <c r="P28" s="29"/>
    </row>
    <row r="31" spans="1:20" x14ac:dyDescent="0.35">
      <c r="A31" t="s">
        <v>164</v>
      </c>
      <c r="B31" s="67"/>
      <c r="C31" s="67">
        <v>2015</v>
      </c>
      <c r="D31" s="67">
        <v>2016</v>
      </c>
      <c r="E31" s="67">
        <v>2017</v>
      </c>
      <c r="F31" s="67">
        <v>2018</v>
      </c>
      <c r="H31" t="s">
        <v>165</v>
      </c>
      <c r="J31" s="67"/>
      <c r="K31" s="67">
        <v>2015</v>
      </c>
      <c r="L31" s="67">
        <v>2016</v>
      </c>
      <c r="M31" s="67">
        <v>2017</v>
      </c>
      <c r="N31" s="67">
        <v>2018</v>
      </c>
    </row>
    <row r="32" spans="1:20" x14ac:dyDescent="0.35">
      <c r="B32" s="67" t="s">
        <v>104</v>
      </c>
      <c r="C32" s="47">
        <f>'(2)Rachunek zysków i strat'!B14/'(2)Rachunek zysków i strat'!B3</f>
        <v>5.0083625100483462E-2</v>
      </c>
      <c r="D32" s="47">
        <f>'(2)Rachunek zysków i strat'!C14/'(2)Rachunek zysków i strat'!C3</f>
        <v>2.3542404508930272E-2</v>
      </c>
      <c r="E32" s="47">
        <f>'(2)Rachunek zysków i strat'!D14/'(2)Rachunek zysków i strat'!D3</f>
        <v>1.3631190811604811E-2</v>
      </c>
      <c r="F32" s="47">
        <f>'(2)Rachunek zysków i strat'!E14/'(2)Rachunek zysków i strat'!E3</f>
        <v>4.5329150910965968E-2</v>
      </c>
      <c r="J32" s="67" t="s">
        <v>161</v>
      </c>
      <c r="K32" s="47">
        <f>'(2)Rachunek zysków i strat'!B9/'(2)Rachunek zysków i strat'!B3</f>
        <v>0.16344802099961522</v>
      </c>
      <c r="L32" s="47">
        <f>'(2)Rachunek zysków i strat'!C9/'(2)Rachunek zysków i strat'!C3</f>
        <v>0.13605240108153396</v>
      </c>
      <c r="M32" s="47">
        <f>'(2)Rachunek zysków i strat'!D9/'(2)Rachunek zysków i strat'!D3</f>
        <v>0.14860955837749223</v>
      </c>
      <c r="N32" s="47">
        <f>'(2)Rachunek zysków i strat'!E9/'(2)Rachunek zysków i strat'!E3</f>
        <v>0.15447748367136474</v>
      </c>
    </row>
    <row r="36" spans="1:14" x14ac:dyDescent="0.35">
      <c r="A36" t="s">
        <v>166</v>
      </c>
      <c r="B36" s="30"/>
      <c r="C36" s="30">
        <v>2015</v>
      </c>
      <c r="D36" s="30">
        <v>2016</v>
      </c>
      <c r="E36" s="30">
        <v>2017</v>
      </c>
      <c r="F36" s="30">
        <v>2018</v>
      </c>
      <c r="H36" t="s">
        <v>167</v>
      </c>
    </row>
    <row r="37" spans="1:14" x14ac:dyDescent="0.35">
      <c r="B37" s="30" t="s">
        <v>162</v>
      </c>
      <c r="C37" s="47">
        <f>('(2)Rachunek zysków i strat'!B14+'(3)Rachunek przepływów pienieżn'!B6)/'(2)Rachunek zysków i strat'!B3</f>
        <v>6.0937744065284724E-2</v>
      </c>
      <c r="D37" s="47">
        <f>('(2)Rachunek zysków i strat'!C14+'(3)Rachunek przepływów pienieżn'!C6)/'(2)Rachunek zysków i strat'!C3</f>
        <v>3.3333333333333333E-2</v>
      </c>
      <c r="E37" s="47">
        <f>('(2)Rachunek zysków i strat'!D14+'(3)Rachunek przepływów pienieżn'!D6)/'(2)Rachunek zysków i strat'!D3</f>
        <v>2.8385363139134402E-2</v>
      </c>
      <c r="F37" s="47">
        <f>('(2)Rachunek zysków i strat'!E14+'(3)Rachunek przepływów pienieżn'!E6)/'(2)Rachunek zysków i strat'!E3</f>
        <v>5.9754211069095911E-2</v>
      </c>
    </row>
    <row r="43" spans="1:14" x14ac:dyDescent="0.35">
      <c r="A43" t="s">
        <v>175</v>
      </c>
      <c r="B43" s="30"/>
      <c r="C43" s="30">
        <v>2015</v>
      </c>
      <c r="D43" s="30">
        <v>2016</v>
      </c>
      <c r="E43" s="30">
        <v>2017</v>
      </c>
      <c r="F43" s="30">
        <v>2018</v>
      </c>
      <c r="H43" t="s">
        <v>176</v>
      </c>
      <c r="J43" s="30"/>
      <c r="K43" s="30">
        <v>2015</v>
      </c>
      <c r="L43" s="30">
        <v>2016</v>
      </c>
      <c r="M43" s="30">
        <v>2017</v>
      </c>
      <c r="N43" s="30">
        <v>2018</v>
      </c>
    </row>
    <row r="44" spans="1:14" x14ac:dyDescent="0.35">
      <c r="B44" s="30" t="s">
        <v>168</v>
      </c>
      <c r="C44" s="47">
        <f>'(2)Rachunek zysków i strat'!B19/'(1)Bilans'!B17</f>
        <v>6.4593637683972402E-2</v>
      </c>
      <c r="D44" s="47">
        <f>'(2)Rachunek zysków i strat'!C19/'(1)Bilans'!C17</f>
        <v>3.1828394888358376E-2</v>
      </c>
      <c r="E44" s="47">
        <f>'(2)Rachunek zysków i strat'!D19/'(1)Bilans'!D17</f>
        <v>4.7374915533096333E-3</v>
      </c>
      <c r="F44" s="47">
        <f>'(2)Rachunek zysków i strat'!E19/'(1)Bilans'!E17</f>
        <v>5.4910078189796339E-2</v>
      </c>
      <c r="J44" s="30" t="s">
        <v>105</v>
      </c>
      <c r="K44" s="47">
        <f>'(2)Rachunek zysków i strat'!B14/'(1)Bilans'!B17</f>
        <v>8.7985489689514154E-2</v>
      </c>
      <c r="L44" s="47">
        <f>'(2)Rachunek zysków i strat'!C14/'(1)Bilans'!C17</f>
        <v>4.3406824884145483E-2</v>
      </c>
      <c r="M44" s="47">
        <f>'(2)Rachunek zysków i strat'!D14/'(1)Bilans'!D17</f>
        <v>1.9970914005347121E-2</v>
      </c>
      <c r="N44" s="47">
        <f>'(2)Rachunek zysków i strat'!E14/'(1)Bilans'!E17</f>
        <v>7.4780069045205469E-2</v>
      </c>
    </row>
    <row r="47" spans="1:14" x14ac:dyDescent="0.35">
      <c r="H47" t="s">
        <v>107</v>
      </c>
    </row>
    <row r="49" spans="1:14" x14ac:dyDescent="0.35">
      <c r="A49" t="s">
        <v>177</v>
      </c>
      <c r="B49" s="30"/>
      <c r="C49" s="30">
        <v>2015</v>
      </c>
      <c r="D49" s="30">
        <v>2016</v>
      </c>
      <c r="E49" s="30">
        <v>2017</v>
      </c>
      <c r="F49" s="30">
        <v>2018</v>
      </c>
      <c r="H49" t="s">
        <v>178</v>
      </c>
      <c r="J49" s="30"/>
      <c r="K49" s="30">
        <v>2015</v>
      </c>
      <c r="L49" s="30">
        <v>2016</v>
      </c>
      <c r="M49" s="30">
        <v>2017</v>
      </c>
      <c r="N49" s="30">
        <v>2018</v>
      </c>
    </row>
    <row r="50" spans="1:14" x14ac:dyDescent="0.35">
      <c r="B50" s="30" t="s">
        <v>169</v>
      </c>
      <c r="C50" s="47">
        <f>'(2)Rachunek zysków i strat'!B19/'(1)Bilans'!B19</f>
        <v>0.14630929460455103</v>
      </c>
      <c r="D50" s="47">
        <f>'(2)Rachunek zysków i strat'!C19/'(1)Bilans'!C19</f>
        <v>6.8128531922568236E-2</v>
      </c>
      <c r="E50" s="47">
        <f>'(2)Rachunek zysków i strat'!D19/'(1)Bilans'!D19</f>
        <v>9.8970400945205695E-3</v>
      </c>
      <c r="F50" s="47">
        <f>'(2)Rachunek zysków i strat'!E19/'(1)Bilans'!E19</f>
        <v>0.10623037151830163</v>
      </c>
      <c r="J50" s="30" t="s">
        <v>170</v>
      </c>
      <c r="K50" s="47">
        <f>1000*'(2)Rachunek zysków i strat'!B19/'(6)Analiza rentowności'!K54</f>
        <v>0.34069543298248656</v>
      </c>
      <c r="L50" s="47">
        <f>1000*'(2)Rachunek zysków i strat'!C19/'(6)Analiza rentowności'!L54</f>
        <v>0.16002200784474269</v>
      </c>
      <c r="M50" s="47">
        <f>1000*'(2)Rachunek zysków i strat'!D19/'(6)Analiza rentowności'!M54</f>
        <v>2.2769511374334663E-2</v>
      </c>
      <c r="N50" s="47">
        <f>1000*'(2)Rachunek zysków i strat'!E19/'(6)Analiza rentowności'!N54</f>
        <v>0.27344594590014931</v>
      </c>
    </row>
    <row r="53" spans="1:14" x14ac:dyDescent="0.35">
      <c r="A53" t="s">
        <v>179</v>
      </c>
      <c r="B53" s="30"/>
      <c r="C53" s="30">
        <v>2015</v>
      </c>
      <c r="D53" s="30">
        <v>2016</v>
      </c>
      <c r="E53" s="30">
        <v>2017</v>
      </c>
      <c r="F53" s="30">
        <v>2018</v>
      </c>
    </row>
    <row r="54" spans="1:14" x14ac:dyDescent="0.35">
      <c r="B54" s="30" t="s">
        <v>171</v>
      </c>
      <c r="C54" s="47">
        <f>'(2)Rachunek zysków i strat'!B19/('(1)Bilans'!B27+'(1)Bilans'!B19)</f>
        <v>7.5991527625766719E-2</v>
      </c>
      <c r="D54" s="47">
        <f>'(2)Rachunek zysków i strat'!C19/('(1)Bilans'!C27+'(1)Bilans'!C19)</f>
        <v>6.4246839389988097E-2</v>
      </c>
      <c r="E54" s="47">
        <f>'(2)Rachunek zysków i strat'!D19/('(1)Bilans'!D27+'(1)Bilans'!D19)</f>
        <v>6.1119481479375726E-3</v>
      </c>
      <c r="F54" s="47">
        <f>'(2)Rachunek zysków i strat'!E19/('(1)Bilans'!E27+'(1)Bilans'!E19)</f>
        <v>6.6806961861556241E-2</v>
      </c>
      <c r="H54" t="s">
        <v>186</v>
      </c>
      <c r="K54">
        <f>4.65*6091904</f>
        <v>28327353.600000001</v>
      </c>
      <c r="L54">
        <f>4.65*6091904</f>
        <v>28327353.600000001</v>
      </c>
      <c r="M54">
        <f>4.65*6091904</f>
        <v>28327353.600000001</v>
      </c>
      <c r="N54">
        <f>4.65*6091904</f>
        <v>28327353.600000001</v>
      </c>
    </row>
    <row r="58" spans="1:14" x14ac:dyDescent="0.35">
      <c r="A58" t="s">
        <v>180</v>
      </c>
      <c r="B58" s="30"/>
      <c r="C58" s="30">
        <v>2015</v>
      </c>
      <c r="D58" s="30">
        <v>2016</v>
      </c>
      <c r="E58" s="30">
        <v>2017</v>
      </c>
      <c r="F58" s="30">
        <v>2018</v>
      </c>
      <c r="H58" t="s">
        <v>189</v>
      </c>
      <c r="J58" s="30"/>
      <c r="K58" s="30">
        <v>2015</v>
      </c>
      <c r="L58" s="30">
        <v>2016</v>
      </c>
      <c r="M58" s="30">
        <v>2017</v>
      </c>
      <c r="N58" s="30">
        <v>2018</v>
      </c>
    </row>
    <row r="59" spans="1:14" x14ac:dyDescent="0.35">
      <c r="B59" s="30" t="s">
        <v>172</v>
      </c>
      <c r="C59" s="47">
        <f>'(2)Rachunek zysków i strat'!B3/('(2)Rachunek zysków i strat'!B3+'(2)Rachunek zysków i strat'!B10+'(2)Rachunek zysków i strat'!B15)</f>
        <v>0.99063639314316765</v>
      </c>
      <c r="D59" s="47">
        <f>'(2)Rachunek zysków i strat'!C3/('(2)Rachunek zysków i strat'!C3+'(2)Rachunek zysków i strat'!C10+'(2)Rachunek zysków i strat'!C15)</f>
        <v>0.98928547209475803</v>
      </c>
      <c r="E59" s="47">
        <f>'(2)Rachunek zysków i strat'!D3/('(2)Rachunek zysków i strat'!D3+'(2)Rachunek zysków i strat'!D10+'(2)Rachunek zysków i strat'!D15)</f>
        <v>0.98227203561351073</v>
      </c>
      <c r="F59" s="47">
        <f>'(2)Rachunek zysków i strat'!E3/('(2)Rachunek zysków i strat'!E3+'(2)Rachunek zysków i strat'!E10+'(2)Rachunek zysków i strat'!E15)</f>
        <v>0.95724639469549266</v>
      </c>
      <c r="J59" s="30" t="s">
        <v>190</v>
      </c>
      <c r="K59" s="47">
        <f>'(2)Rachunek zysków i strat'!B6/('(2)Rachunek zysków i strat'!B11+'(2)Rachunek zysków i strat'!B12+'(2)Rachunek zysków i strat'!B16+'(2)Rachunek zysków i strat'!B6)</f>
        <v>0.87968831376948042</v>
      </c>
      <c r="L59" s="47">
        <f>'(2)Rachunek zysków i strat'!C6/('(2)Rachunek zysków i strat'!C11+'(2)Rachunek zysków i strat'!C12+'(2)Rachunek zysków i strat'!C16+'(2)Rachunek zysków i strat'!C6)</f>
        <v>0.87933827918478724</v>
      </c>
      <c r="M59" s="47">
        <f>'(2)Rachunek zysków i strat'!D6/('(2)Rachunek zysków i strat'!D11+'(2)Rachunek zysków i strat'!D12+'(2)Rachunek zysków i strat'!D16+'(2)Rachunek zysków i strat'!D6)</f>
        <v>0.84559120082454931</v>
      </c>
      <c r="N59" s="47">
        <f>'(2)Rachunek zysków i strat'!E6/('(2)Rachunek zysków i strat'!E11+'(2)Rachunek zysków i strat'!E12+'(2)Rachunek zysków i strat'!E16+'(2)Rachunek zysków i strat'!E6)</f>
        <v>0.85120649230423162</v>
      </c>
    </row>
    <row r="64" spans="1:14" x14ac:dyDescent="0.35">
      <c r="J64">
        <v>2015</v>
      </c>
      <c r="K64">
        <v>2016</v>
      </c>
      <c r="L64">
        <v>2017</v>
      </c>
      <c r="M64">
        <v>2018</v>
      </c>
    </row>
    <row r="65" spans="1:13" x14ac:dyDescent="0.35">
      <c r="A65" t="s">
        <v>181</v>
      </c>
      <c r="I65" t="s">
        <v>173</v>
      </c>
      <c r="J65" s="5">
        <f>'(2)Rachunek zysków i strat'!B6+'(2)Rachunek zysków i strat'!B11+'(2)Rachunek zysków i strat'!B12+'(2)Rachunek zysków i strat'!B16</f>
        <v>249610</v>
      </c>
      <c r="K65" s="5">
        <f>'(2)Rachunek zysków i strat'!C6+'(2)Rachunek zysków i strat'!C11+'(2)Rachunek zysków i strat'!C12+'(2)Rachunek zysków i strat'!C16</f>
        <v>257994</v>
      </c>
      <c r="L65" s="5">
        <f>'(2)Rachunek zysków i strat'!D6+'(2)Rachunek zysków i strat'!D11+'(2)Rachunek zysków i strat'!D12+'(2)Rachunek zysków i strat'!D16</f>
        <v>200837</v>
      </c>
      <c r="M65" s="5">
        <f>'(2)Rachunek zysków i strat'!E6+'(2)Rachunek zysków i strat'!E11+'(2)Rachunek zysków i strat'!E12+'(2)Rachunek zysków i strat'!E16</f>
        <v>231166</v>
      </c>
    </row>
    <row r="66" spans="1:13" x14ac:dyDescent="0.35">
      <c r="B66" s="30"/>
      <c r="C66" s="30">
        <v>2015</v>
      </c>
      <c r="D66" s="30">
        <v>2016</v>
      </c>
      <c r="E66" s="30">
        <v>2017</v>
      </c>
      <c r="F66" s="30">
        <v>2018</v>
      </c>
      <c r="I66" t="s">
        <v>174</v>
      </c>
      <c r="J66" s="5">
        <f>'(2)Rachunek zysków i strat'!B3+'(2)Rachunek zysków i strat'!B10+'(2)Rachunek zysków i strat'!B15</f>
        <v>264962</v>
      </c>
      <c r="K66" s="5">
        <f>'(2)Rachunek zysków i strat'!C3+'(2)Rachunek zysków i strat'!C10+'(2)Rachunek zysków i strat'!C15</f>
        <v>265434</v>
      </c>
      <c r="L66" s="5">
        <f>'(2)Rachunek zysków i strat'!D3+'(2)Rachunek zysków i strat'!D10+'(2)Rachunek zysków i strat'!D15</f>
        <v>203069</v>
      </c>
      <c r="M66" s="5">
        <f>'(2)Rachunek zysków i strat'!E3+'(2)Rachunek zysków i strat'!E10+'(2)Rachunek zysków i strat'!E15</f>
        <v>243114</v>
      </c>
    </row>
    <row r="67" spans="1:13" x14ac:dyDescent="0.35">
      <c r="B67" s="30" t="s">
        <v>106</v>
      </c>
      <c r="C67" s="47">
        <f>J65/J66</f>
        <v>0.94205961609589295</v>
      </c>
      <c r="D67" s="47">
        <f>K65/K66</f>
        <v>0.97197043332805899</v>
      </c>
      <c r="E67" s="47">
        <f>L65/L66</f>
        <v>0.98900866208037663</v>
      </c>
      <c r="F67" s="47">
        <f>M65/M66</f>
        <v>0.95085433171269451</v>
      </c>
    </row>
    <row r="72" spans="1:13" x14ac:dyDescent="0.35">
      <c r="A72" t="s">
        <v>182</v>
      </c>
      <c r="B72" s="67"/>
      <c r="C72" s="67">
        <v>2015</v>
      </c>
      <c r="D72" s="67">
        <v>2016</v>
      </c>
      <c r="E72" s="67">
        <v>2017</v>
      </c>
      <c r="F72" s="67">
        <v>2018</v>
      </c>
      <c r="H72" t="s">
        <v>183</v>
      </c>
      <c r="I72" s="67"/>
      <c r="J72" s="67">
        <v>2015</v>
      </c>
      <c r="K72" s="67">
        <v>2016</v>
      </c>
      <c r="L72" s="67">
        <v>2017</v>
      </c>
      <c r="M72" s="67">
        <v>2018</v>
      </c>
    </row>
    <row r="73" spans="1:13" x14ac:dyDescent="0.35">
      <c r="B73" s="67" t="s">
        <v>182</v>
      </c>
      <c r="C73" s="47">
        <f>B22/H22</f>
        <v>8.3843906740891802E-2</v>
      </c>
      <c r="D73" s="47">
        <f t="shared" ref="D73:F73" si="0">C22/I22</f>
        <v>7.097086002607858E-2</v>
      </c>
      <c r="E73" s="47">
        <f t="shared" si="0"/>
        <v>2.0869602296955399E-2</v>
      </c>
      <c r="F73" s="47">
        <f t="shared" si="0"/>
        <v>7.3695427181619033E-2</v>
      </c>
      <c r="I73" s="67" t="s">
        <v>183</v>
      </c>
      <c r="J73" s="47">
        <f>'(2)Rachunek zysków i strat'!B19/'(1)Bilans'!B17</f>
        <v>6.4593637683972402E-2</v>
      </c>
      <c r="K73" s="47">
        <f>'(2)Rachunek zysków i strat'!C19/'(1)Bilans'!C17</f>
        <v>3.1828394888358376E-2</v>
      </c>
      <c r="L73" s="47">
        <f>'(2)Rachunek zysków i strat'!D19/'(1)Bilans'!D17</f>
        <v>4.7374915533096333E-3</v>
      </c>
      <c r="M73" s="47">
        <f>'(2)Rachunek zysków i strat'!E19/'(1)Bilans'!E17</f>
        <v>5.4910078189796339E-2</v>
      </c>
    </row>
    <row r="76" spans="1:13" x14ac:dyDescent="0.35">
      <c r="A76" t="s">
        <v>184</v>
      </c>
      <c r="C76">
        <v>2015</v>
      </c>
      <c r="D76">
        <v>2016</v>
      </c>
      <c r="E76">
        <v>2017</v>
      </c>
      <c r="F76">
        <v>2018</v>
      </c>
    </row>
    <row r="77" spans="1:13" x14ac:dyDescent="0.35">
      <c r="B77" t="s">
        <v>184</v>
      </c>
      <c r="H77" t="s">
        <v>185</v>
      </c>
      <c r="I77" s="67"/>
      <c r="J77" s="67">
        <v>2015</v>
      </c>
      <c r="K77" s="67">
        <v>2016</v>
      </c>
      <c r="L77" s="67">
        <v>2017</v>
      </c>
      <c r="M77" s="67">
        <v>2018</v>
      </c>
    </row>
    <row r="78" spans="1:13" x14ac:dyDescent="0.35">
      <c r="I78" s="67" t="s">
        <v>185</v>
      </c>
      <c r="J78" s="47">
        <f>'(2)Rachunek zysków i strat'!B19/'(1)Bilans'!B19</f>
        <v>0.14630929460455103</v>
      </c>
      <c r="K78" s="47">
        <f>'(2)Rachunek zysków i strat'!C19/'(1)Bilans'!C19</f>
        <v>6.8128531922568236E-2</v>
      </c>
      <c r="L78" s="47">
        <f>'(2)Rachunek zysków i strat'!D19/'(1)Bilans'!D19</f>
        <v>9.8970400945205695E-3</v>
      </c>
      <c r="M78" s="47">
        <f>'(2)Rachunek zysków i strat'!E19/'(1)Bilans'!E19</f>
        <v>0.10623037151830163</v>
      </c>
    </row>
    <row r="89" spans="10:14" x14ac:dyDescent="0.35">
      <c r="J89" s="67"/>
      <c r="K89" s="67"/>
      <c r="L89" s="67"/>
      <c r="M89" s="67"/>
      <c r="N89" s="67"/>
    </row>
    <row r="90" spans="10:14" x14ac:dyDescent="0.35">
      <c r="J90" s="67"/>
      <c r="K90" s="47"/>
      <c r="L90" s="47"/>
      <c r="M90" s="47"/>
      <c r="N90" s="47"/>
    </row>
  </sheetData>
  <mergeCells count="2">
    <mergeCell ref="A24:N24"/>
    <mergeCell ref="A1:N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24325-C619-47D2-9371-4E940F731608}">
  <dimension ref="A1:M63"/>
  <sheetViews>
    <sheetView tabSelected="1" zoomScale="80" zoomScaleNormal="80" zoomScaleSheetLayoutView="80" workbookViewId="0">
      <selection activeCell="G20" activeCellId="1" sqref="A20:A23 G20:G23"/>
    </sheetView>
  </sheetViews>
  <sheetFormatPr defaultRowHeight="14.5" x14ac:dyDescent="0.35"/>
  <cols>
    <col min="1" max="1" width="36.81640625" customWidth="1"/>
    <col min="2" max="2" width="12.6328125" customWidth="1"/>
    <col min="3" max="3" width="11.90625" customWidth="1"/>
    <col min="4" max="4" width="13" customWidth="1"/>
    <col min="5" max="5" width="12.54296875" customWidth="1"/>
    <col min="6" max="6" width="11.26953125" customWidth="1"/>
    <col min="7" max="7" width="12" customWidth="1"/>
    <col min="8" max="8" width="17.453125" customWidth="1"/>
    <col min="9" max="12" width="9.453125" bestFit="1" customWidth="1"/>
  </cols>
  <sheetData>
    <row r="1" spans="1:12" x14ac:dyDescent="0.35">
      <c r="A1" s="85" t="s">
        <v>0</v>
      </c>
      <c r="B1" s="85"/>
      <c r="C1" s="85"/>
      <c r="D1" s="85"/>
      <c r="E1" s="85"/>
      <c r="F1" s="85"/>
      <c r="G1" s="85"/>
      <c r="H1" s="85"/>
    </row>
    <row r="2" spans="1:12" x14ac:dyDescent="0.35">
      <c r="A2" s="86"/>
      <c r="B2" s="86"/>
      <c r="C2" s="86"/>
      <c r="D2" s="86"/>
      <c r="E2" s="87"/>
      <c r="F2" s="52" t="s">
        <v>121</v>
      </c>
      <c r="G2" s="84" t="s">
        <v>129</v>
      </c>
      <c r="H2" s="84"/>
    </row>
    <row r="3" spans="1:12" x14ac:dyDescent="0.35">
      <c r="A3" s="53" t="s">
        <v>17</v>
      </c>
      <c r="B3" s="52">
        <v>2015</v>
      </c>
      <c r="C3" s="52">
        <v>2016</v>
      </c>
      <c r="D3" s="52">
        <v>2017</v>
      </c>
      <c r="E3" s="52">
        <v>2018</v>
      </c>
      <c r="F3" s="54" t="s">
        <v>122</v>
      </c>
      <c r="G3" s="52">
        <v>2017</v>
      </c>
      <c r="H3" s="52">
        <v>2018</v>
      </c>
    </row>
    <row r="4" spans="1:12" x14ac:dyDescent="0.35">
      <c r="A4" s="55" t="s">
        <v>1</v>
      </c>
      <c r="B4" s="56">
        <v>40224</v>
      </c>
      <c r="C4" s="56">
        <v>46126</v>
      </c>
      <c r="D4" s="56">
        <v>49184</v>
      </c>
      <c r="E4" s="56">
        <v>39852</v>
      </c>
      <c r="F4" s="57">
        <f>((E4-D4)/D4)</f>
        <v>-0.18973649967469094</v>
      </c>
      <c r="G4" s="58">
        <v>1</v>
      </c>
      <c r="H4" s="58">
        <v>1</v>
      </c>
    </row>
    <row r="5" spans="1:12" x14ac:dyDescent="0.35">
      <c r="A5" s="52" t="s">
        <v>2</v>
      </c>
      <c r="B5" s="59">
        <v>33893</v>
      </c>
      <c r="C5" s="59">
        <v>39769</v>
      </c>
      <c r="D5" s="59">
        <v>45520</v>
      </c>
      <c r="E5" s="59">
        <v>36280</v>
      </c>
      <c r="F5" s="60">
        <f t="shared" ref="F5:F23" si="0">((E5-D5)/D5)</f>
        <v>-0.20298769771528999</v>
      </c>
      <c r="G5" s="61">
        <f>D5/D4</f>
        <v>0.92550422901756668</v>
      </c>
      <c r="H5" s="61">
        <f>E5/$E4</f>
        <v>0.9103683629428887</v>
      </c>
    </row>
    <row r="6" spans="1:12" x14ac:dyDescent="0.35">
      <c r="A6" s="52" t="s">
        <v>3</v>
      </c>
      <c r="B6" s="59">
        <v>3071</v>
      </c>
      <c r="C6" s="59">
        <v>3038</v>
      </c>
      <c r="D6" s="59">
        <v>2965</v>
      </c>
      <c r="E6" s="59">
        <v>2918</v>
      </c>
      <c r="F6" s="60">
        <f t="shared" si="0"/>
        <v>-1.5851602023608771E-2</v>
      </c>
      <c r="G6" s="61">
        <f>D6/D4</f>
        <v>6.0283832140533504E-2</v>
      </c>
      <c r="H6" s="61">
        <f>E6/$E4</f>
        <v>7.3220917394359125E-2</v>
      </c>
      <c r="L6" t="s">
        <v>120</v>
      </c>
    </row>
    <row r="7" spans="1:12" x14ac:dyDescent="0.35">
      <c r="A7" s="52" t="s">
        <v>119</v>
      </c>
      <c r="B7" s="59">
        <v>0</v>
      </c>
      <c r="C7" s="59">
        <v>0</v>
      </c>
      <c r="D7" s="59">
        <v>313</v>
      </c>
      <c r="E7" s="59">
        <v>322</v>
      </c>
      <c r="F7" s="60">
        <f t="shared" si="0"/>
        <v>2.8753993610223641E-2</v>
      </c>
      <c r="G7" s="61">
        <f>D7/D4</f>
        <v>6.3638581652569939E-3</v>
      </c>
      <c r="H7" s="61">
        <f>E7/$E4</f>
        <v>8.0798956137709526E-3</v>
      </c>
    </row>
    <row r="8" spans="1:12" x14ac:dyDescent="0.35">
      <c r="A8" s="52" t="s">
        <v>5</v>
      </c>
      <c r="B8" s="59">
        <f>'(1)Bilans'!B7+'(1)Bilans'!B8</f>
        <v>3260</v>
      </c>
      <c r="C8" s="59">
        <f>'(1)Bilans'!C7+'(1)Bilans'!C8</f>
        <v>3319</v>
      </c>
      <c r="D8" s="59">
        <f>'(1)Bilans'!D7+'(1)Bilans'!D8</f>
        <v>386</v>
      </c>
      <c r="E8" s="59">
        <f>'(1)Bilans'!E7+'(1)Bilans'!E8</f>
        <v>332</v>
      </c>
      <c r="F8" s="60">
        <f t="shared" si="0"/>
        <v>-0.13989637305699482</v>
      </c>
      <c r="G8" s="61">
        <f>D8/D4</f>
        <v>7.8480806766428098E-3</v>
      </c>
      <c r="H8" s="61">
        <f>E8/E4</f>
        <v>8.3308240489812311E-3</v>
      </c>
      <c r="J8" s="28"/>
    </row>
    <row r="9" spans="1:12" x14ac:dyDescent="0.35">
      <c r="A9" s="55" t="s">
        <v>8</v>
      </c>
      <c r="B9" s="56">
        <v>109187</v>
      </c>
      <c r="C9" s="56">
        <v>96294</v>
      </c>
      <c r="D9" s="56">
        <v>86964</v>
      </c>
      <c r="E9" s="56">
        <v>101215</v>
      </c>
      <c r="F9" s="57">
        <f t="shared" si="0"/>
        <v>0.16387240697300032</v>
      </c>
      <c r="G9" s="58">
        <v>1</v>
      </c>
      <c r="H9" s="58">
        <v>1</v>
      </c>
    </row>
    <row r="10" spans="1:12" x14ac:dyDescent="0.35">
      <c r="A10" s="52" t="s">
        <v>9</v>
      </c>
      <c r="B10" s="59">
        <v>66306</v>
      </c>
      <c r="C10" s="59">
        <v>55182</v>
      </c>
      <c r="D10" s="59">
        <v>50149</v>
      </c>
      <c r="E10" s="59">
        <v>57054</v>
      </c>
      <c r="F10" s="60">
        <f t="shared" si="0"/>
        <v>0.13768968473947635</v>
      </c>
      <c r="G10" s="61">
        <f>D10/D9</f>
        <v>0.57666390690400626</v>
      </c>
      <c r="H10" s="61">
        <f>E10/E9</f>
        <v>0.56369115249715951</v>
      </c>
      <c r="L10" s="28"/>
    </row>
    <row r="11" spans="1:12" x14ac:dyDescent="0.35">
      <c r="A11" s="52" t="s">
        <v>123</v>
      </c>
      <c r="B11" s="59">
        <f>'(1)Bilans'!B12+'(1)Bilans'!B13+'(1)Bilans'!B14</f>
        <v>38293</v>
      </c>
      <c r="C11" s="59">
        <f>'(1)Bilans'!C12+'(1)Bilans'!C13+'(1)Bilans'!C14</f>
        <v>32605</v>
      </c>
      <c r="D11" s="59">
        <f>'(1)Bilans'!D12+'(1)Bilans'!D13+'(1)Bilans'!D14</f>
        <v>34843</v>
      </c>
      <c r="E11" s="59">
        <f>'(1)Bilans'!E12+'(1)Bilans'!E13+'(1)Bilans'!E14</f>
        <v>33452</v>
      </c>
      <c r="F11" s="60">
        <f t="shared" si="0"/>
        <v>-3.9921935539419681E-2</v>
      </c>
      <c r="G11" s="61">
        <f>D11/D9</f>
        <v>0.40066004323628168</v>
      </c>
      <c r="H11" s="61">
        <f>E11/E9</f>
        <v>0.33050437188163811</v>
      </c>
    </row>
    <row r="12" spans="1:12" x14ac:dyDescent="0.35">
      <c r="A12" s="52" t="s">
        <v>124</v>
      </c>
      <c r="B12" s="59">
        <f>'(1)Bilans'!B15+'(1)Bilans'!B16</f>
        <v>4588</v>
      </c>
      <c r="C12" s="59">
        <f>'(1)Bilans'!C15+'(1)Bilans'!C16</f>
        <v>8507</v>
      </c>
      <c r="D12" s="59">
        <f>'(1)Bilans'!D15+'(1)Bilans'!D16</f>
        <v>1972</v>
      </c>
      <c r="E12" s="59">
        <f>'(1)Bilans'!E15+'(1)Bilans'!E16</f>
        <v>10709</v>
      </c>
      <c r="F12" s="60">
        <f t="shared" si="0"/>
        <v>4.4305273833671404</v>
      </c>
      <c r="G12" s="61">
        <f>D12/D9</f>
        <v>2.2676049859712066E-2</v>
      </c>
      <c r="H12" s="61">
        <f>E12/E9</f>
        <v>0.10580447562120239</v>
      </c>
    </row>
    <row r="13" spans="1:12" x14ac:dyDescent="0.35">
      <c r="A13" s="62" t="s">
        <v>15</v>
      </c>
      <c r="B13" s="63">
        <v>149411</v>
      </c>
      <c r="C13" s="63">
        <v>142420</v>
      </c>
      <c r="D13" s="63">
        <v>136148</v>
      </c>
      <c r="E13" s="63">
        <v>141067</v>
      </c>
      <c r="F13" s="64">
        <f t="shared" si="0"/>
        <v>3.6129799923612538E-2</v>
      </c>
      <c r="G13" s="65" t="s">
        <v>128</v>
      </c>
      <c r="H13" s="65" t="s">
        <v>128</v>
      </c>
      <c r="I13">
        <v>2017</v>
      </c>
      <c r="J13" s="29">
        <v>20.18</v>
      </c>
    </row>
    <row r="14" spans="1:12" x14ac:dyDescent="0.35">
      <c r="A14" s="53" t="s">
        <v>16</v>
      </c>
      <c r="B14" s="88"/>
      <c r="C14" s="89"/>
      <c r="D14" s="89"/>
      <c r="E14" s="89"/>
      <c r="F14" s="89"/>
      <c r="G14" s="89"/>
      <c r="H14" s="90"/>
    </row>
    <row r="15" spans="1:12" x14ac:dyDescent="0.35">
      <c r="A15" s="55" t="s">
        <v>18</v>
      </c>
      <c r="B15" s="56">
        <v>65963</v>
      </c>
      <c r="C15" s="56">
        <v>66536</v>
      </c>
      <c r="D15" s="56">
        <v>65171</v>
      </c>
      <c r="E15" s="56">
        <v>72917</v>
      </c>
      <c r="F15" s="57">
        <f t="shared" si="0"/>
        <v>0.11885654662349818</v>
      </c>
      <c r="G15" s="58">
        <v>1</v>
      </c>
      <c r="H15" s="58">
        <v>1</v>
      </c>
      <c r="I15" s="33">
        <f>D15/D24</f>
        <v>0.47867761553603433</v>
      </c>
      <c r="J15" s="33">
        <f>E15/E24</f>
        <v>0.51689622661572165</v>
      </c>
    </row>
    <row r="16" spans="1:12" x14ac:dyDescent="0.35">
      <c r="A16" s="52" t="s">
        <v>19</v>
      </c>
      <c r="B16" s="59">
        <v>6092</v>
      </c>
      <c r="C16" s="59">
        <v>6092</v>
      </c>
      <c r="D16" s="59">
        <v>6092</v>
      </c>
      <c r="E16" s="59">
        <v>6092</v>
      </c>
      <c r="F16" s="60">
        <f t="shared" si="0"/>
        <v>0</v>
      </c>
      <c r="G16" s="61">
        <f>D16/D15</f>
        <v>9.3477160086541555E-2</v>
      </c>
      <c r="H16" s="61">
        <f>E16/E15</f>
        <v>8.3547046642072492E-2</v>
      </c>
    </row>
    <row r="17" spans="1:13" x14ac:dyDescent="0.35">
      <c r="A17" s="52" t="s">
        <v>125</v>
      </c>
      <c r="B17" s="59">
        <f>'(1)Bilans'!B21+'(1)Bilans'!B22+'(1)Bilans'!B23+'(1)Bilans'!B24</f>
        <v>45376</v>
      </c>
      <c r="C17" s="59">
        <f>'(1)Bilans'!C21+'(1)Bilans'!C22+'(1)Bilans'!C23+'(1)Bilans'!C24</f>
        <v>51067</v>
      </c>
      <c r="D17" s="59">
        <f>'(1)Bilans'!D21+'(1)Bilans'!D22+'(1)Bilans'!D23+'(1)Bilans'!D24</f>
        <v>53590</v>
      </c>
      <c r="E17" s="59">
        <f>'(1)Bilans'!E21+'(1)Bilans'!E22+'(1)Bilans'!E23+'(1)Bilans'!E24</f>
        <v>54235</v>
      </c>
      <c r="F17" s="60">
        <f t="shared" si="0"/>
        <v>1.2035827579772345E-2</v>
      </c>
      <c r="G17" s="61">
        <f>D17/D15</f>
        <v>0.82229826149667795</v>
      </c>
      <c r="H17" s="61">
        <f>E17/E15</f>
        <v>0.74379088552738049</v>
      </c>
      <c r="K17" s="28"/>
    </row>
    <row r="18" spans="1:13" x14ac:dyDescent="0.35">
      <c r="A18" s="52" t="s">
        <v>202</v>
      </c>
      <c r="B18" s="59">
        <f>'(1)Bilans'!B25+'(1)Bilans'!B26</f>
        <v>14495</v>
      </c>
      <c r="C18" s="59">
        <f>'(1)Bilans'!C25+'(1)Bilans'!C26</f>
        <v>9377</v>
      </c>
      <c r="D18" s="59">
        <f>'(1)Bilans'!D25+'(1)Bilans'!D26</f>
        <v>5489</v>
      </c>
      <c r="E18" s="59">
        <f>'(1)Bilans'!E25+'(1)Bilans'!E26</f>
        <v>12590</v>
      </c>
      <c r="F18" s="60">
        <f t="shared" si="0"/>
        <v>1.2936782656221535</v>
      </c>
      <c r="G18" s="61">
        <f>D18/D15</f>
        <v>8.4224578416780466E-2</v>
      </c>
      <c r="H18" s="61">
        <f>E18/E15</f>
        <v>0.17266206783054705</v>
      </c>
    </row>
    <row r="19" spans="1:13" x14ac:dyDescent="0.35">
      <c r="A19" s="55" t="s">
        <v>126</v>
      </c>
      <c r="B19" s="56">
        <f>B20+B21+B22+B23</f>
        <v>83448</v>
      </c>
      <c r="C19" s="56">
        <f>C20+C21+C22+C23</f>
        <v>75884</v>
      </c>
      <c r="D19" s="56">
        <f>D20+D21+D22+D23</f>
        <v>70977</v>
      </c>
      <c r="E19" s="56">
        <f>E20+E21+E22+E23</f>
        <v>68150</v>
      </c>
      <c r="F19" s="57">
        <f t="shared" si="0"/>
        <v>-3.9829804021020897E-2</v>
      </c>
      <c r="G19" s="92">
        <v>1</v>
      </c>
      <c r="H19" s="91">
        <v>1</v>
      </c>
      <c r="I19" s="32">
        <f>D19/D24</f>
        <v>0.52132238446396573</v>
      </c>
      <c r="J19" s="32">
        <f>E19/E24</f>
        <v>0.4831037733842784</v>
      </c>
    </row>
    <row r="20" spans="1:13" x14ac:dyDescent="0.35">
      <c r="A20" s="52" t="s">
        <v>27</v>
      </c>
      <c r="B20" s="59">
        <v>59382</v>
      </c>
      <c r="C20" s="59">
        <v>2799</v>
      </c>
      <c r="D20" s="59">
        <v>35151</v>
      </c>
      <c r="E20" s="59">
        <v>38388</v>
      </c>
      <c r="F20" s="60">
        <f t="shared" si="0"/>
        <v>9.2088418537168218E-2</v>
      </c>
      <c r="G20" s="61">
        <f>D20/D19</f>
        <v>0.4952449385012046</v>
      </c>
      <c r="H20" s="61">
        <f>E20/E$19</f>
        <v>0.56328686720469556</v>
      </c>
    </row>
    <row r="21" spans="1:13" x14ac:dyDescent="0.35">
      <c r="A21" s="52" t="s">
        <v>29</v>
      </c>
      <c r="B21" s="59">
        <f>'(1)Bilans'!B29+'(1)Bilans'!B30+'(1)Bilans'!B31</f>
        <v>1656</v>
      </c>
      <c r="C21" s="59">
        <f>'(1)Bilans'!C29+'(1)Bilans'!C30+'(1)Bilans'!C31</f>
        <v>1221</v>
      </c>
      <c r="D21" s="59">
        <f>'(1)Bilans'!D29+'(1)Bilans'!D30+'(1)Bilans'!D31</f>
        <v>5209</v>
      </c>
      <c r="E21" s="59">
        <f>'(1)Bilans'!E29+'(1)Bilans'!E30+'(1)Bilans'!E31</f>
        <v>4641</v>
      </c>
      <c r="F21" s="60">
        <f t="shared" si="0"/>
        <v>-0.10904204261854483</v>
      </c>
      <c r="G21" s="61">
        <f>D21/D19</f>
        <v>7.3389971399185655E-2</v>
      </c>
      <c r="H21" s="61">
        <f t="shared" ref="H21:H22" si="1">E21/E$19</f>
        <v>6.8099779897285398E-2</v>
      </c>
    </row>
    <row r="22" spans="1:13" x14ac:dyDescent="0.35">
      <c r="A22" s="52" t="s">
        <v>31</v>
      </c>
      <c r="B22" s="59">
        <f>'(1)Bilans'!B37+'(1)Bilans'!B36+'(1)Bilans'!B35+'(1)Bilans'!B34</f>
        <v>22325</v>
      </c>
      <c r="C22" s="59">
        <f>'(1)Bilans'!C37+'(1)Bilans'!C36+'(1)Bilans'!C35+'(1)Bilans'!C34</f>
        <v>24583</v>
      </c>
      <c r="D22" s="59">
        <f>'(1)Bilans'!D37+'(1)Bilans'!D36+'(1)Bilans'!D35+'(1)Bilans'!D34</f>
        <v>25433</v>
      </c>
      <c r="E22" s="59">
        <f>'(1)Bilans'!E37+'(1)Bilans'!E36+'(1)Bilans'!E35+'(1)Bilans'!E34</f>
        <v>25121</v>
      </c>
      <c r="F22" s="60">
        <f t="shared" si="0"/>
        <v>-1.2267526442024142E-2</v>
      </c>
      <c r="G22" s="61">
        <f>D22/D19</f>
        <v>0.35832734547811262</v>
      </c>
      <c r="H22" s="61">
        <f t="shared" si="1"/>
        <v>0.36861335289801905</v>
      </c>
    </row>
    <row r="23" spans="1:13" x14ac:dyDescent="0.35">
      <c r="A23" s="52" t="s">
        <v>127</v>
      </c>
      <c r="B23" s="59">
        <v>85</v>
      </c>
      <c r="C23" s="59">
        <v>47281</v>
      </c>
      <c r="D23" s="59">
        <v>5184</v>
      </c>
      <c r="E23" s="59">
        <v>0</v>
      </c>
      <c r="F23" s="60">
        <f t="shared" si="0"/>
        <v>-1</v>
      </c>
      <c r="G23" s="61">
        <f>D23/D19</f>
        <v>7.3037744621497105E-2</v>
      </c>
      <c r="H23" s="66" t="s">
        <v>128</v>
      </c>
      <c r="M23" s="28"/>
    </row>
    <row r="24" spans="1:13" x14ac:dyDescent="0.35">
      <c r="A24" s="62" t="s">
        <v>35</v>
      </c>
      <c r="B24" s="63">
        <v>149411</v>
      </c>
      <c r="C24" s="63">
        <v>142420</v>
      </c>
      <c r="D24" s="63">
        <v>136148</v>
      </c>
      <c r="E24" s="63">
        <v>141067</v>
      </c>
      <c r="F24" s="64">
        <f>(E24-D24)/D24</f>
        <v>3.6129799923612538E-2</v>
      </c>
      <c r="G24" s="65" t="s">
        <v>128</v>
      </c>
      <c r="H24" s="65" t="s">
        <v>128</v>
      </c>
      <c r="I24" s="27">
        <v>1</v>
      </c>
      <c r="J24" s="27">
        <v>1</v>
      </c>
    </row>
    <row r="25" spans="1:13" x14ac:dyDescent="0.35">
      <c r="C25" s="5"/>
    </row>
    <row r="26" spans="1:13" x14ac:dyDescent="0.35">
      <c r="A26" t="s">
        <v>134</v>
      </c>
      <c r="G26" t="s">
        <v>135</v>
      </c>
      <c r="H26" s="30"/>
      <c r="I26" s="48">
        <v>2015</v>
      </c>
      <c r="J26" s="48">
        <v>2016</v>
      </c>
      <c r="K26" s="48">
        <v>2017</v>
      </c>
      <c r="L26" s="48">
        <v>2018</v>
      </c>
    </row>
    <row r="27" spans="1:13" x14ac:dyDescent="0.35">
      <c r="A27" s="30" t="s">
        <v>130</v>
      </c>
      <c r="B27" s="30">
        <v>2015</v>
      </c>
      <c r="C27" s="30">
        <v>2016</v>
      </c>
      <c r="D27" s="30">
        <v>2017</v>
      </c>
      <c r="E27" s="30">
        <v>2018</v>
      </c>
      <c r="H27" s="30" t="s">
        <v>196</v>
      </c>
      <c r="I27" s="47">
        <f>(B15/B19)/(B4/B9)</f>
        <v>2.1457056477518441</v>
      </c>
      <c r="J27" s="47">
        <f>(C15/C19)/(C4/C9)</f>
        <v>1.8304585794067254</v>
      </c>
      <c r="K27" s="47">
        <f>(D15/D19)/(D4/D9)</f>
        <v>1.6235004282958452</v>
      </c>
      <c r="L27" s="47">
        <f>(E15/E19)/(E4/E9)</f>
        <v>2.7174257721287036</v>
      </c>
    </row>
    <row r="28" spans="1:13" x14ac:dyDescent="0.35">
      <c r="A28" s="30" t="s">
        <v>191</v>
      </c>
      <c r="B28" s="50">
        <f>B15/B4</f>
        <v>1.6398916070007956</v>
      </c>
      <c r="C28" s="50">
        <f>C15/C4</f>
        <v>1.4424836317911807</v>
      </c>
      <c r="D28" s="50">
        <f>D15/D4</f>
        <v>1.3250447299934938</v>
      </c>
      <c r="E28" s="50">
        <f>E15/E4</f>
        <v>1.8296948710227843</v>
      </c>
    </row>
    <row r="29" spans="1:13" x14ac:dyDescent="0.35">
      <c r="A29" s="30" t="s">
        <v>192</v>
      </c>
      <c r="B29" s="50">
        <f>B19/B9</f>
        <v>0.76426680831967175</v>
      </c>
      <c r="C29" s="50">
        <f>C19/C9</f>
        <v>0.78804494568716643</v>
      </c>
      <c r="D29" s="50">
        <f>D19/D9</f>
        <v>0.81616530978335866</v>
      </c>
      <c r="E29" s="50">
        <f>E19/E9</f>
        <v>0.67331917205947733</v>
      </c>
    </row>
    <row r="30" spans="1:13" x14ac:dyDescent="0.35">
      <c r="G30" t="s">
        <v>194</v>
      </c>
      <c r="H30" s="30"/>
      <c r="I30" s="30">
        <v>2015</v>
      </c>
      <c r="J30" s="30">
        <v>2016</v>
      </c>
      <c r="K30" s="30">
        <v>2017</v>
      </c>
      <c r="L30" s="30">
        <v>2018</v>
      </c>
    </row>
    <row r="31" spans="1:13" x14ac:dyDescent="0.35">
      <c r="H31" s="30" t="s">
        <v>195</v>
      </c>
      <c r="I31" s="30">
        <f>(B15/B4)/(B19/B9)</f>
        <v>2.1457056477518441</v>
      </c>
      <c r="J31" s="30">
        <f>(C15/C4)/(C19/C9)</f>
        <v>1.8304585794067254</v>
      </c>
      <c r="K31" s="30">
        <f>(D15/D4)/(D19/D9)</f>
        <v>1.623500428295845</v>
      </c>
      <c r="L31" s="30">
        <f>(E15/E4)/(E19/E9)</f>
        <v>2.7174257721287032</v>
      </c>
    </row>
    <row r="38" spans="1:12" x14ac:dyDescent="0.35">
      <c r="A38" t="s">
        <v>193</v>
      </c>
    </row>
    <row r="39" spans="1:12" x14ac:dyDescent="0.35">
      <c r="A39" s="30" t="s">
        <v>131</v>
      </c>
      <c r="B39" s="30">
        <v>2015</v>
      </c>
      <c r="C39" s="30">
        <v>2016</v>
      </c>
      <c r="D39" s="30">
        <v>2017</v>
      </c>
      <c r="E39" s="30">
        <v>2018</v>
      </c>
    </row>
    <row r="40" spans="1:12" x14ac:dyDescent="0.35">
      <c r="A40" s="30" t="s">
        <v>132</v>
      </c>
      <c r="B40" s="31">
        <f>(B15-B18+B20+B21)/B4</f>
        <v>2.7969868735083532</v>
      </c>
      <c r="C40" s="31">
        <f t="shared" ref="C40:E40" si="2">(C15-C18+C20+C21)/C4</f>
        <v>1.3263452282877335</v>
      </c>
      <c r="D40" s="31">
        <f t="shared" si="2"/>
        <v>2.0340354586857514</v>
      </c>
      <c r="E40" s="31">
        <f t="shared" si="2"/>
        <v>2.5934959349593494</v>
      </c>
    </row>
    <row r="41" spans="1:12" x14ac:dyDescent="0.35">
      <c r="A41" s="30" t="s">
        <v>133</v>
      </c>
      <c r="B41" s="31">
        <f>(B18+B22+B23)/B9</f>
        <v>0.33799811332850982</v>
      </c>
      <c r="C41" s="31">
        <f>(C18+C22+C23)/C9</f>
        <v>0.84367665690489546</v>
      </c>
      <c r="D41" s="31">
        <f>(D18+D22+D23)/D9</f>
        <v>0.41518329423669564</v>
      </c>
      <c r="E41" s="31">
        <f>(E18+E22+E23)/E9</f>
        <v>0.37258311515091636</v>
      </c>
    </row>
    <row r="48" spans="1:12" x14ac:dyDescent="0.35">
      <c r="A48" t="s">
        <v>197</v>
      </c>
      <c r="G48" t="s">
        <v>167</v>
      </c>
      <c r="H48" s="67"/>
      <c r="I48" s="67">
        <v>2015</v>
      </c>
      <c r="J48" s="67">
        <v>2016</v>
      </c>
      <c r="K48" s="67">
        <v>2017</v>
      </c>
      <c r="L48" s="67">
        <v>2018</v>
      </c>
    </row>
    <row r="49" spans="1:12" x14ac:dyDescent="0.35">
      <c r="A49" s="67"/>
      <c r="B49" s="67">
        <v>2015</v>
      </c>
      <c r="C49" s="67">
        <v>2016</v>
      </c>
      <c r="D49" s="67">
        <v>2017</v>
      </c>
      <c r="E49" s="67">
        <v>2018</v>
      </c>
      <c r="H49" s="30" t="s">
        <v>198</v>
      </c>
      <c r="I49" s="47">
        <f>'(2)Rachunek zysków i strat'!B3/'(7)Analiza sytuacji maj-kap'!B13</f>
        <v>1.7567715897758531</v>
      </c>
      <c r="J49" s="47">
        <f>'(2)Rachunek zysków i strat'!C3/'(7)Analiza sytuacji maj-kap'!C13</f>
        <v>1.8437719421429575</v>
      </c>
      <c r="K49" s="47">
        <f>'(2)Rachunek zysków i strat'!D3/'(7)Analiza sytuacji maj-kap'!D13</f>
        <v>1.465089461468402</v>
      </c>
      <c r="L49" s="47">
        <f>'(2)Rachunek zysków i strat'!E3/'(7)Analiza sytuacji maj-kap'!E13</f>
        <v>1.6497125479382138</v>
      </c>
    </row>
    <row r="50" spans="1:12" x14ac:dyDescent="0.35">
      <c r="A50" s="30" t="s">
        <v>136</v>
      </c>
      <c r="B50" s="31">
        <f>B4/B9</f>
        <v>0.36839550495938161</v>
      </c>
      <c r="C50" s="31">
        <f>C4/C9</f>
        <v>0.47901219182918975</v>
      </c>
      <c r="D50" s="31">
        <f>D4/D9</f>
        <v>0.56556736120693618</v>
      </c>
      <c r="E50" s="31">
        <f>E4/E9</f>
        <v>0.39373610630835348</v>
      </c>
    </row>
    <row r="56" spans="1:12" x14ac:dyDescent="0.35">
      <c r="A56" s="51" t="s">
        <v>199</v>
      </c>
      <c r="B56" s="67">
        <v>2015</v>
      </c>
      <c r="C56" s="67">
        <v>2016</v>
      </c>
      <c r="D56" s="67">
        <v>2016</v>
      </c>
      <c r="E56" s="67">
        <v>2018</v>
      </c>
    </row>
    <row r="57" spans="1:12" x14ac:dyDescent="0.35">
      <c r="A57" s="30" t="s">
        <v>137</v>
      </c>
      <c r="B57" s="31">
        <f>B15/B19</f>
        <v>0.79046831559773756</v>
      </c>
      <c r="C57" s="31">
        <f t="shared" ref="C57:E57" si="3">C15/C19</f>
        <v>0.87681197617416051</v>
      </c>
      <c r="D57" s="31">
        <f t="shared" si="3"/>
        <v>0.9181988531496118</v>
      </c>
      <c r="E57" s="31">
        <f t="shared" si="3"/>
        <v>1.0699486426999267</v>
      </c>
    </row>
    <row r="58" spans="1:12" x14ac:dyDescent="0.35">
      <c r="A58" s="45"/>
      <c r="B58" s="45"/>
      <c r="C58" s="45"/>
      <c r="D58" s="45"/>
      <c r="E58" s="45"/>
    </row>
    <row r="59" spans="1:12" x14ac:dyDescent="0.35">
      <c r="A59" s="51" t="s">
        <v>200</v>
      </c>
      <c r="B59" s="30">
        <v>2015</v>
      </c>
      <c r="C59" s="30">
        <v>2016</v>
      </c>
      <c r="D59" s="30">
        <v>2017</v>
      </c>
      <c r="E59" s="30">
        <v>2018</v>
      </c>
    </row>
    <row r="60" spans="1:12" x14ac:dyDescent="0.35">
      <c r="A60" s="30" t="s">
        <v>138</v>
      </c>
      <c r="B60" s="31">
        <f>B19/B15</f>
        <v>1.2650728438670165</v>
      </c>
      <c r="C60" s="31">
        <f>C19/C15</f>
        <v>1.1404953709270169</v>
      </c>
      <c r="D60" s="31">
        <f>D19/D15</f>
        <v>1.0890887050988938</v>
      </c>
      <c r="E60" s="31">
        <f>E19/E15</f>
        <v>0.93462429886034804</v>
      </c>
    </row>
    <row r="61" spans="1:12" x14ac:dyDescent="0.35">
      <c r="A61" s="45"/>
      <c r="B61" s="45"/>
      <c r="C61" s="45"/>
      <c r="D61" s="45"/>
      <c r="E61" s="45"/>
    </row>
    <row r="62" spans="1:12" x14ac:dyDescent="0.35">
      <c r="A62" s="51" t="s">
        <v>201</v>
      </c>
      <c r="B62" s="30">
        <v>2015</v>
      </c>
      <c r="C62" s="30">
        <v>2016</v>
      </c>
      <c r="D62" s="30">
        <v>2017</v>
      </c>
      <c r="E62" s="30">
        <v>2018</v>
      </c>
    </row>
    <row r="63" spans="1:12" x14ac:dyDescent="0.35">
      <c r="A63" s="30" t="s">
        <v>139</v>
      </c>
      <c r="B63" s="31">
        <f>B57/B50</f>
        <v>2.1457056477518441</v>
      </c>
      <c r="C63" s="31">
        <f>C57/C50</f>
        <v>1.8304585794067254</v>
      </c>
      <c r="D63" s="31">
        <f>D57/D50</f>
        <v>1.6235004282958452</v>
      </c>
      <c r="E63" s="31">
        <f>E57/E50</f>
        <v>2.7174257721287036</v>
      </c>
    </row>
  </sheetData>
  <mergeCells count="4">
    <mergeCell ref="G2:H2"/>
    <mergeCell ref="A1:H1"/>
    <mergeCell ref="A2:E2"/>
    <mergeCell ref="B14:H1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BB244-C0FC-4E84-82DA-AB2F3911290E}">
  <dimension ref="A1:U21"/>
  <sheetViews>
    <sheetView workbookViewId="0">
      <selection activeCell="K3" sqref="K3"/>
    </sheetView>
  </sheetViews>
  <sheetFormatPr defaultRowHeight="14.5" x14ac:dyDescent="0.35"/>
  <cols>
    <col min="1" max="1" width="23" customWidth="1"/>
    <col min="3" max="6" width="12.7265625" bestFit="1" customWidth="1"/>
    <col min="9" max="9" width="20.7265625" customWidth="1"/>
    <col min="11" max="11" width="14.81640625" bestFit="1" customWidth="1"/>
    <col min="12" max="14" width="9.26953125" bestFit="1" customWidth="1"/>
    <col min="18" max="18" width="15.26953125" bestFit="1" customWidth="1"/>
  </cols>
  <sheetData>
    <row r="1" spans="1:21" x14ac:dyDescent="0.35">
      <c r="A1" t="s">
        <v>134</v>
      </c>
      <c r="I1" t="s">
        <v>209</v>
      </c>
    </row>
    <row r="2" spans="1:21" x14ac:dyDescent="0.35">
      <c r="B2" s="45"/>
      <c r="C2" s="45">
        <v>2015</v>
      </c>
      <c r="D2" s="45">
        <v>2016</v>
      </c>
      <c r="E2" s="45">
        <v>2017</v>
      </c>
      <c r="F2" s="45">
        <v>2018</v>
      </c>
      <c r="I2" t="s">
        <v>210</v>
      </c>
      <c r="J2" s="45"/>
      <c r="K2" s="45">
        <v>2015</v>
      </c>
      <c r="L2" s="45">
        <v>2016</v>
      </c>
      <c r="M2" s="45">
        <v>2017</v>
      </c>
      <c r="N2" s="45">
        <v>2018</v>
      </c>
      <c r="R2">
        <v>2015</v>
      </c>
      <c r="S2">
        <v>1016</v>
      </c>
      <c r="T2">
        <v>2017</v>
      </c>
      <c r="U2">
        <v>2018</v>
      </c>
    </row>
    <row r="3" spans="1:21" x14ac:dyDescent="0.35">
      <c r="B3" s="76" t="s">
        <v>211</v>
      </c>
      <c r="C3" s="77">
        <f>R3*R4</f>
        <v>43557113.600000001</v>
      </c>
      <c r="D3" s="77">
        <f t="shared" ref="D3:F3" si="0">S3*S4</f>
        <v>34723852.800000004</v>
      </c>
      <c r="E3" s="77">
        <f t="shared" si="0"/>
        <v>28631948.800000001</v>
      </c>
      <c r="F3" s="77">
        <f t="shared" si="0"/>
        <v>24976806.399999999</v>
      </c>
      <c r="J3" s="45" t="s">
        <v>218</v>
      </c>
      <c r="K3" s="77">
        <f>'(1)Bilans'!B17-('(1)Bilans'!B27+'(1)Bilans'!B32)</f>
        <v>65963</v>
      </c>
      <c r="L3" s="77">
        <f>'(1)Bilans'!C17-('(1)Bilans'!C27+'(1)Bilans'!C32)</f>
        <v>66536</v>
      </c>
      <c r="M3" s="77">
        <f>'(1)Bilans'!D17-('(1)Bilans'!D27+'(1)Bilans'!D32)</f>
        <v>65171</v>
      </c>
      <c r="N3" s="77">
        <f>'(1)Bilans'!E17-('(1)Bilans'!E27+'(1)Bilans'!E32)</f>
        <v>72917</v>
      </c>
      <c r="Q3" t="s">
        <v>220</v>
      </c>
      <c r="R3" s="79">
        <v>6091904</v>
      </c>
      <c r="S3" s="79">
        <v>6091904</v>
      </c>
      <c r="T3" s="79">
        <v>6091904</v>
      </c>
      <c r="U3" s="79">
        <v>6091904</v>
      </c>
    </row>
    <row r="4" spans="1:21" x14ac:dyDescent="0.35">
      <c r="Q4" t="s">
        <v>221</v>
      </c>
      <c r="R4">
        <v>7.15</v>
      </c>
      <c r="S4">
        <v>5.7</v>
      </c>
      <c r="T4">
        <v>4.7</v>
      </c>
      <c r="U4">
        <v>4.0999999999999996</v>
      </c>
    </row>
    <row r="6" spans="1:21" x14ac:dyDescent="0.35">
      <c r="A6" t="s">
        <v>194</v>
      </c>
      <c r="I6" t="s">
        <v>193</v>
      </c>
    </row>
    <row r="7" spans="1:21" x14ac:dyDescent="0.35">
      <c r="A7" t="s">
        <v>212</v>
      </c>
      <c r="B7" s="45"/>
      <c r="C7" s="45">
        <v>2015</v>
      </c>
      <c r="D7" s="45">
        <v>2016</v>
      </c>
      <c r="E7" s="45">
        <v>2017</v>
      </c>
      <c r="F7" s="45">
        <v>2018</v>
      </c>
      <c r="I7" t="s">
        <v>213</v>
      </c>
      <c r="J7" s="45"/>
      <c r="K7" s="45">
        <v>2015</v>
      </c>
      <c r="L7" s="45">
        <v>2016</v>
      </c>
      <c r="M7" s="45">
        <v>2017</v>
      </c>
      <c r="N7" s="45">
        <v>2018</v>
      </c>
    </row>
    <row r="8" spans="1:21" x14ac:dyDescent="0.35">
      <c r="B8" s="45" t="s">
        <v>216</v>
      </c>
      <c r="C8" s="73">
        <f>R4/('(2)Rachunek zysków i strat'!B19*1000/'(8)Analiza sytuacji rynkowej sp'!R3)</f>
        <v>4.5132228370117087</v>
      </c>
      <c r="D8" s="73">
        <f>S4/('(2)Rachunek zysków i strat'!C19*1000/'(8)Analiza sytuacji rynkowej sp'!S3)</f>
        <v>7.6602366644606228</v>
      </c>
      <c r="E8" s="73">
        <f>T4/('(2)Rachunek zysków i strat'!D19*1000/'(8)Analiza sytuacji rynkowej sp'!T3)</f>
        <v>44.390618294573642</v>
      </c>
      <c r="F8" s="73">
        <f>U4/('(2)Rachunek zysków i strat'!E19*1000/'(8)Analiza sytuacji rynkowej sp'!U3)</f>
        <v>3.2244779757294082</v>
      </c>
      <c r="J8" s="45" t="s">
        <v>217</v>
      </c>
      <c r="K8" s="47">
        <f>C3/(K3*1000)</f>
        <v>0.66032644967633369</v>
      </c>
      <c r="L8" s="47">
        <f t="shared" ref="L8:N8" si="1">D3/(L3*1000)</f>
        <v>0.52188067812913319</v>
      </c>
      <c r="M8" s="47">
        <f t="shared" si="1"/>
        <v>0.43933572908195362</v>
      </c>
      <c r="N8" s="47">
        <f t="shared" si="1"/>
        <v>0.34253749331431627</v>
      </c>
      <c r="R8">
        <v>2015</v>
      </c>
      <c r="S8">
        <v>2016</v>
      </c>
      <c r="T8">
        <v>2017</v>
      </c>
      <c r="U8">
        <v>2018</v>
      </c>
    </row>
    <row r="9" spans="1:21" x14ac:dyDescent="0.35">
      <c r="Q9" t="s">
        <v>222</v>
      </c>
      <c r="R9">
        <v>2376</v>
      </c>
      <c r="S9" s="79">
        <v>3960</v>
      </c>
      <c r="T9" s="79">
        <v>2010</v>
      </c>
      <c r="U9">
        <v>0</v>
      </c>
    </row>
    <row r="11" spans="1:21" x14ac:dyDescent="0.35">
      <c r="A11" t="s">
        <v>197</v>
      </c>
      <c r="I11" t="s">
        <v>167</v>
      </c>
      <c r="J11" s="45"/>
      <c r="K11" s="45">
        <v>2015</v>
      </c>
      <c r="L11" s="45">
        <v>2016</v>
      </c>
      <c r="M11" s="45">
        <v>2017</v>
      </c>
      <c r="N11" s="45">
        <v>2018</v>
      </c>
    </row>
    <row r="12" spans="1:21" x14ac:dyDescent="0.35">
      <c r="A12" t="s">
        <v>214</v>
      </c>
      <c r="B12" s="45"/>
      <c r="C12" s="45">
        <v>2015</v>
      </c>
      <c r="D12" s="45">
        <v>2016</v>
      </c>
      <c r="E12" s="45">
        <v>2017</v>
      </c>
      <c r="F12" s="45">
        <v>2018</v>
      </c>
      <c r="I12" s="75" t="s">
        <v>219</v>
      </c>
      <c r="J12" s="45" t="s">
        <v>219</v>
      </c>
      <c r="K12" s="49">
        <f>(R9*1000/R3)/R4</f>
        <v>5.4549069110033953E-2</v>
      </c>
      <c r="L12" s="49">
        <f>(S9*1000/S3)/S4</f>
        <v>0.11404264448442772</v>
      </c>
      <c r="M12" s="49">
        <f>(T9*1000/T3)/T4</f>
        <v>7.0201299046748794E-2</v>
      </c>
      <c r="N12" s="49">
        <f>(U9*1000/U3)/U4</f>
        <v>0</v>
      </c>
    </row>
    <row r="13" spans="1:21" x14ac:dyDescent="0.35">
      <c r="B13" s="78" t="s">
        <v>215</v>
      </c>
      <c r="C13" s="73">
        <f>R4/(('(2)Rachunek zysków i strat'!B14*1000)/'(8)Analiza sytuacji rynkowej sp'!R3)</f>
        <v>3.3133358892438762</v>
      </c>
      <c r="D13" s="73">
        <f>S4/(('(2)Rachunek zysków i strat'!C14*1000)/'(8)Analiza sytuacji rynkowej sp'!S3)</f>
        <v>5.616928631510838</v>
      </c>
      <c r="E13" s="73">
        <f>T4/(('(2)Rachunek zysków i strat'!D14*1000)/'(8)Analiza sytuacji rynkowej sp'!T3)</f>
        <v>10.53032320706142</v>
      </c>
      <c r="F13" s="73">
        <f>U4/(('(2)Rachunek zysków i strat'!E14*1000)/'(8)Analiza sytuacji rynkowej sp'!U3)</f>
        <v>2.3676942269409422</v>
      </c>
      <c r="R13" s="80">
        <f>4.49*R3</f>
        <v>27352648.960000001</v>
      </c>
    </row>
    <row r="16" spans="1:21" x14ac:dyDescent="0.35">
      <c r="H16" s="45"/>
      <c r="I16" s="45" t="s">
        <v>223</v>
      </c>
      <c r="J16" t="s">
        <v>224</v>
      </c>
    </row>
    <row r="17" spans="8:9" x14ac:dyDescent="0.35">
      <c r="H17" s="45" t="s">
        <v>225</v>
      </c>
      <c r="I17" s="50">
        <f>(F3-E3)/E3</f>
        <v>-0.12765957446808518</v>
      </c>
    </row>
    <row r="18" spans="8:9" x14ac:dyDescent="0.35">
      <c r="H18" s="45" t="s">
        <v>218</v>
      </c>
      <c r="I18" s="50">
        <f>(N3-M3)/M3</f>
        <v>0.11885654662349818</v>
      </c>
    </row>
    <row r="19" spans="8:9" x14ac:dyDescent="0.35">
      <c r="H19" s="45" t="s">
        <v>216</v>
      </c>
      <c r="I19" s="50">
        <f>(F8-E8)/E8</f>
        <v>-0.92736127362921705</v>
      </c>
    </row>
    <row r="20" spans="8:9" x14ac:dyDescent="0.35">
      <c r="H20" s="45" t="s">
        <v>217</v>
      </c>
      <c r="I20" s="50">
        <f>(N8-M8)/M8</f>
        <v>-0.22032862196277378</v>
      </c>
    </row>
    <row r="21" spans="8:9" x14ac:dyDescent="0.35">
      <c r="H21" s="45" t="s">
        <v>215</v>
      </c>
      <c r="I21" s="50">
        <f>(F13-E13)/E13</f>
        <v>-0.77515464811628809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(1)Bilans</vt:lpstr>
      <vt:lpstr>(2)Rachunek zysków i strat</vt:lpstr>
      <vt:lpstr>(3)Rachunek przepływów pienieżn</vt:lpstr>
      <vt:lpstr>(4)Zmiany w strukturze KW</vt:lpstr>
      <vt:lpstr>(5)Ocena płynności</vt:lpstr>
      <vt:lpstr>(6)Analiza rentowności</vt:lpstr>
      <vt:lpstr>(7)Analiza sytuacji maj-kap</vt:lpstr>
      <vt:lpstr>(8)Analiza sytuacji rynkowej 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2019-03-18T20:32:14Z</cp:lastPrinted>
  <dcterms:created xsi:type="dcterms:W3CDTF">2019-03-18T17:29:51Z</dcterms:created>
  <dcterms:modified xsi:type="dcterms:W3CDTF">2019-05-28T17:02:17Z</dcterms:modified>
</cp:coreProperties>
</file>