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fd555716d4621/Schule/Unterricht/Allgemein/Bewertungsbogen Leistungsnachweis/"/>
    </mc:Choice>
  </mc:AlternateContent>
  <xr:revisionPtr revIDLastSave="15" documentId="13_ncr:1_{6F6B7F2D-BC60-4567-AA31-6A28497C8F43}" xr6:coauthVersionLast="47" xr6:coauthVersionMax="47" xr10:uidLastSave="{597A392C-EB8C-4597-8BBC-90F8191B24C7}"/>
  <bookViews>
    <workbookView xWindow="-103" yWindow="-103" windowWidth="33120" windowHeight="18120" xr2:uid="{B4C12FD5-0A62-49D9-9921-146D038BE732}"/>
  </bookViews>
  <sheets>
    <sheet name="Bewertungsbogen" sheetId="1" r:id="rId1"/>
    <sheet name="Aufgaben-Übersicht" sheetId="2" r:id="rId2"/>
    <sheet name="Info &amp; Changelo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T37" i="1"/>
  <c r="U37" i="1"/>
  <c r="V37" i="1"/>
  <c r="W37" i="1"/>
  <c r="X37" i="1"/>
  <c r="Y37" i="1"/>
  <c r="T35" i="1"/>
  <c r="U35" i="1"/>
  <c r="V35" i="1"/>
  <c r="W35" i="1"/>
  <c r="X35" i="1"/>
  <c r="Y35" i="1"/>
  <c r="AD35" i="1"/>
  <c r="AC35" i="1"/>
  <c r="AE4" i="1"/>
  <c r="AF4" i="1" s="1"/>
  <c r="AE5" i="1"/>
  <c r="AF5" i="1" s="1"/>
  <c r="AE6" i="1"/>
  <c r="AF6" i="1" s="1"/>
  <c r="AG6" i="1" s="1"/>
  <c r="AE7" i="1"/>
  <c r="AF7" i="1" s="1"/>
  <c r="AG7" i="1" s="1"/>
  <c r="AE8" i="1"/>
  <c r="AF8" i="1" s="1"/>
  <c r="AG8" i="1" s="1"/>
  <c r="AE9" i="1"/>
  <c r="AF9" i="1" s="1"/>
  <c r="AG9" i="1" s="1"/>
  <c r="AE10" i="1"/>
  <c r="AE11" i="1"/>
  <c r="AF11" i="1" s="1"/>
  <c r="AG11" i="1" s="1"/>
  <c r="AE12" i="1"/>
  <c r="AF12" i="1" s="1"/>
  <c r="AG12" i="1" s="1"/>
  <c r="AE13" i="1"/>
  <c r="AF13" i="1" s="1"/>
  <c r="AG13" i="1" s="1"/>
  <c r="AE14" i="1"/>
  <c r="AF14" i="1" s="1"/>
  <c r="AG14" i="1" s="1"/>
  <c r="AE15" i="1"/>
  <c r="AF15" i="1" s="1"/>
  <c r="AG15" i="1" s="1"/>
  <c r="AE16" i="1"/>
  <c r="AF16" i="1" s="1"/>
  <c r="AG16" i="1" s="1"/>
  <c r="AE17" i="1"/>
  <c r="AF17" i="1" s="1"/>
  <c r="AG17" i="1" s="1"/>
  <c r="AE18" i="1"/>
  <c r="AF18" i="1" s="1"/>
  <c r="AG18" i="1" s="1"/>
  <c r="AE19" i="1"/>
  <c r="AF19" i="1" s="1"/>
  <c r="AG19" i="1" s="1"/>
  <c r="AE20" i="1"/>
  <c r="AF20" i="1" s="1"/>
  <c r="AG20" i="1" s="1"/>
  <c r="AE21" i="1"/>
  <c r="AF21" i="1" s="1"/>
  <c r="AG21" i="1" s="1"/>
  <c r="AE22" i="1"/>
  <c r="AF22" i="1" s="1"/>
  <c r="AG22" i="1" s="1"/>
  <c r="AE23" i="1"/>
  <c r="AF23" i="1" s="1"/>
  <c r="AG23" i="1" s="1"/>
  <c r="AE24" i="1"/>
  <c r="AE25" i="1"/>
  <c r="AF25" i="1" s="1"/>
  <c r="AG25" i="1" s="1"/>
  <c r="AE26" i="1"/>
  <c r="AE27" i="1"/>
  <c r="AF27" i="1" s="1"/>
  <c r="AG27" i="1" s="1"/>
  <c r="AE28" i="1"/>
  <c r="AF28" i="1" s="1"/>
  <c r="AG28" i="1" s="1"/>
  <c r="AE29" i="1"/>
  <c r="AF29" i="1" s="1"/>
  <c r="AG29" i="1" s="1"/>
  <c r="AE30" i="1"/>
  <c r="AF30" i="1" s="1"/>
  <c r="AG30" i="1" s="1"/>
  <c r="AE31" i="1"/>
  <c r="AF31" i="1" s="1"/>
  <c r="AG31" i="1" s="1"/>
  <c r="AE32" i="1"/>
  <c r="AF32" i="1" s="1"/>
  <c r="AG32" i="1" s="1"/>
  <c r="AE33" i="1"/>
  <c r="AF33" i="1" s="1"/>
  <c r="AG33" i="1" s="1"/>
  <c r="AE34" i="1"/>
  <c r="AF34" i="1" s="1"/>
  <c r="AG34" i="1" s="1"/>
  <c r="AF10" i="1"/>
  <c r="AG10" i="1" s="1"/>
  <c r="AF24" i="1"/>
  <c r="AG24" i="1" s="1"/>
  <c r="AF26" i="1"/>
  <c r="AG26" i="1" s="1"/>
  <c r="AE3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E35" i="1" l="1"/>
  <c r="AF3" i="1"/>
  <c r="AF35" i="1" s="1"/>
  <c r="R35" i="1" l="1"/>
  <c r="R37" i="1" s="1"/>
  <c r="S35" i="1"/>
  <c r="S37" i="1" s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Q37" i="1"/>
  <c r="E14" i="2" s="1"/>
  <c r="Q35" i="1"/>
  <c r="D14" i="2" s="1"/>
  <c r="B15" i="2"/>
  <c r="B14" i="2"/>
  <c r="C15" i="2"/>
  <c r="C14" i="2"/>
  <c r="P37" i="1" l="1"/>
  <c r="E13" i="2" s="1"/>
  <c r="E15" i="2"/>
  <c r="BA4" i="1" l="1"/>
  <c r="BF22" i="1" s="1"/>
  <c r="C4" i="2"/>
  <c r="C5" i="2"/>
  <c r="C6" i="2"/>
  <c r="C7" i="2"/>
  <c r="C8" i="2"/>
  <c r="C9" i="2"/>
  <c r="C10" i="2"/>
  <c r="C11" i="2"/>
  <c r="C12" i="2"/>
  <c r="C13" i="2"/>
  <c r="C3" i="2"/>
  <c r="B13" i="2"/>
  <c r="B12" i="2"/>
  <c r="B11" i="2"/>
  <c r="B10" i="2"/>
  <c r="B9" i="2"/>
  <c r="B8" i="2"/>
  <c r="B7" i="2"/>
  <c r="B6" i="2"/>
  <c r="B5" i="2"/>
  <c r="B4" i="2"/>
  <c r="B3" i="2"/>
  <c r="Z3" i="1"/>
  <c r="G35" i="1"/>
  <c r="H35" i="1"/>
  <c r="I35" i="1"/>
  <c r="J35" i="1"/>
  <c r="K35" i="1"/>
  <c r="L35" i="1"/>
  <c r="M35" i="1"/>
  <c r="N35" i="1"/>
  <c r="O35" i="1"/>
  <c r="P35" i="1"/>
  <c r="D13" i="2" s="1"/>
  <c r="D15" i="2"/>
  <c r="F35" i="1"/>
  <c r="D3" i="2" l="1"/>
  <c r="F37" i="1"/>
  <c r="E3" i="2" s="1"/>
  <c r="D11" i="2"/>
  <c r="N37" i="1"/>
  <c r="E11" i="2" s="1"/>
  <c r="D9" i="2"/>
  <c r="L37" i="1"/>
  <c r="E9" i="2" s="1"/>
  <c r="D12" i="2"/>
  <c r="O37" i="1"/>
  <c r="E12" i="2" s="1"/>
  <c r="D10" i="2"/>
  <c r="M37" i="1"/>
  <c r="E10" i="2" s="1"/>
  <c r="D8" i="2"/>
  <c r="K37" i="1"/>
  <c r="E8" i="2" s="1"/>
  <c r="D7" i="2"/>
  <c r="J37" i="1"/>
  <c r="E7" i="2" s="1"/>
  <c r="D6" i="2"/>
  <c r="I37" i="1"/>
  <c r="E6" i="2" s="1"/>
  <c r="D5" i="2"/>
  <c r="H37" i="1"/>
  <c r="E5" i="2" s="1"/>
  <c r="D4" i="2"/>
  <c r="G37" i="1"/>
  <c r="E4" i="2" s="1"/>
  <c r="BE8" i="1"/>
  <c r="BF7" i="1" s="1"/>
  <c r="BE7" i="1"/>
  <c r="BE22" i="1"/>
  <c r="BF21" i="1" s="1"/>
  <c r="BE21" i="1"/>
  <c r="BF20" i="1" s="1"/>
  <c r="BE20" i="1"/>
  <c r="BF19" i="1" s="1"/>
  <c r="BE19" i="1"/>
  <c r="BF18" i="1" s="1"/>
  <c r="BE17" i="1"/>
  <c r="BF16" i="1" s="1"/>
  <c r="BE12" i="1"/>
  <c r="BF11" i="1" s="1"/>
  <c r="BE11" i="1"/>
  <c r="BF10" i="1" s="1"/>
  <c r="BE9" i="1"/>
  <c r="BF8" i="1" s="1"/>
  <c r="BE18" i="1"/>
  <c r="BF17" i="1" s="1"/>
  <c r="BE16" i="1"/>
  <c r="BF15" i="1" s="1"/>
  <c r="BE15" i="1"/>
  <c r="BF14" i="1" s="1"/>
  <c r="BE14" i="1"/>
  <c r="BE13" i="1"/>
  <c r="BF12" i="1" s="1"/>
  <c r="BE10" i="1"/>
  <c r="BF9" i="1" s="1"/>
  <c r="Z35" i="1"/>
  <c r="AB5" i="1" l="1"/>
  <c r="AB4" i="1"/>
  <c r="AB3" i="1"/>
  <c r="AG4" i="1"/>
  <c r="AG5" i="1"/>
  <c r="AG3" i="1"/>
  <c r="AA5" i="1"/>
  <c r="AA4" i="1"/>
  <c r="AA3" i="1"/>
  <c r="BF13" i="1"/>
  <c r="AG35" i="1"/>
  <c r="AY4" i="1" s="1"/>
  <c r="AB35" i="1"/>
  <c r="AO8" i="1" s="1"/>
  <c r="AI4" i="1" l="1"/>
  <c r="AJ4" i="1"/>
  <c r="AN4" i="1"/>
  <c r="AX4" i="1"/>
  <c r="AS4" i="1"/>
  <c r="AT4" i="1"/>
  <c r="AR4" i="1"/>
  <c r="AQ4" i="1"/>
  <c r="AW4" i="1"/>
  <c r="AP4" i="1"/>
  <c r="AL4" i="1"/>
  <c r="AO4" i="1"/>
  <c r="AM4" i="1"/>
  <c r="AK4" i="1"/>
  <c r="AU4" i="1"/>
  <c r="AV4" i="1"/>
  <c r="AN8" i="1"/>
  <c r="AM8" i="1"/>
  <c r="AL8" i="1"/>
  <c r="AK8" i="1"/>
  <c r="AJ8" i="1"/>
  <c r="AI8" i="1"/>
  <c r="AQ7" i="1"/>
  <c r="AQ8" i="1"/>
  <c r="AA35" i="1"/>
</calcChain>
</file>

<file path=xl/sharedStrings.xml><?xml version="1.0" encoding="utf-8"?>
<sst xmlns="http://schemas.openxmlformats.org/spreadsheetml/2006/main" count="134" uniqueCount="67">
  <si>
    <t>Nr</t>
  </si>
  <si>
    <t>Pos</t>
  </si>
  <si>
    <t>Nachname</t>
  </si>
  <si>
    <t>Vorname</t>
  </si>
  <si>
    <t>Note</t>
  </si>
  <si>
    <t>Note +/-</t>
  </si>
  <si>
    <t>Punkte</t>
  </si>
  <si>
    <t>Punktespiegel</t>
  </si>
  <si>
    <t>min %</t>
  </si>
  <si>
    <t>Von</t>
  </si>
  <si>
    <t>Bis</t>
  </si>
  <si>
    <t>Notenspiegel</t>
  </si>
  <si>
    <t>Ø</t>
  </si>
  <si>
    <t>5-</t>
  </si>
  <si>
    <t>5+</t>
  </si>
  <si>
    <t>4-</t>
  </si>
  <si>
    <t>4+</t>
  </si>
  <si>
    <t>3-</t>
  </si>
  <si>
    <t>3+</t>
  </si>
  <si>
    <t>2-</t>
  </si>
  <si>
    <t>2+</t>
  </si>
  <si>
    <t>1-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</si>
  <si>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</si>
  <si>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</si>
  <si>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</si>
  <si>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</si>
  <si>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</si>
  <si>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</si>
  <si>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</si>
  <si>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</si>
  <si>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</si>
  <si>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</si>
  <si>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</si>
  <si>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</si>
  <si>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Durchschnitt:</t>
  </si>
  <si>
    <t>Mögliche Punkte:</t>
  </si>
  <si>
    <t>Punkte insgesamt</t>
  </si>
  <si>
    <r>
      <t xml:space="preserve">Unterm Strich </t>
    </r>
    <r>
      <rPr>
        <sz val="11"/>
        <color theme="1"/>
        <rFont val="Calibri"/>
        <family val="2"/>
        <scheme val="minor"/>
      </rPr>
      <t>(0-4 Punkte)</t>
    </r>
  </si>
  <si>
    <t>Aufgabe</t>
  </si>
  <si>
    <t>Mögliche BE</t>
  </si>
  <si>
    <t>Klassendurchschnitt</t>
  </si>
  <si>
    <t>Dezimal</t>
  </si>
  <si>
    <t>1+</t>
  </si>
  <si>
    <t>Erreichte Punkte [%]:</t>
  </si>
  <si>
    <t>13</t>
  </si>
  <si>
    <t>Prozent</t>
  </si>
  <si>
    <t>∑</t>
  </si>
  <si>
    <t>Wörter</t>
  </si>
  <si>
    <t>Fehler</t>
  </si>
  <si>
    <t>Abzug</t>
  </si>
  <si>
    <t>%</t>
  </si>
  <si>
    <t>14</t>
  </si>
  <si>
    <t>15</t>
  </si>
  <si>
    <t>16</t>
  </si>
  <si>
    <t>17</t>
  </si>
  <si>
    <t>18</t>
  </si>
  <si>
    <t>19</t>
  </si>
  <si>
    <t>20</t>
  </si>
  <si>
    <t>Datum</t>
  </si>
  <si>
    <t>Version</t>
  </si>
  <si>
    <t>Änderungen</t>
  </si>
  <si>
    <t>v1.1</t>
  </si>
  <si>
    <t>v1.2</t>
  </si>
  <si>
    <t>v1.0</t>
  </si>
  <si>
    <t>Initial Release</t>
  </si>
  <si>
    <t>Fehlerindex wurde hinzugefügt
Kleinere Updates und Fehlerbehebungen</t>
  </si>
  <si>
    <t>Anzahl der Aufgaben wurden wurde auf 20 erhöht
Aufgaben 11-20 wurden gruppiert
Fehlerindex wurde gruppiert
kleinere updates und Fehlerbehebungen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</si>
</sst>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\ 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000000"/>
      <name val="Arial Narrow"/>
      <family val="2"/>
    </font>
    <font>
      <sz val="8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0C0C0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1">
    <xf numFmtId="0" fontId="0" fillId="0" borderId="0" xfId="0"/>
    <xf numFmtId="0" fontId="3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4" borderId="7" xfId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0" fillId="5" borderId="8" xfId="0" applyFill="1" applyBorder="1" applyAlignment="1">
      <alignment horizontal="right" vertical="center" indent="2"/>
    </xf>
    <xf numFmtId="0" fontId="0" fillId="5" borderId="9" xfId="0" applyFill="1" applyBorder="1" applyAlignment="1">
      <alignment horizontal="right" vertical="center" indent="2"/>
    </xf>
    <xf numFmtId="0" fontId="0" fillId="5" borderId="7" xfId="0" applyFill="1" applyBorder="1" applyAlignment="1">
      <alignment horizontal="right" vertical="center" indent="2"/>
    </xf>
    <xf numFmtId="0" fontId="0" fillId="5" borderId="10" xfId="0" applyFill="1" applyBorder="1" applyAlignment="1">
      <alignment horizontal="right" vertical="center" indent="2"/>
    </xf>
    <xf numFmtId="0" fontId="0" fillId="5" borderId="2" xfId="0" applyFill="1" applyBorder="1" applyAlignment="1">
      <alignment horizontal="right" vertical="center" indent="2"/>
    </xf>
    <xf numFmtId="0" fontId="2" fillId="4" borderId="7" xfId="0" applyFont="1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4" fillId="2" borderId="2" xfId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 indent="2"/>
    </xf>
    <xf numFmtId="164" fontId="0" fillId="2" borderId="8" xfId="0" applyNumberFormat="1" applyFill="1" applyBorder="1" applyAlignment="1">
      <alignment horizontal="right" vertical="center" indent="2"/>
    </xf>
    <xf numFmtId="0" fontId="0" fillId="2" borderId="8" xfId="0" applyFill="1" applyBorder="1" applyAlignment="1">
      <alignment horizontal="right" vertical="center" indent="2"/>
    </xf>
    <xf numFmtId="0" fontId="0" fillId="2" borderId="9" xfId="0" applyFill="1" applyBorder="1" applyAlignment="1">
      <alignment horizontal="left" vertical="center" indent="2"/>
    </xf>
    <xf numFmtId="164" fontId="0" fillId="2" borderId="9" xfId="0" applyNumberFormat="1" applyFill="1" applyBorder="1" applyAlignment="1">
      <alignment horizontal="right" vertical="center" indent="2"/>
    </xf>
    <xf numFmtId="0" fontId="0" fillId="2" borderId="9" xfId="0" applyFill="1" applyBorder="1" applyAlignment="1">
      <alignment horizontal="right" vertical="center" indent="2"/>
    </xf>
    <xf numFmtId="0" fontId="0" fillId="2" borderId="7" xfId="0" applyFill="1" applyBorder="1" applyAlignment="1">
      <alignment horizontal="left" vertical="center" indent="2"/>
    </xf>
    <xf numFmtId="164" fontId="0" fillId="2" borderId="7" xfId="0" applyNumberFormat="1" applyFill="1" applyBorder="1" applyAlignment="1">
      <alignment horizontal="right" vertical="center" indent="2"/>
    </xf>
    <xf numFmtId="0" fontId="0" fillId="2" borderId="7" xfId="0" applyFill="1" applyBorder="1" applyAlignment="1">
      <alignment horizontal="right" vertical="center" indent="2"/>
    </xf>
    <xf numFmtId="0" fontId="0" fillId="2" borderId="10" xfId="0" applyFill="1" applyBorder="1" applyAlignment="1">
      <alignment horizontal="left" vertical="center" indent="2"/>
    </xf>
    <xf numFmtId="164" fontId="0" fillId="2" borderId="10" xfId="0" applyNumberFormat="1" applyFill="1" applyBorder="1" applyAlignment="1">
      <alignment horizontal="right" vertical="center" indent="2"/>
    </xf>
    <xf numFmtId="0" fontId="0" fillId="2" borderId="10" xfId="0" applyFill="1" applyBorder="1" applyAlignment="1">
      <alignment horizontal="right" vertical="center" indent="2"/>
    </xf>
    <xf numFmtId="0" fontId="0" fillId="2" borderId="2" xfId="0" applyFill="1" applyBorder="1" applyAlignment="1">
      <alignment horizontal="left" vertical="center" indent="2"/>
    </xf>
    <xf numFmtId="164" fontId="0" fillId="2" borderId="2" xfId="0" applyNumberFormat="1" applyFill="1" applyBorder="1" applyAlignment="1">
      <alignment horizontal="right" vertical="center" indent="2"/>
    </xf>
    <xf numFmtId="0" fontId="0" fillId="2" borderId="2" xfId="0" applyFill="1" applyBorder="1" applyAlignment="1">
      <alignment horizontal="right" vertical="center" indent="2"/>
    </xf>
    <xf numFmtId="0" fontId="0" fillId="2" borderId="2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  <xf numFmtId="0" fontId="1" fillId="6" borderId="15" xfId="0" applyFont="1" applyFill="1" applyBorder="1" applyAlignment="1">
      <alignment horizontal="right" indent="1"/>
    </xf>
    <xf numFmtId="0" fontId="1" fillId="6" borderId="7" xfId="0" applyFont="1" applyFill="1" applyBorder="1" applyAlignment="1">
      <alignment horizontal="right" indent="1"/>
    </xf>
    <xf numFmtId="0" fontId="1" fillId="6" borderId="7" xfId="0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left" vertical="center"/>
    </xf>
    <xf numFmtId="49" fontId="2" fillId="6" borderId="3" xfId="0" applyNumberFormat="1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7" fillId="2" borderId="7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right" vertical="center" indent="1"/>
    </xf>
    <xf numFmtId="0" fontId="0" fillId="4" borderId="4" xfId="0" applyFill="1" applyBorder="1" applyAlignment="1">
      <alignment horizontal="right" vertical="center" indent="1"/>
    </xf>
    <xf numFmtId="0" fontId="0" fillId="4" borderId="14" xfId="0" applyFill="1" applyBorder="1" applyAlignment="1">
      <alignment horizontal="right" vertical="center" indent="1"/>
    </xf>
    <xf numFmtId="0" fontId="0" fillId="4" borderId="13" xfId="0" applyFill="1" applyBorder="1" applyAlignment="1">
      <alignment horizontal="right" vertical="center" indent="1"/>
    </xf>
    <xf numFmtId="164" fontId="0" fillId="4" borderId="15" xfId="0" applyNumberFormat="1" applyFill="1" applyBorder="1" applyAlignment="1">
      <alignment horizontal="right" indent="1"/>
    </xf>
    <xf numFmtId="0" fontId="1" fillId="2" borderId="7" xfId="0" applyFont="1" applyFill="1" applyBorder="1" applyAlignment="1">
      <alignment horizontal="right" indent="1"/>
    </xf>
    <xf numFmtId="0" fontId="0" fillId="4" borderId="12" xfId="0" applyFill="1" applyBorder="1" applyAlignment="1">
      <alignment horizontal="right" vertical="center" indent="1"/>
    </xf>
    <xf numFmtId="164" fontId="0" fillId="4" borderId="7" xfId="0" applyNumberFormat="1" applyFill="1" applyBorder="1" applyAlignment="1">
      <alignment horizontal="right" vertical="center" indent="1"/>
    </xf>
    <xf numFmtId="164" fontId="0" fillId="4" borderId="10" xfId="0" applyNumberFormat="1" applyFill="1" applyBorder="1" applyAlignment="1">
      <alignment horizontal="right" vertical="center" indent="2"/>
    </xf>
    <xf numFmtId="164" fontId="0" fillId="4" borderId="18" xfId="0" applyNumberFormat="1" applyFill="1" applyBorder="1" applyAlignment="1">
      <alignment horizontal="right" vertical="center" indent="2"/>
    </xf>
    <xf numFmtId="164" fontId="0" fillId="4" borderId="8" xfId="0" applyNumberFormat="1" applyFill="1" applyBorder="1" applyAlignment="1">
      <alignment horizontal="right" vertical="center" indent="2"/>
    </xf>
    <xf numFmtId="164" fontId="0" fillId="4" borderId="7" xfId="0" applyNumberFormat="1" applyFill="1" applyBorder="1" applyAlignment="1">
      <alignment horizontal="right" vertical="center" indent="2"/>
    </xf>
    <xf numFmtId="164" fontId="1" fillId="4" borderId="17" xfId="0" applyNumberFormat="1" applyFont="1" applyFill="1" applyBorder="1" applyAlignment="1">
      <alignment horizontal="right" indent="1"/>
    </xf>
    <xf numFmtId="164" fontId="1" fillId="4" borderId="15" xfId="0" applyNumberFormat="1" applyFont="1" applyFill="1" applyBorder="1" applyAlignment="1">
      <alignment horizontal="right" indent="1"/>
    </xf>
    <xf numFmtId="1" fontId="1" fillId="4" borderId="15" xfId="0" applyNumberFormat="1" applyFont="1" applyFill="1" applyBorder="1" applyAlignment="1">
      <alignment horizontal="right" indent="1"/>
    </xf>
    <xf numFmtId="0" fontId="1" fillId="4" borderId="15" xfId="0" applyFont="1" applyFill="1" applyBorder="1" applyAlignment="1">
      <alignment horizontal="right" vertical="center" indent="1"/>
    </xf>
    <xf numFmtId="9" fontId="0" fillId="4" borderId="7" xfId="0" applyNumberFormat="1" applyFill="1" applyBorder="1"/>
    <xf numFmtId="164" fontId="0" fillId="4" borderId="15" xfId="0" applyNumberFormat="1" applyFill="1" applyBorder="1" applyAlignment="1">
      <alignment horizontal="center"/>
    </xf>
    <xf numFmtId="0" fontId="8" fillId="6" borderId="2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right" indent="1"/>
    </xf>
    <xf numFmtId="0" fontId="0" fillId="0" borderId="12" xfId="0" applyBorder="1" applyAlignment="1">
      <alignment horizontal="right" vertical="center" indent="1"/>
    </xf>
    <xf numFmtId="0" fontId="0" fillId="0" borderId="7" xfId="0" applyBorder="1" applyAlignment="1">
      <alignment horizontal="right" vertical="center" indent="1"/>
    </xf>
    <xf numFmtId="164" fontId="0" fillId="0" borderId="7" xfId="0" applyNumberFormat="1" applyBorder="1" applyAlignment="1">
      <alignment horizontal="right" vertical="center" indent="1"/>
    </xf>
    <xf numFmtId="0" fontId="0" fillId="0" borderId="21" xfId="0" applyBorder="1" applyAlignment="1">
      <alignment horizontal="right" vertical="center" indent="1"/>
    </xf>
    <xf numFmtId="0" fontId="0" fillId="0" borderId="14" xfId="0" applyBorder="1" applyAlignment="1">
      <alignment horizontal="right" vertical="center" indent="1"/>
    </xf>
    <xf numFmtId="164" fontId="1" fillId="4" borderId="16" xfId="0" applyNumberFormat="1" applyFont="1" applyFill="1" applyBorder="1" applyAlignment="1">
      <alignment horizontal="right" indent="1"/>
    </xf>
    <xf numFmtId="0" fontId="1" fillId="2" borderId="4" xfId="0" applyFont="1" applyFill="1" applyBorder="1" applyAlignment="1">
      <alignment horizontal="right" indent="1"/>
    </xf>
    <xf numFmtId="0" fontId="8" fillId="6" borderId="3" xfId="0" applyFont="1" applyFill="1" applyBorder="1" applyAlignment="1">
      <alignment horizontal="center" vertical="center"/>
    </xf>
    <xf numFmtId="1" fontId="1" fillId="4" borderId="22" xfId="0" applyNumberFormat="1" applyFont="1" applyFill="1" applyBorder="1" applyAlignment="1">
      <alignment horizontal="right" inden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0" fontId="0" fillId="4" borderId="7" xfId="0" applyNumberFormat="1" applyFill="1" applyBorder="1" applyAlignment="1">
      <alignment horizontal="center"/>
    </xf>
    <xf numFmtId="0" fontId="2" fillId="7" borderId="4" xfId="0" applyFont="1" applyFill="1" applyBorder="1" applyAlignment="1">
      <alignment horizontal="left" vertical="center" indent="1"/>
    </xf>
    <xf numFmtId="0" fontId="2" fillId="7" borderId="5" xfId="0" applyFont="1" applyFill="1" applyBorder="1" applyAlignment="1">
      <alignment horizontal="left" vertical="center" indent="1"/>
    </xf>
    <xf numFmtId="0" fontId="2" fillId="7" borderId="6" xfId="0" applyFont="1" applyFill="1" applyBorder="1" applyAlignment="1">
      <alignment horizontal="left" vertical="center" indent="1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right" vertical="center" indent="1"/>
    </xf>
    <xf numFmtId="0" fontId="0" fillId="5" borderId="14" xfId="0" applyFill="1" applyBorder="1" applyAlignment="1">
      <alignment horizontal="right" vertical="center" indent="1"/>
    </xf>
  </cellXfs>
  <cellStyles count="2">
    <cellStyle name="Standard" xfId="0" builtinId="0"/>
    <cellStyle name="TableStyleLight1" xfId="1" xr:uid="{461516CA-CB7B-4452-B1E3-1BCD15B95049}"/>
  </cellStyles>
  <dxfs count="102"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6D6D"/>
        </patternFill>
      </fill>
    </dxf>
    <dxf>
      <fill>
        <patternFill>
          <bgColor rgb="FFFF6D6D"/>
        </patternFill>
      </fill>
    </dxf>
    <dxf>
      <fill>
        <patternFill>
          <bgColor rgb="FF63BE7B"/>
        </patternFill>
      </fill>
    </dxf>
    <dxf>
      <fill>
        <patternFill>
          <bgColor rgb="FFFFEB84"/>
        </patternFill>
      </fill>
    </dxf>
    <dxf>
      <fill>
        <patternFill>
          <bgColor rgb="FFF8696B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 patternType="solid">
          <bgColor theme="0" tint="-4.9989318521683403E-2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 val="0"/>
        <i val="0"/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6D6D"/>
        </patternFill>
      </fill>
    </dxf>
    <dxf>
      <fill>
        <patternFill>
          <bgColor rgb="FFFF6D6D"/>
        </patternFill>
      </fill>
    </dxf>
    <dxf>
      <fill>
        <patternFill>
          <bgColor rgb="FF63BE7B"/>
        </patternFill>
      </fill>
    </dxf>
    <dxf>
      <fill>
        <patternFill>
          <bgColor rgb="FFFFEB84"/>
        </patternFill>
      </fill>
    </dxf>
    <dxf>
      <fill>
        <patternFill>
          <bgColor rgb="FFF8696B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 patternType="solid">
          <bgColor theme="0" tint="-4.9989318521683403E-2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 val="0"/>
        <i val="0"/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dd/mm/yyyy"/>
      <alignment horizontal="center" vertical="top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5" formatCode="0\ 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5F9FD"/>
        </patternFill>
      </fill>
    </dxf>
    <dxf>
      <fill>
        <patternFill>
          <bgColor rgb="FFE1EDF8"/>
        </patternFill>
      </fill>
    </dxf>
    <dxf>
      <fill>
        <patternFill>
          <bgColor rgb="FF9BC2E6"/>
        </patternFill>
      </fill>
    </dxf>
    <dxf>
      <font>
        <b/>
        <i val="0"/>
      </font>
      <fill>
        <patternFill>
          <bgColor rgb="FF9BC2E6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Blau" pivot="0" count="5" xr9:uid="{B391A455-2280-4199-ACC4-D9AC4928AD0E}">
      <tableStyleElement type="wholeTable" dxfId="101"/>
      <tableStyleElement type="headerRow" dxfId="100"/>
      <tableStyleElement type="totalRow" dxfId="99"/>
      <tableStyleElement type="firstRowStripe" dxfId="98"/>
      <tableStyleElement type="secondRowStripe" dxfId="97"/>
    </tableStyle>
    <tableStyle name="Tabellenformat 1" pivot="0" count="0" xr9:uid="{DC2784C3-1D80-4ABF-8D8F-8D674D7F1CE2}"/>
  </tableStyles>
  <colors>
    <mruColors>
      <color rgb="FFF8696B"/>
      <color rgb="FFFFEB84"/>
      <color rgb="FF63BE7B"/>
      <color rgb="FFFF6D6D"/>
      <color rgb="FFFF9999"/>
      <color rgb="FFE37373"/>
      <color rgb="FFDC5050"/>
      <color rgb="FFFF6565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u="sng"/>
              <a:t>Notenverteilung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Anzahl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Bewertungsbogen!$AI$8:$AN$8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5-4894-A7B5-6DD451AF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21343"/>
        <c:axId val="328800847"/>
      </c:barChart>
      <c:catAx>
        <c:axId val="51721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800847"/>
        <c:crosses val="autoZero"/>
        <c:auto val="1"/>
        <c:lblAlgn val="ctr"/>
        <c:lblOffset val="100"/>
        <c:noMultiLvlLbl val="0"/>
      </c:catAx>
      <c:valAx>
        <c:axId val="3288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2134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u="sng"/>
              <a:t>Punkteverteilung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Bewertungsbogen!$AI$3:$AX$3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Bewertungsbogen!$AI$4:$AX$4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1-4DDD-93C3-B64103FE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799071"/>
        <c:axId val="688798239"/>
      </c:barChart>
      <c:catAx>
        <c:axId val="68879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798239"/>
        <c:crosses val="autoZero"/>
        <c:auto val="1"/>
        <c:lblAlgn val="ctr"/>
        <c:lblOffset val="100"/>
        <c:noMultiLvlLbl val="0"/>
      </c:catAx>
      <c:valAx>
        <c:axId val="6887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7990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creativecommons.org/licenses/by-sa/4.0/deed.de" TargetMode="External"/><Relationship Id="rId1" Type="http://schemas.openxmlformats.org/officeDocument/2006/relationships/hyperlink" Target="mailto:info@margomius.com?subject=Leichtathletik%20Punkte-Rechn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2722</xdr:colOff>
      <xdr:row>23</xdr:row>
      <xdr:rowOff>5444</xdr:rowOff>
    </xdr:from>
    <xdr:to>
      <xdr:col>51</xdr:col>
      <xdr:colOff>5443</xdr:colOff>
      <xdr:row>35</xdr:row>
      <xdr:rowOff>5444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876F4D-8899-4ED1-9482-EF8C6BB00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9</xdr:row>
      <xdr:rowOff>27215</xdr:rowOff>
    </xdr:from>
    <xdr:to>
      <xdr:col>51</xdr:col>
      <xdr:colOff>0</xdr:colOff>
      <xdr:row>22</xdr:row>
      <xdr:rowOff>10887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7A6B0724-14B5-4C84-AB58-9792CDB385C1}"/>
            </a:ext>
          </a:extLst>
        </xdr:cNvPr>
        <xdr:cNvSpPr txBox="1"/>
      </xdr:nvSpPr>
      <xdr:spPr>
        <a:xfrm>
          <a:off x="13503729" y="1736272"/>
          <a:ext cx="3608614" cy="246017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 b="1"/>
            <a:t>Anleitung:</a:t>
          </a:r>
          <a:br>
            <a:rPr lang="de-DE" sz="1400" b="1"/>
          </a:br>
          <a:r>
            <a:rPr lang="de-DE" sz="1200" b="0">
              <a:solidFill>
                <a:sysClr val="windowText" lastClr="000000"/>
              </a:solidFill>
            </a:rPr>
            <a:t>Gelbe Zellen können</a:t>
          </a:r>
          <a:r>
            <a:rPr lang="de-DE" sz="1200" b="0" baseline="0">
              <a:solidFill>
                <a:sysClr val="windowText" lastClr="000000"/>
              </a:solidFill>
            </a:rPr>
            <a:t> ausgefüllt/verändert werden!</a:t>
          </a:r>
        </a:p>
        <a:p>
          <a:r>
            <a:rPr lang="de-DE" sz="1200" b="0" baseline="0">
              <a:solidFill>
                <a:sysClr val="windowText" lastClr="000000"/>
              </a:solidFill>
            </a:rPr>
            <a:t>Grüne Zellen werden automatisch berechnet!</a:t>
          </a:r>
          <a:endParaRPr lang="de-DE" sz="1200" b="0">
            <a:solidFill>
              <a:sysClr val="windowText" lastClr="000000"/>
            </a:solidFill>
          </a:endParaRPr>
        </a:p>
        <a:p>
          <a:br>
            <a:rPr lang="de-DE" sz="1200" b="1"/>
          </a:br>
          <a:r>
            <a:rPr lang="de-DE" sz="1200" b="1"/>
            <a:t>1.</a:t>
          </a:r>
          <a:r>
            <a:rPr lang="de-DE" sz="1200" b="1" baseline="0"/>
            <a:t> </a:t>
          </a:r>
          <a:r>
            <a:rPr lang="de-DE" sz="1200" b="0" baseline="0"/>
            <a:t>Klassenliste in Spalte C und D kopieren (nur Text)</a:t>
          </a:r>
          <a:br>
            <a:rPr lang="de-DE" sz="1200" b="0" baseline="0"/>
          </a:br>
          <a:r>
            <a:rPr lang="de-DE" sz="1200" b="1" baseline="0"/>
            <a:t>2. </a:t>
          </a:r>
          <a:r>
            <a:rPr lang="de-DE" sz="1200" b="0" baseline="0"/>
            <a:t>Punkte der Aufgaben eintragen (Zeile 35)</a:t>
          </a:r>
          <a:br>
            <a:rPr lang="de-DE" sz="1200" b="0" baseline="0"/>
          </a:br>
          <a:r>
            <a:rPr lang="de-DE" sz="1200" b="1" baseline="0"/>
            <a:t>3. </a:t>
          </a:r>
          <a:r>
            <a:rPr lang="de-DE" sz="1200" b="0" baseline="0"/>
            <a:t>Für jede Person die erreichten Punkte eintragen</a:t>
          </a:r>
          <a:br>
            <a:rPr lang="de-DE" sz="1200" b="0" baseline="0"/>
          </a:br>
          <a:r>
            <a:rPr lang="de-DE" sz="1200" b="1" baseline="0"/>
            <a:t>5. </a:t>
          </a:r>
          <a:r>
            <a:rPr lang="de-DE" sz="1200" b="0" baseline="0"/>
            <a:t>Mehr Aufgaben (11-20) über das [+] einblenden</a:t>
          </a:r>
        </a:p>
        <a:p>
          <a:r>
            <a:rPr lang="de-DE" sz="1200" b="1" baseline="0"/>
            <a:t>4. </a:t>
          </a:r>
          <a:r>
            <a:rPr lang="de-DE" sz="1200" b="0" baseline="0"/>
            <a:t>Falls Aufgabe für Aufgabe korrigiert wird, können die Schüler:innen in Spalte B durchnummeriert und neu sortiert werden.</a:t>
          </a:r>
        </a:p>
        <a:p>
          <a:r>
            <a:rPr lang="de-DE" sz="1200" b="1" baseline="0"/>
            <a:t>5. </a:t>
          </a:r>
          <a:r>
            <a:rPr lang="de-DE" sz="1200" b="0" baseline="0"/>
            <a:t>Fehlerindex (GOS) über das Plus [+] oben einblenden</a:t>
          </a:r>
          <a:endParaRPr lang="de-DE" sz="1200" b="0"/>
        </a:p>
      </xdr:txBody>
    </xdr:sp>
    <xdr:clientData/>
  </xdr:twoCellAnchor>
  <xdr:twoCellAnchor>
    <xdr:from>
      <xdr:col>52</xdr:col>
      <xdr:colOff>13606</xdr:colOff>
      <xdr:row>23</xdr:row>
      <xdr:rowOff>13607</xdr:rowOff>
    </xdr:from>
    <xdr:to>
      <xdr:col>58</xdr:col>
      <xdr:colOff>10885</xdr:colOff>
      <xdr:row>35</xdr:row>
      <xdr:rowOff>10886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ED3C5BF-58C4-4D22-8B49-4DCFFC038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0</xdr:row>
      <xdr:rowOff>201385</xdr:rowOff>
    </xdr:from>
    <xdr:to>
      <xdr:col>4</xdr:col>
      <xdr:colOff>0</xdr:colOff>
      <xdr:row>0</xdr:row>
      <xdr:rowOff>1311728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932F7DDD-49D3-4280-A360-F8EE0020D0D3}"/>
            </a:ext>
          </a:extLst>
        </xdr:cNvPr>
        <xdr:cNvSpPr txBox="1"/>
      </xdr:nvSpPr>
      <xdr:spPr>
        <a:xfrm>
          <a:off x="560615" y="201385"/>
          <a:ext cx="11571514" cy="11103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aseline="0"/>
            <a:t>Dieser Excel-Rechner wurde von </a:t>
          </a:r>
          <a:r>
            <a:rPr lang="de-DE" sz="1200" b="1" baseline="0"/>
            <a:t>Marius Gomes </a:t>
          </a:r>
          <a:r>
            <a:rPr lang="de-DE" sz="1200" baseline="0"/>
            <a:t>erstellt.</a:t>
          </a:r>
          <a:br>
            <a:rPr lang="de-DE" sz="1200" baseline="0"/>
          </a:br>
          <a:br>
            <a:rPr lang="de-DE" sz="1200" baseline="0"/>
          </a:br>
          <a:r>
            <a:rPr lang="de-DE" sz="1200" baseline="0"/>
            <a:t>Fragen, Anregungen und Fehlermeldungen bitte an:</a:t>
          </a:r>
        </a:p>
        <a:p>
          <a:br>
            <a:rPr lang="de-DE" sz="1200" b="1" baseline="0"/>
          </a:br>
          <a:r>
            <a:rPr lang="de-DE" sz="1200" b="0" baseline="0"/>
            <a:t>Lizenzierung:</a:t>
          </a:r>
        </a:p>
      </xdr:txBody>
    </xdr:sp>
    <xdr:clientData/>
  </xdr:twoCellAnchor>
  <xdr:twoCellAnchor>
    <xdr:from>
      <xdr:col>3</xdr:col>
      <xdr:colOff>1752601</xdr:colOff>
      <xdr:row>0</xdr:row>
      <xdr:rowOff>566057</xdr:rowOff>
    </xdr:from>
    <xdr:to>
      <xdr:col>3</xdr:col>
      <xdr:colOff>3624943</xdr:colOff>
      <xdr:row>0</xdr:row>
      <xdr:rowOff>859972</xdr:rowOff>
    </xdr:to>
    <xdr:sp macro="" textlink="">
      <xdr:nvSpPr>
        <xdr:cNvPr id="3" name="Textfeld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7E7BB-6937-457E-BF93-4FCF02BCB272}"/>
            </a:ext>
          </a:extLst>
        </xdr:cNvPr>
        <xdr:cNvSpPr txBox="1"/>
      </xdr:nvSpPr>
      <xdr:spPr>
        <a:xfrm>
          <a:off x="3864430" y="566057"/>
          <a:ext cx="1872342" cy="293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e-DE" sz="1200" u="sng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info@margomius.com</a:t>
          </a:r>
          <a:endParaRPr lang="de-DE" sz="1200" u="sng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27214</xdr:colOff>
      <xdr:row>0</xdr:row>
      <xdr:rowOff>947057</xdr:rowOff>
    </xdr:from>
    <xdr:to>
      <xdr:col>3</xdr:col>
      <xdr:colOff>321127</xdr:colOff>
      <xdr:row>0</xdr:row>
      <xdr:rowOff>1240972</xdr:rowOff>
    </xdr:to>
    <xdr:sp macro="" textlink="">
      <xdr:nvSpPr>
        <xdr:cNvPr id="4" name="Textfeld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6A2344-4934-40C2-BE13-934E152CC111}"/>
            </a:ext>
          </a:extLst>
        </xdr:cNvPr>
        <xdr:cNvSpPr txBox="1"/>
      </xdr:nvSpPr>
      <xdr:spPr>
        <a:xfrm>
          <a:off x="1355271" y="947057"/>
          <a:ext cx="1077685" cy="293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 u="sng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CC 4.0 BY-SA</a:t>
          </a:r>
          <a:endParaRPr lang="de-DE" sz="1100" u="sng">
            <a:solidFill>
              <a:srgbClr val="0070C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0BB89-051C-4B8F-BEE0-A631F75F15C5}" name="Tabelle1" displayName="Tabelle1" ref="B2:AG34" totalsRowShown="0" headerRowDxfId="96" headerRowBorderDxfId="95" tableBorderDxfId="94">
  <autoFilter ref="B2:AG34" xr:uid="{391C16AA-6584-4889-9A2E-C8F354D7CBB9}"/>
  <sortState xmlns:xlrd2="http://schemas.microsoft.com/office/spreadsheetml/2017/richdata2" ref="B3:AG34">
    <sortCondition ref="B2:B34"/>
  </sortState>
  <tableColumns count="32">
    <tableColumn id="1" xr3:uid="{5BD14F8D-97C5-4CC7-B715-63E05F56E77F}" name="Nr" dataDxfId="93"/>
    <tableColumn id="2" xr3:uid="{9C5B411D-D0D3-4E75-9CFD-31FBB76FA265}" name="Pos" dataDxfId="92"/>
    <tableColumn id="13" xr3:uid="{BBACF6F3-D9C3-4D38-98DC-92FB9E64214C}" name="Nachname" dataDxfId="91"/>
    <tableColumn id="3" xr3:uid="{7EC27307-A4C4-4481-A806-CA4B40E6CFD1}" name="Vorname" dataDxfId="59"/>
    <tableColumn id="4" xr3:uid="{B854003D-4E59-4857-A628-6EAE45A0E4DB}" name="1" dataDxfId="58"/>
    <tableColumn id="5" xr3:uid="{6BD3A389-F486-4E7E-8442-A33E7C6769E0}" name="2" dataDxfId="57"/>
    <tableColumn id="6" xr3:uid="{7B4E14D1-40D8-4ACD-BBCC-CA0BF208BDCC}" name="3" dataDxfId="56"/>
    <tableColumn id="7" xr3:uid="{56803361-AE46-440D-A2B1-13F7F80199F3}" name="4" dataDxfId="55"/>
    <tableColumn id="8" xr3:uid="{9932885B-8E4F-459A-83DA-27BAC2DF6293}" name="5" dataDxfId="54"/>
    <tableColumn id="9" xr3:uid="{99AD88F3-CD55-4733-B17C-34F5E7834CA2}" name="6" dataDxfId="53"/>
    <tableColumn id="20" xr3:uid="{F5AB53B4-0569-494E-8311-371302783B19}" name="7" dataDxfId="52"/>
    <tableColumn id="19" xr3:uid="{D0745C69-E157-479F-84FB-BF00A7F37E97}" name="8" dataDxfId="51"/>
    <tableColumn id="18" xr3:uid="{029C508A-A21E-4FA3-B7AC-85D554B20CEF}" name="9" dataDxfId="50"/>
    <tableColumn id="17" xr3:uid="{5B0167B2-489E-4648-A1F0-CA0E03BDA237}" name="10" dataDxfId="48"/>
    <tableColumn id="10" xr3:uid="{12059AB8-66BE-4D88-A930-F4ADC2B71A38}" name="11" dataDxfId="49"/>
    <tableColumn id="21" xr3:uid="{3748A28D-4D4C-4B37-9B16-7EC02411C248}" name="12" dataDxfId="90"/>
    <tableColumn id="27" xr3:uid="{86D7989E-3CE7-444E-8270-0D4F2FFE6A7A}" name="13" dataDxfId="89"/>
    <tableColumn id="26" xr3:uid="{A4C44071-5F7B-426E-A484-EC8ECDD9E63D}" name="14" dataDxfId="88"/>
    <tableColumn id="36" xr3:uid="{839DA296-992E-4853-A2AE-2414BB8FD0A1}" name="15" dataDxfId="87"/>
    <tableColumn id="35" xr3:uid="{CB5CEB47-85D8-4E70-B918-F8FFDDB59707}" name="16" dataDxfId="86"/>
    <tableColumn id="34" xr3:uid="{B7962DA2-1E47-4F29-A206-D7A61085F6BB}" name="17" dataDxfId="85"/>
    <tableColumn id="33" xr3:uid="{13A39DE9-026D-4858-8D15-845931D4EE22}" name="18" dataDxfId="84"/>
    <tableColumn id="32" xr3:uid="{FB880900-9E47-41EF-A2EA-4CA94A3CE30A}" name="19" dataDxfId="83"/>
    <tableColumn id="11" xr3:uid="{0DF33919-72E7-4F99-B71F-30E9BA2FE909}" name="20" dataDxfId="82"/>
    <tableColumn id="14" xr3:uid="{59DABF90-D8C7-46B0-AF8E-F7B8DD1B2721}" name="∑" dataDxfId="81">
      <calculatedColumnFormula>IF(COUNT(Tabelle1[[#This Row],[1]:[20]])&lt;&gt;0,SUM(F3:Y3),"")</calculatedColumnFormula>
    </tableColumn>
    <tableColumn id="12" xr3:uid="{45B77B6F-4339-4F5C-8DD5-D6B92ADB0BBE}" name="Note" dataDxfId="80">
      <calculatedColumnFormula>IF(COUNT(Tabelle1[[#This Row],[1]:[20]])&lt;&gt;0,LOOKUP($Z3,BE$7:BE$22,BB$7:BB$22),"")</calculatedColumnFormula>
    </tableColumn>
    <tableColumn id="15" xr3:uid="{1725BBA7-F128-4E6E-AA17-BB5369E16D72}" name="Note +/-" dataDxfId="79">
      <calculatedColumnFormula>IF(COUNT(Tabelle1[[#This Row],[1]:[20]])&lt;&gt;0,LOOKUP($Z3,BE$7:BE$22,BA$7:BA$22),"")</calculatedColumnFormula>
    </tableColumn>
    <tableColumn id="31" xr3:uid="{7E8068B3-4555-4C8E-8031-FAA1FE0033D3}" name="Wörter" dataDxfId="78"/>
    <tableColumn id="30" xr3:uid="{8330FAFE-1131-41A7-8FEF-DA96283FBA60}" name="Fehler" dataDxfId="77"/>
    <tableColumn id="29" xr3:uid="{AC68284A-8BCD-4753-A7CE-75A29B0C8790}" name="%" dataDxfId="76">
      <calculatedColumnFormula>IF(OR(ISBLANK(Tabelle1[[#This Row],[Wörter]]),ISBLANK(Tabelle1[[#This Row],[Fehler]])),"",IFERROR(Tabelle1[[#This Row],[Fehler]]*100/Tabelle1[[#This Row],[Wörter]],0))</calculatedColumnFormula>
    </tableColumn>
    <tableColumn id="28" xr3:uid="{8BE35C00-47B1-4D6E-B87A-230CF78F09FD}" name="Abzug" dataDxfId="75">
      <calculatedColumnFormula>IF(Tabelle1[[#This Row],[%]]="","",IF(Tabelle1[[#This Row],[%]]&lt;3,0,IF(Tabelle1[[#This Row],[%]]&gt;=6,2,1)))</calculatedColumnFormula>
    </tableColumn>
    <tableColumn id="16" xr3:uid="{126383B9-C638-4C2D-A6CD-DEABFCC8D20B}" name="Punkte" dataDxfId="74">
      <calculatedColumnFormula>IF(Tabelle1[[#This Row],[Abzug]]="",IF(COUNT(Tabelle1[[#This Row],[1]:[20]])&lt;&gt;0,LOOKUP(Z3,BE$7:BE$22,BC$7:BC$22),""),IF(COUNT(Tabelle1[[#This Row],[1]:[20]])&lt;&gt;0,LOOKUP(Z3,BE$7:BE$22,BC$7:BC$22)-Tabelle1[[#This Row],[Abzug]],""))</calculatedColumnFormula>
    </tableColumn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8A28EA-6F6C-47CB-B13B-FBAFBF8111E2}" name="Tabelle2" displayName="Tabelle2" ref="B2:E15" totalsRowShown="0" headerRowDxfId="73" dataDxfId="71" headerRowBorderDxfId="72" tableBorderDxfId="70" totalsRowBorderDxfId="69">
  <autoFilter ref="B2:E15" xr:uid="{678A28EA-6F6C-47CB-B13B-FBAFBF8111E2}"/>
  <tableColumns count="4">
    <tableColumn id="1" xr3:uid="{E9E7FC4F-DBCB-4A32-B058-E8C05EEBEE4D}" name="Aufgabe" dataDxfId="68"/>
    <tableColumn id="2" xr3:uid="{D79FBEA7-E598-422C-B91F-66F0F4F8089B}" name="Mögliche BE" dataDxfId="67"/>
    <tableColumn id="3" xr3:uid="{2ECE270A-9A0F-49F5-AF70-6E8D35A3E5B0}" name="Klassendurchschnitt" dataDxfId="66"/>
    <tableColumn id="4" xr3:uid="{21328923-7C2D-4964-9C6A-6FF1766A4ABE}" name="Prozent" dataDxfId="6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126011-6C1F-47BC-9EA6-C8CF2C96C885}" name="Tabelle14" displayName="Tabelle14" ref="B2:D5" totalsRowShown="0" headerRowDxfId="64" dataDxfId="63">
  <autoFilter ref="B2:D5" xr:uid="{76126011-6C1F-47BC-9EA6-C8CF2C96C885}"/>
  <sortState xmlns:xlrd2="http://schemas.microsoft.com/office/spreadsheetml/2017/richdata2" ref="B3:D5">
    <sortCondition descending="1" ref="B2:B5"/>
  </sortState>
  <tableColumns count="3">
    <tableColumn id="1" xr3:uid="{FE34D12C-64AB-42B6-9A5D-4C34922B332A}" name="Datum" dataDxfId="62"/>
    <tableColumn id="2" xr3:uid="{B3AEE717-7C8E-4215-B498-2DCA44E0D16A}" name="Version" dataDxfId="61"/>
    <tableColumn id="3" xr3:uid="{93B90D3D-3787-4125-AFE2-C60ED9ED2C7C}" name="Änderungen" dataDxfId="60"/>
  </tableColumns>
  <tableStyleInfo name="Blau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CCE1-277D-457D-8A84-8F9005178AAA}">
  <sheetPr codeName="Tabelle1">
    <tabColor theme="9" tint="0.59999389629810485"/>
  </sheetPr>
  <dimension ref="B1:BF37"/>
  <sheetViews>
    <sheetView showGridLines="0" tabSelected="1" zoomScaleNormal="100" workbookViewId="0">
      <selection activeCell="D3" sqref="D3"/>
    </sheetView>
  </sheetViews>
  <sheetFormatPr baseColWidth="10" defaultColWidth="8.69140625" defaultRowHeight="14.6" outlineLevelCol="1" x14ac:dyDescent="0.4"/>
  <cols>
    <col min="1" max="1" width="2.69140625" customWidth="1"/>
    <col min="2" max="3" width="4.69140625" customWidth="1"/>
    <col min="4" max="4" width="15.3046875" customWidth="1"/>
    <col min="5" max="5" width="21.69140625" customWidth="1"/>
    <col min="6" max="15" width="6.69140625" customWidth="1"/>
    <col min="16" max="25" width="6.69140625" hidden="1" customWidth="1" outlineLevel="1"/>
    <col min="26" max="26" width="7.07421875" customWidth="1" collapsed="1"/>
    <col min="27" max="27" width="6.07421875" customWidth="1"/>
    <col min="28" max="28" width="7.921875" customWidth="1"/>
    <col min="29" max="29" width="7.921875" hidden="1" customWidth="1" outlineLevel="1"/>
    <col min="30" max="30" width="7.15234375" hidden="1" customWidth="1" outlineLevel="1"/>
    <col min="31" max="31" width="6.61328125" hidden="1" customWidth="1" outlineLevel="1"/>
    <col min="32" max="32" width="7.921875" hidden="1" customWidth="1" outlineLevel="1"/>
    <col min="33" max="33" width="7.61328125" customWidth="1" collapsed="1"/>
    <col min="34" max="34" width="4.69140625" customWidth="1"/>
    <col min="35" max="51" width="3" customWidth="1"/>
    <col min="52" max="52" width="2.69140625" customWidth="1"/>
    <col min="53" max="58" width="8.69140625" customWidth="1"/>
  </cols>
  <sheetData>
    <row r="1" spans="2:58" ht="15" customHeight="1" x14ac:dyDescent="0.4"/>
    <row r="2" spans="2:58" s="1" customFormat="1" ht="15" customHeight="1" x14ac:dyDescent="0.5">
      <c r="B2" s="37" t="s">
        <v>0</v>
      </c>
      <c r="C2" s="38" t="s">
        <v>1</v>
      </c>
      <c r="D2" s="39" t="s">
        <v>2</v>
      </c>
      <c r="E2" s="39" t="s">
        <v>3</v>
      </c>
      <c r="F2" s="43" t="s">
        <v>22</v>
      </c>
      <c r="G2" s="43" t="s">
        <v>23</v>
      </c>
      <c r="H2" s="43" t="s">
        <v>24</v>
      </c>
      <c r="I2" s="43" t="s">
        <v>25</v>
      </c>
      <c r="J2" s="43" t="s">
        <v>26</v>
      </c>
      <c r="K2" s="43" t="s">
        <v>27</v>
      </c>
      <c r="L2" s="43" t="s">
        <v>28</v>
      </c>
      <c r="M2" s="43" t="s">
        <v>29</v>
      </c>
      <c r="N2" s="43" t="s">
        <v>30</v>
      </c>
      <c r="O2" s="43" t="s">
        <v>31</v>
      </c>
      <c r="P2" s="43" t="s">
        <v>32</v>
      </c>
      <c r="Q2" s="44" t="s">
        <v>33</v>
      </c>
      <c r="R2" s="44" t="s">
        <v>44</v>
      </c>
      <c r="S2" s="44" t="s">
        <v>51</v>
      </c>
      <c r="T2" s="44" t="s">
        <v>52</v>
      </c>
      <c r="U2" s="44" t="s">
        <v>53</v>
      </c>
      <c r="V2" s="44" t="s">
        <v>54</v>
      </c>
      <c r="W2" s="44" t="s">
        <v>55</v>
      </c>
      <c r="X2" s="44" t="s">
        <v>56</v>
      </c>
      <c r="Y2" s="44" t="s">
        <v>57</v>
      </c>
      <c r="Z2" s="71" t="s">
        <v>46</v>
      </c>
      <c r="AA2" s="69" t="s">
        <v>4</v>
      </c>
      <c r="AB2" s="69" t="s">
        <v>5</v>
      </c>
      <c r="AC2" s="70" t="s">
        <v>47</v>
      </c>
      <c r="AD2" s="70" t="s">
        <v>48</v>
      </c>
      <c r="AE2" s="80" t="s">
        <v>50</v>
      </c>
      <c r="AF2" s="70" t="s">
        <v>49</v>
      </c>
      <c r="AG2" s="70" t="s">
        <v>6</v>
      </c>
      <c r="AI2" s="104" t="s">
        <v>7</v>
      </c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6"/>
      <c r="AY2" s="46"/>
    </row>
    <row r="3" spans="2:58" ht="15" customHeight="1" x14ac:dyDescent="0.4">
      <c r="B3" s="2">
        <v>1</v>
      </c>
      <c r="C3" s="36"/>
      <c r="D3" s="3" t="s">
        <v>2</v>
      </c>
      <c r="E3" s="10" t="s">
        <v>3</v>
      </c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51"/>
      <c r="Q3" s="52"/>
      <c r="R3" s="52"/>
      <c r="S3" s="52"/>
      <c r="T3" s="52"/>
      <c r="U3" s="52"/>
      <c r="V3" s="52"/>
      <c r="W3" s="52"/>
      <c r="X3" s="52"/>
      <c r="Y3" s="52"/>
      <c r="Z3" s="57" t="str">
        <f>IF(COUNT(Tabelle1[[#This Row],[1]:[20]])&lt;&gt;0,SUM(F3:Y3),"")</f>
        <v/>
      </c>
      <c r="AA3" s="58" t="str">
        <f>IF(COUNT(Tabelle1[[#This Row],[1]:[20]])&lt;&gt;0,LOOKUP($Z3,BE$7:BE$22,BB$7:BB$22),"")</f>
        <v/>
      </c>
      <c r="AB3" s="51" t="str">
        <f>IF(COUNT(Tabelle1[[#This Row],[1]:[20]])&lt;&gt;0,LOOKUP($Z3,BE$7:BE$22,BA$7:BA$22),"")</f>
        <v/>
      </c>
      <c r="AC3" s="73"/>
      <c r="AD3" s="74"/>
      <c r="AE3" s="75" t="str">
        <f>IF(OR(ISBLANK(Tabelle1[[#This Row],[Wörter]]),ISBLANK(Tabelle1[[#This Row],[Fehler]])),"",IFERROR(Tabelle1[[#This Row],[Fehler]]*100/Tabelle1[[#This Row],[Wörter]],0))</f>
        <v/>
      </c>
      <c r="AF3" s="76" t="str">
        <f>IF(Tabelle1[[#This Row],[%]]="","",IF(Tabelle1[[#This Row],[%]]&lt;3,0,IF(Tabelle1[[#This Row],[%]]&gt;=6,2,1)))</f>
        <v/>
      </c>
      <c r="AG3" s="52" t="str">
        <f>IF(Tabelle1[[#This Row],[Abzug]]="",IF(COUNT(Tabelle1[[#This Row],[1]:[20]])&lt;&gt;0,LOOKUP(Z3,BE$7:BE$22,BC$7:BC$22),""),IF(COUNT(Tabelle1[[#This Row],[1]:[20]])&lt;&gt;0,LOOKUP(Z3,BE$7:BE$22,BC$7:BC$22)-Tabelle1[[#This Row],[Abzug]],""))</f>
        <v/>
      </c>
      <c r="AI3" s="19">
        <v>0</v>
      </c>
      <c r="AJ3" s="19">
        <v>1</v>
      </c>
      <c r="AK3" s="19">
        <v>2</v>
      </c>
      <c r="AL3" s="19">
        <v>3</v>
      </c>
      <c r="AM3" s="19">
        <v>4</v>
      </c>
      <c r="AN3" s="19">
        <v>5</v>
      </c>
      <c r="AO3" s="19">
        <v>6</v>
      </c>
      <c r="AP3" s="19">
        <v>7</v>
      </c>
      <c r="AQ3" s="19">
        <v>8</v>
      </c>
      <c r="AR3" s="19">
        <v>9</v>
      </c>
      <c r="AS3" s="19">
        <v>10</v>
      </c>
      <c r="AT3" s="19">
        <v>11</v>
      </c>
      <c r="AU3" s="19">
        <v>12</v>
      </c>
      <c r="AV3" s="19">
        <v>13</v>
      </c>
      <c r="AW3" s="19">
        <v>14</v>
      </c>
      <c r="AX3" s="19">
        <v>15</v>
      </c>
      <c r="AY3" s="47" t="s">
        <v>12</v>
      </c>
      <c r="BE3" s="45"/>
      <c r="BF3" s="4"/>
    </row>
    <row r="4" spans="2:58" ht="15" customHeight="1" x14ac:dyDescent="0.4">
      <c r="B4" s="5">
        <v>2</v>
      </c>
      <c r="C4" s="36"/>
      <c r="D4" s="3" t="s">
        <v>2</v>
      </c>
      <c r="E4" s="10" t="s">
        <v>3</v>
      </c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51"/>
      <c r="Q4" s="52"/>
      <c r="R4" s="52"/>
      <c r="S4" s="52"/>
      <c r="T4" s="52"/>
      <c r="U4" s="52"/>
      <c r="V4" s="52"/>
      <c r="W4" s="52"/>
      <c r="X4" s="52"/>
      <c r="Y4" s="52"/>
      <c r="Z4" s="57" t="str">
        <f>IF(COUNT(Tabelle1[[#This Row],[1]:[20]])&lt;&gt;0,SUM(F4:Y4),"")</f>
        <v/>
      </c>
      <c r="AA4" s="58" t="str">
        <f>IF(COUNT(Tabelle1[[#This Row],[1]:[20]])&lt;&gt;0,LOOKUP($Z4,BE$7:BE$22,BB$7:BB$22),"")</f>
        <v/>
      </c>
      <c r="AB4" s="51" t="str">
        <f>IF(COUNT(Tabelle1[[#This Row],[1]:[20]])&lt;&gt;0,LOOKUP($Z4,BE$7:BE$22,BA$7:BA$22),"")</f>
        <v/>
      </c>
      <c r="AC4" s="73"/>
      <c r="AD4" s="74"/>
      <c r="AE4" s="75" t="str">
        <f>IF(OR(ISBLANK(Tabelle1[[#This Row],[Wörter]]),ISBLANK(Tabelle1[[#This Row],[Fehler]])),"",IFERROR(Tabelle1[[#This Row],[Fehler]]*100/Tabelle1[[#This Row],[Wörter]],0))</f>
        <v/>
      </c>
      <c r="AF4" s="76" t="str">
        <f>IF(Tabelle1[[#This Row],[%]]="","",IF(Tabelle1[[#This Row],[%]]&lt;3,0,IF(Tabelle1[[#This Row],[%]]&gt;=6,2,1)))</f>
        <v/>
      </c>
      <c r="AG4" s="52" t="str">
        <f>IF(Tabelle1[[#This Row],[Abzug]]="",IF(COUNT(Tabelle1[[#This Row],[1]:[20]])&lt;&gt;0,LOOKUP(Z4,BE$7:BE$22,BC$7:BC$22),""),IF(COUNT(Tabelle1[[#This Row],[1]:[20]])&lt;&gt;0,LOOKUP(Z4,BE$7:BE$22,BC$7:BC$22)-Tabelle1[[#This Row],[Abzug]],""))</f>
        <v/>
      </c>
      <c r="AI4" s="8" t="str">
        <f t="shared" ref="AI4:AX4" si="0">IF(COUNTIFS($AG3:$AG34,AI3)=0,"",COUNTIFS($AG3:$AG34,AI3))</f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48" t="str">
        <f>AG35</f>
        <v/>
      </c>
      <c r="BA4" s="16">
        <f>SUM(F36:Y36)</f>
        <v>0</v>
      </c>
      <c r="BB4" s="98" t="s">
        <v>36</v>
      </c>
      <c r="BC4" s="99"/>
      <c r="BD4" s="100"/>
      <c r="BE4" s="6"/>
      <c r="BF4" s="6"/>
    </row>
    <row r="5" spans="2:58" ht="15" customHeight="1" x14ac:dyDescent="0.4">
      <c r="B5" s="5">
        <v>3</v>
      </c>
      <c r="C5" s="36"/>
      <c r="D5" s="3" t="s">
        <v>2</v>
      </c>
      <c r="E5" s="10" t="s">
        <v>3</v>
      </c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51"/>
      <c r="Q5" s="52"/>
      <c r="R5" s="52"/>
      <c r="S5" s="52"/>
      <c r="T5" s="52"/>
      <c r="U5" s="52"/>
      <c r="V5" s="52"/>
      <c r="W5" s="52"/>
      <c r="X5" s="52"/>
      <c r="Y5" s="52"/>
      <c r="Z5" s="57" t="str">
        <f>IF(COUNT(Tabelle1[[#This Row],[1]:[20]])&lt;&gt;0,SUM(F5:Y5),"")</f>
        <v/>
      </c>
      <c r="AA5" s="58" t="str">
        <f>IF(COUNT(Tabelle1[[#This Row],[1]:[20]])&lt;&gt;0,LOOKUP($Z5,BE$7:BE$22,BB$7:BB$22),"")</f>
        <v/>
      </c>
      <c r="AB5" s="51" t="str">
        <f>IF(COUNT(Tabelle1[[#This Row],[1]:[20]])&lt;&gt;0,LOOKUP($Z5,BE$7:BE$22,BA$7:BA$22),"")</f>
        <v/>
      </c>
      <c r="AC5" s="73"/>
      <c r="AD5" s="74"/>
      <c r="AE5" s="75" t="str">
        <f>IF(OR(ISBLANK(Tabelle1[[#This Row],[Wörter]]),ISBLANK(Tabelle1[[#This Row],[Fehler]])),"",IFERROR(Tabelle1[[#This Row],[Fehler]]*100/Tabelle1[[#This Row],[Wörter]],0))</f>
        <v/>
      </c>
      <c r="AF5" s="76" t="str">
        <f>IF(Tabelle1[[#This Row],[%]]="","",IF(Tabelle1[[#This Row],[%]]&lt;3,0,IF(Tabelle1[[#This Row],[%]]&gt;=6,2,1)))</f>
        <v/>
      </c>
      <c r="AG5" s="52" t="str">
        <f>IF(Tabelle1[[#This Row],[Abzug]]="",IF(COUNT(Tabelle1[[#This Row],[1]:[20]])&lt;&gt;0,LOOKUP(Z5,BE$7:BE$22,BC$7:BC$22),""),IF(COUNT(Tabelle1[[#This Row],[1]:[20]])&lt;&gt;0,LOOKUP(Z5,BE$7:BE$22,BC$7:BC$22)-Tabelle1[[#This Row],[Abzug]],""))</f>
        <v/>
      </c>
      <c r="BA5" s="6"/>
      <c r="BC5" s="6"/>
      <c r="BD5" s="6"/>
      <c r="BE5" s="6"/>
      <c r="BF5" s="6"/>
    </row>
    <row r="6" spans="2:58" ht="15" customHeight="1" x14ac:dyDescent="0.4">
      <c r="B6" s="5">
        <v>4</v>
      </c>
      <c r="C6" s="36"/>
      <c r="D6" s="3" t="s">
        <v>2</v>
      </c>
      <c r="E6" s="10" t="s">
        <v>3</v>
      </c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51"/>
      <c r="Q6" s="52"/>
      <c r="R6" s="52"/>
      <c r="S6" s="52"/>
      <c r="T6" s="52"/>
      <c r="U6" s="52"/>
      <c r="V6" s="52"/>
      <c r="W6" s="52"/>
      <c r="X6" s="52"/>
      <c r="Y6" s="52"/>
      <c r="Z6" s="57" t="str">
        <f>IF(COUNT(Tabelle1[[#This Row],[1]:[20]])&lt;&gt;0,SUM(F6:Y6),"")</f>
        <v/>
      </c>
      <c r="AA6" s="58" t="str">
        <f>IF(COUNT(Tabelle1[[#This Row],[1]:[20]])&lt;&gt;0,LOOKUP($Z6,BE$7:BE$22,BB$7:BB$22),"")</f>
        <v/>
      </c>
      <c r="AB6" s="51" t="str">
        <f>IF(COUNT(Tabelle1[[#This Row],[1]:[20]])&lt;&gt;0,LOOKUP($Z6,BE$7:BE$22,BA$7:BA$22),"")</f>
        <v/>
      </c>
      <c r="AC6" s="73"/>
      <c r="AD6" s="74"/>
      <c r="AE6" s="75" t="str">
        <f>IF(OR(ISBLANK(Tabelle1[[#This Row],[Wörter]]),ISBLANK(Tabelle1[[#This Row],[Fehler]])),"",IFERROR(Tabelle1[[#This Row],[Fehler]]*100/Tabelle1[[#This Row],[Wörter]],0))</f>
        <v/>
      </c>
      <c r="AF6" s="76" t="str">
        <f>IF(Tabelle1[[#This Row],[%]]="","",IF(Tabelle1[[#This Row],[%]]&lt;3,0,IF(Tabelle1[[#This Row],[%]]&gt;=6,2,1)))</f>
        <v/>
      </c>
      <c r="AG6" s="52" t="str">
        <f>IF(Tabelle1[[#This Row],[Abzug]]="",IF(COUNT(Tabelle1[[#This Row],[1]:[20]])&lt;&gt;0,LOOKUP(Z6,BE$7:BE$22,BC$7:BC$22),""),IF(COUNT(Tabelle1[[#This Row],[1]:[20]])&lt;&gt;0,LOOKUP(Z6,BE$7:BE$22,BC$7:BC$22)-Tabelle1[[#This Row],[Abzug]],""))</f>
        <v/>
      </c>
      <c r="AI6" s="101" t="s">
        <v>11</v>
      </c>
      <c r="AJ6" s="102"/>
      <c r="AK6" s="102"/>
      <c r="AL6" s="102"/>
      <c r="AM6" s="102"/>
      <c r="AN6" s="103"/>
      <c r="AQ6" s="107" t="s">
        <v>37</v>
      </c>
      <c r="AR6" s="107"/>
      <c r="AS6" s="107"/>
      <c r="AT6" s="107"/>
      <c r="AU6" s="107"/>
      <c r="AV6" s="107"/>
      <c r="AW6" s="107"/>
      <c r="AX6" s="107"/>
      <c r="AY6" s="107"/>
      <c r="BA6" s="42" t="s">
        <v>4</v>
      </c>
      <c r="BB6" s="42" t="s">
        <v>41</v>
      </c>
      <c r="BC6" s="42" t="s">
        <v>6</v>
      </c>
      <c r="BD6" s="42" t="s">
        <v>8</v>
      </c>
      <c r="BE6" s="42" t="s">
        <v>9</v>
      </c>
      <c r="BF6" s="42" t="s">
        <v>10</v>
      </c>
    </row>
    <row r="7" spans="2:58" ht="15" customHeight="1" thickBot="1" x14ac:dyDescent="0.45">
      <c r="B7" s="5">
        <v>5</v>
      </c>
      <c r="C7" s="36"/>
      <c r="D7" s="3" t="s">
        <v>2</v>
      </c>
      <c r="E7" s="10" t="s">
        <v>3</v>
      </c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51"/>
      <c r="Q7" s="52"/>
      <c r="R7" s="52"/>
      <c r="S7" s="52"/>
      <c r="T7" s="52"/>
      <c r="U7" s="52"/>
      <c r="V7" s="52"/>
      <c r="W7" s="52"/>
      <c r="X7" s="52"/>
      <c r="Y7" s="52"/>
      <c r="Z7" s="57" t="str">
        <f>IF(COUNT(Tabelle1[[#This Row],[1]:[20]])&lt;&gt;0,SUM(F7:Y7),"")</f>
        <v/>
      </c>
      <c r="AA7" s="58" t="str">
        <f>IF(COUNT(Tabelle1[[#This Row],[1]:[20]])&lt;&gt;0,LOOKUP($Z7,BE$7:BE$22,BB$7:BB$22),"")</f>
        <v/>
      </c>
      <c r="AB7" s="51" t="str">
        <f>IF(COUNT(Tabelle1[[#This Row],[1]:[20]])&lt;&gt;0,LOOKUP($Z7,BE$7:BE$22,BA$7:BA$22),"")</f>
        <v/>
      </c>
      <c r="AC7" s="73"/>
      <c r="AD7" s="74"/>
      <c r="AE7" s="75" t="str">
        <f>IF(OR(ISBLANK(Tabelle1[[#This Row],[Wörter]]),ISBLANK(Tabelle1[[#This Row],[Fehler]])),"",IFERROR(Tabelle1[[#This Row],[Fehler]]*100/Tabelle1[[#This Row],[Wörter]],0))</f>
        <v/>
      </c>
      <c r="AF7" s="76" t="str">
        <f>IF(Tabelle1[[#This Row],[%]]="","",IF(Tabelle1[[#This Row],[%]]&lt;3,0,IF(Tabelle1[[#This Row],[%]]&gt;=6,2,1)))</f>
        <v/>
      </c>
      <c r="AG7" s="52" t="str">
        <f>IF(Tabelle1[[#This Row],[Abzug]]="",IF(COUNT(Tabelle1[[#This Row],[1]:[20]])&lt;&gt;0,LOOKUP(Z7,BE$7:BE$22,BC$7:BC$22),""),IF(COUNT(Tabelle1[[#This Row],[1]:[20]])&lt;&gt;0,LOOKUP(Z7,BE$7:BE$22,BC$7:BC$22)-Tabelle1[[#This Row],[Abzug]],""))</f>
        <v/>
      </c>
      <c r="AI7" s="20">
        <v>1</v>
      </c>
      <c r="AJ7" s="20">
        <v>2</v>
      </c>
      <c r="AK7" s="20">
        <v>3</v>
      </c>
      <c r="AL7" s="20">
        <v>4</v>
      </c>
      <c r="AM7" s="20">
        <v>5</v>
      </c>
      <c r="AN7" s="20">
        <v>6</v>
      </c>
      <c r="AO7" s="49" t="s">
        <v>12</v>
      </c>
      <c r="AQ7" s="108" t="str">
        <f>COUNTIFS($AG3:$AG34,0)+COUNTIFS($AG3:$AG34,1)+COUNTIFS($AG3:$AG34,2)+COUNTIFS($AG3:$AG34,3)+COUNTIFS($AG3:$AG34,4)&amp;" von "&amp;COUNT(AG3:AG34)&amp;" SuS"</f>
        <v>0 von 0 SuS</v>
      </c>
      <c r="AR7" s="108"/>
      <c r="AS7" s="108"/>
      <c r="AT7" s="108"/>
      <c r="AU7" s="108"/>
      <c r="AV7" s="108"/>
      <c r="AW7" s="108"/>
      <c r="AX7" s="108"/>
      <c r="AY7" s="108"/>
      <c r="BA7" s="21">
        <v>6</v>
      </c>
      <c r="BB7" s="22">
        <v>5.666666666666667</v>
      </c>
      <c r="BC7" s="23">
        <v>0</v>
      </c>
      <c r="BD7" s="14">
        <v>0</v>
      </c>
      <c r="BE7" s="59">
        <f t="shared" ref="BE7:BE22" si="1">$BA$4*BD7/100</f>
        <v>0</v>
      </c>
      <c r="BF7" s="59">
        <f>BE8</f>
        <v>0</v>
      </c>
    </row>
    <row r="8" spans="2:58" ht="15" customHeight="1" thickTop="1" x14ac:dyDescent="0.4">
      <c r="B8" s="5">
        <v>6</v>
      </c>
      <c r="C8" s="36"/>
      <c r="D8" s="3" t="s">
        <v>2</v>
      </c>
      <c r="E8" s="10" t="s">
        <v>3</v>
      </c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51"/>
      <c r="Q8" s="52"/>
      <c r="R8" s="52"/>
      <c r="S8" s="52"/>
      <c r="T8" s="52"/>
      <c r="U8" s="52"/>
      <c r="V8" s="52"/>
      <c r="W8" s="52"/>
      <c r="X8" s="52"/>
      <c r="Y8" s="52"/>
      <c r="Z8" s="57" t="str">
        <f>IF(COUNT(Tabelle1[[#This Row],[1]:[20]])&lt;&gt;0,SUM(F8:Y8),"")</f>
        <v/>
      </c>
      <c r="AA8" s="58" t="str">
        <f>IF(COUNT(Tabelle1[[#This Row],[1]:[20]])&lt;&gt;0,LOOKUP($Z8,BE$7:BE$22,BB$7:BB$22),"")</f>
        <v/>
      </c>
      <c r="AB8" s="51" t="str">
        <f>IF(COUNT(Tabelle1[[#This Row],[1]:[20]])&lt;&gt;0,LOOKUP($Z8,BE$7:BE$22,BA$7:BA$22),"")</f>
        <v/>
      </c>
      <c r="AC8" s="73"/>
      <c r="AD8" s="74"/>
      <c r="AE8" s="75" t="str">
        <f>IF(OR(ISBLANK(Tabelle1[[#This Row],[Wörter]]),ISBLANK(Tabelle1[[#This Row],[Fehler]])),"",IFERROR(Tabelle1[[#This Row],[Fehler]]*100/Tabelle1[[#This Row],[Wörter]],0))</f>
        <v/>
      </c>
      <c r="AF8" s="76" t="str">
        <f>IF(Tabelle1[[#This Row],[%]]="","",IF(Tabelle1[[#This Row],[%]]&lt;3,0,IF(Tabelle1[[#This Row],[%]]&gt;=6,2,1)))</f>
        <v/>
      </c>
      <c r="AG8" s="52" t="str">
        <f>IF(Tabelle1[[#This Row],[Abzug]]="",IF(COUNT(Tabelle1[[#This Row],[1]:[20]])&lt;&gt;0,LOOKUP(Z8,BE$7:BE$22,BC$7:BC$22),""),IF(COUNT(Tabelle1[[#This Row],[1]:[20]])&lt;&gt;0,LOOKUP(Z8,BE$7:BE$22,BC$7:BC$22)-Tabelle1[[#This Row],[Abzug]],""))</f>
        <v/>
      </c>
      <c r="AH8" s="7"/>
      <c r="AI8" s="9" t="str">
        <f>IF(SUM(COUNTIFS(Tabelle1[Note +/-],BA20),COUNTIFS(Tabelle1[Note +/-],BA21),COUNTIFS(Tabelle1[Note +/-],BA22))=0,"",SUM(COUNTIFS(Tabelle1[Note +/-],BA20),COUNTIFS(Tabelle1[Note +/-],BA21),COUNTIFS(Tabelle1[Note +/-],BA22)))</f>
        <v/>
      </c>
      <c r="AJ8" s="9" t="str">
        <f>IF(SUM(COUNTIFS(Tabelle1[Note +/-],BA19),COUNTIFS(Tabelle1[Note +/-],BA17),COUNTIFS(Tabelle1[Note +/-],BA18))=0,"",SUM(COUNTIFS(Tabelle1[Note +/-],BA19),COUNTIFS(Tabelle1[Note +/-],BA17),COUNTIFS(Tabelle1[Note +/-],BA18)))</f>
        <v/>
      </c>
      <c r="AK8" s="9" t="str">
        <f>IF(SUM(COUNTIFS(Tabelle1[Note +/-],BA16),COUNTIFS(Tabelle1[Note +/-],BA14),COUNTIFS(Tabelle1[Note +/-],BA15))=0,"",SUM(COUNTIFS(Tabelle1[Note +/-],BA16),COUNTIFS(Tabelle1[Note +/-],BA14),COUNTIFS(Tabelle1[Note +/-],BA15)))</f>
        <v/>
      </c>
      <c r="AL8" s="9" t="str">
        <f>IF(SUM(COUNTIFS(Tabelle1[Note +/-],BA13),COUNTIFS(Tabelle1[Note +/-],BA11),COUNTIFS(Tabelle1[Note +/-],BA12))=0,"",SUM(COUNTIFS(Tabelle1[Note +/-],BA13),COUNTIFS(Tabelle1[Note +/-],BA11),COUNTIFS(Tabelle1[Note +/-],BA12)))</f>
        <v/>
      </c>
      <c r="AM8" s="9" t="str">
        <f>IF(SUM(COUNTIFS(Tabelle1[Note +/-],BA10),COUNTIFS(Tabelle1[Note +/-],BA8),COUNTIFS(Tabelle1[Note +/-],BA9))=0,"",SUM(COUNTIFS(Tabelle1[Note +/-],BA10),COUNTIFS(Tabelle1[Note +/-],BA8),COUNTIFS(Tabelle1[Note +/-],BA9)))</f>
        <v/>
      </c>
      <c r="AN8" s="9" t="str">
        <f>IF(COUNTIFS(Tabelle1[Note +/-],BA7)=0,"",COUNTIFS(Tabelle1[Note +/-],BA7))</f>
        <v/>
      </c>
      <c r="AO8" s="50" t="str">
        <f>AB35</f>
        <v/>
      </c>
      <c r="AQ8" s="97">
        <f>IF(COUNT(Tabelle1[Punkte])&lt;&gt;0,(COUNTIFS($AG3:$AG34,0)+COUNTIFS($AG3:$AG34,1)+COUNTIFS($AG3:$AG34,2)+COUNTIFS($AG3:$AG34,3)+COUNTIFS($AG3:$AG34,4))/COUNT(AG3:AG34),0)</f>
        <v>0</v>
      </c>
      <c r="AR8" s="97"/>
      <c r="AS8" s="97"/>
      <c r="AT8" s="97"/>
      <c r="AU8" s="97"/>
      <c r="AV8" s="97"/>
      <c r="AW8" s="97"/>
      <c r="AX8" s="97"/>
      <c r="AY8" s="97"/>
      <c r="BA8" s="24" t="s">
        <v>13</v>
      </c>
      <c r="BB8" s="25">
        <v>5.333333333333333</v>
      </c>
      <c r="BC8" s="26">
        <v>1</v>
      </c>
      <c r="BD8" s="15">
        <v>20</v>
      </c>
      <c r="BE8" s="60">
        <f t="shared" si="1"/>
        <v>0</v>
      </c>
      <c r="BF8" s="60">
        <f t="shared" ref="BF8:BF21" si="2">BE9</f>
        <v>0</v>
      </c>
    </row>
    <row r="9" spans="2:58" ht="15" customHeight="1" x14ac:dyDescent="0.4">
      <c r="B9" s="5">
        <v>7</v>
      </c>
      <c r="C9" s="36"/>
      <c r="D9" s="3" t="s">
        <v>2</v>
      </c>
      <c r="E9" s="10" t="s">
        <v>3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51"/>
      <c r="Q9" s="52"/>
      <c r="R9" s="52"/>
      <c r="S9" s="52"/>
      <c r="T9" s="52"/>
      <c r="U9" s="52"/>
      <c r="V9" s="52"/>
      <c r="W9" s="52"/>
      <c r="X9" s="52"/>
      <c r="Y9" s="52"/>
      <c r="Z9" s="57" t="str">
        <f>IF(COUNT(Tabelle1[[#This Row],[1]:[20]])&lt;&gt;0,SUM(F9:Y9),"")</f>
        <v/>
      </c>
      <c r="AA9" s="58" t="str">
        <f>IF(COUNT(Tabelle1[[#This Row],[1]:[20]])&lt;&gt;0,LOOKUP($Z9,BE$7:BE$22,BB$7:BB$22),"")</f>
        <v/>
      </c>
      <c r="AB9" s="51" t="str">
        <f>IF(COUNT(Tabelle1[[#This Row],[1]:[20]])&lt;&gt;0,LOOKUP($Z9,BE$7:BE$22,BA$7:BA$22),"")</f>
        <v/>
      </c>
      <c r="AC9" s="73"/>
      <c r="AD9" s="74"/>
      <c r="AE9" s="75" t="str">
        <f>IF(OR(ISBLANK(Tabelle1[[#This Row],[Wörter]]),ISBLANK(Tabelle1[[#This Row],[Fehler]])),"",IFERROR(Tabelle1[[#This Row],[Fehler]]*100/Tabelle1[[#This Row],[Wörter]],0))</f>
        <v/>
      </c>
      <c r="AF9" s="76" t="str">
        <f>IF(Tabelle1[[#This Row],[%]]="","",IF(Tabelle1[[#This Row],[%]]&lt;3,0,IF(Tabelle1[[#This Row],[%]]&gt;=6,2,1)))</f>
        <v/>
      </c>
      <c r="AG9" s="52" t="str">
        <f>IF(Tabelle1[[#This Row],[Abzug]]="",IF(COUNT(Tabelle1[[#This Row],[1]:[20]])&lt;&gt;0,LOOKUP(Z9,BE$7:BE$22,BC$7:BC$22),""),IF(COUNT(Tabelle1[[#This Row],[1]:[20]])&lt;&gt;0,LOOKUP(Z9,BE$7:BE$22,BC$7:BC$22)-Tabelle1[[#This Row],[Abzug]],""))</f>
        <v/>
      </c>
      <c r="AH9" s="7"/>
      <c r="BA9" s="27">
        <v>5</v>
      </c>
      <c r="BB9" s="28">
        <v>5</v>
      </c>
      <c r="BC9" s="29">
        <v>2</v>
      </c>
      <c r="BD9" s="13">
        <v>27</v>
      </c>
      <c r="BE9" s="61">
        <f t="shared" si="1"/>
        <v>0</v>
      </c>
      <c r="BF9" s="61">
        <f t="shared" si="2"/>
        <v>0</v>
      </c>
    </row>
    <row r="10" spans="2:58" ht="15" customHeight="1" thickBot="1" x14ac:dyDescent="0.45">
      <c r="B10" s="5">
        <v>8</v>
      </c>
      <c r="C10" s="36"/>
      <c r="D10" s="3" t="s">
        <v>2</v>
      </c>
      <c r="E10" s="10" t="s">
        <v>3</v>
      </c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51"/>
      <c r="Q10" s="52"/>
      <c r="R10" s="52"/>
      <c r="S10" s="52"/>
      <c r="T10" s="52"/>
      <c r="U10" s="52"/>
      <c r="V10" s="52"/>
      <c r="W10" s="52"/>
      <c r="X10" s="52"/>
      <c r="Y10" s="52"/>
      <c r="Z10" s="57" t="str">
        <f>IF(COUNT(Tabelle1[[#This Row],[1]:[20]])&lt;&gt;0,SUM(F10:Y10),"")</f>
        <v/>
      </c>
      <c r="AA10" s="58" t="str">
        <f>IF(COUNT(Tabelle1[[#This Row],[1]:[20]])&lt;&gt;0,LOOKUP($Z10,BE$7:BE$22,BB$7:BB$22),"")</f>
        <v/>
      </c>
      <c r="AB10" s="51" t="str">
        <f>IF(COUNT(Tabelle1[[#This Row],[1]:[20]])&lt;&gt;0,LOOKUP($Z10,BE$7:BE$22,BA$7:BA$22),"")</f>
        <v/>
      </c>
      <c r="AC10" s="73"/>
      <c r="AD10" s="74"/>
      <c r="AE10" s="75" t="str">
        <f>IF(OR(ISBLANK(Tabelle1[[#This Row],[Wörter]]),ISBLANK(Tabelle1[[#This Row],[Fehler]])),"",IFERROR(Tabelle1[[#This Row],[Fehler]]*100/Tabelle1[[#This Row],[Wörter]],0))</f>
        <v/>
      </c>
      <c r="AF10" s="76" t="str">
        <f>IF(Tabelle1[[#This Row],[%]]="","",IF(Tabelle1[[#This Row],[%]]&lt;3,0,IF(Tabelle1[[#This Row],[%]]&gt;=6,2,1)))</f>
        <v/>
      </c>
      <c r="AG10" s="52" t="str">
        <f>IF(Tabelle1[[#This Row],[Abzug]]="",IF(COUNT(Tabelle1[[#This Row],[1]:[20]])&lt;&gt;0,LOOKUP(Z10,BE$7:BE$22,BC$7:BC$22),""),IF(COUNT(Tabelle1[[#This Row],[1]:[20]])&lt;&gt;0,LOOKUP(Z10,BE$7:BE$22,BC$7:BC$22)-Tabelle1[[#This Row],[Abzug]],""))</f>
        <v/>
      </c>
      <c r="BA10" s="30" t="s">
        <v>14</v>
      </c>
      <c r="BB10" s="31">
        <v>4.666666666666667</v>
      </c>
      <c r="BC10" s="32">
        <v>3</v>
      </c>
      <c r="BD10" s="14">
        <v>33</v>
      </c>
      <c r="BE10" s="59">
        <f t="shared" si="1"/>
        <v>0</v>
      </c>
      <c r="BF10" s="59">
        <f t="shared" si="2"/>
        <v>0</v>
      </c>
    </row>
    <row r="11" spans="2:58" ht="15" customHeight="1" thickTop="1" x14ac:dyDescent="0.4">
      <c r="B11" s="5">
        <v>9</v>
      </c>
      <c r="C11" s="36"/>
      <c r="D11" s="3" t="s">
        <v>2</v>
      </c>
      <c r="E11" s="10" t="s">
        <v>3</v>
      </c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51"/>
      <c r="Q11" s="52"/>
      <c r="R11" s="52"/>
      <c r="S11" s="52"/>
      <c r="T11" s="52"/>
      <c r="U11" s="52"/>
      <c r="V11" s="52"/>
      <c r="W11" s="52"/>
      <c r="X11" s="52"/>
      <c r="Y11" s="52"/>
      <c r="Z11" s="57" t="str">
        <f>IF(COUNT(Tabelle1[[#This Row],[1]:[20]])&lt;&gt;0,SUM(F11:Y11),"")</f>
        <v/>
      </c>
      <c r="AA11" s="58" t="str">
        <f>IF(COUNT(Tabelle1[[#This Row],[1]:[20]])&lt;&gt;0,LOOKUP($Z11,BE$7:BE$22,BB$7:BB$22),"")</f>
        <v/>
      </c>
      <c r="AB11" s="51" t="str">
        <f>IF(COUNT(Tabelle1[[#This Row],[1]:[20]])&lt;&gt;0,LOOKUP($Z11,BE$7:BE$22,BA$7:BA$22),"")</f>
        <v/>
      </c>
      <c r="AC11" s="73"/>
      <c r="AD11" s="74"/>
      <c r="AE11" s="75" t="str">
        <f>IF(OR(ISBLANK(Tabelle1[[#This Row],[Wörter]]),ISBLANK(Tabelle1[[#This Row],[Fehler]])),"",IFERROR(Tabelle1[[#This Row],[Fehler]]*100/Tabelle1[[#This Row],[Wörter]],0))</f>
        <v/>
      </c>
      <c r="AF11" s="76" t="str">
        <f>IF(Tabelle1[[#This Row],[%]]="","",IF(Tabelle1[[#This Row],[%]]&lt;3,0,IF(Tabelle1[[#This Row],[%]]&gt;=6,2,1)))</f>
        <v/>
      </c>
      <c r="AG11" s="52" t="str">
        <f>IF(Tabelle1[[#This Row],[Abzug]]="",IF(COUNT(Tabelle1[[#This Row],[1]:[20]])&lt;&gt;0,LOOKUP(Z11,BE$7:BE$22,BC$7:BC$22),""),IF(COUNT(Tabelle1[[#This Row],[1]:[20]])&lt;&gt;0,LOOKUP(Z11,BE$7:BE$22,BC$7:BC$22)-Tabelle1[[#This Row],[Abzug]],""))</f>
        <v/>
      </c>
      <c r="BA11" s="24" t="s">
        <v>15</v>
      </c>
      <c r="BB11" s="25">
        <v>4.333333333333333</v>
      </c>
      <c r="BC11" s="26">
        <v>4</v>
      </c>
      <c r="BD11" s="12">
        <v>40</v>
      </c>
      <c r="BE11" s="60">
        <f t="shared" si="1"/>
        <v>0</v>
      </c>
      <c r="BF11" s="60">
        <f t="shared" si="2"/>
        <v>0</v>
      </c>
    </row>
    <row r="12" spans="2:58" ht="15" customHeight="1" x14ac:dyDescent="0.4">
      <c r="B12" s="5">
        <v>10</v>
      </c>
      <c r="C12" s="36"/>
      <c r="D12" s="3" t="s">
        <v>2</v>
      </c>
      <c r="E12" s="10" t="s">
        <v>3</v>
      </c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51"/>
      <c r="Q12" s="52"/>
      <c r="R12" s="52"/>
      <c r="S12" s="52"/>
      <c r="T12" s="52"/>
      <c r="U12" s="52"/>
      <c r="V12" s="52"/>
      <c r="W12" s="52"/>
      <c r="X12" s="52"/>
      <c r="Y12" s="52"/>
      <c r="Z12" s="57" t="str">
        <f>IF(COUNT(Tabelle1[[#This Row],[1]:[20]])&lt;&gt;0,SUM(F12:Y12),"")</f>
        <v/>
      </c>
      <c r="AA12" s="58" t="str">
        <f>IF(COUNT(Tabelle1[[#This Row],[1]:[20]])&lt;&gt;0,LOOKUP($Z12,BE$7:BE$22,BB$7:BB$22),"")</f>
        <v/>
      </c>
      <c r="AB12" s="51" t="str">
        <f>IF(COUNT(Tabelle1[[#This Row],[1]:[20]])&lt;&gt;0,LOOKUP($Z12,BE$7:BE$22,BA$7:BA$22),"")</f>
        <v/>
      </c>
      <c r="AC12" s="73"/>
      <c r="AD12" s="74"/>
      <c r="AE12" s="75" t="str">
        <f>IF(OR(ISBLANK(Tabelle1[[#This Row],[Wörter]]),ISBLANK(Tabelle1[[#This Row],[Fehler]])),"",IFERROR(Tabelle1[[#This Row],[Fehler]]*100/Tabelle1[[#This Row],[Wörter]],0))</f>
        <v/>
      </c>
      <c r="AF12" s="76" t="str">
        <f>IF(Tabelle1[[#This Row],[%]]="","",IF(Tabelle1[[#This Row],[%]]&lt;3,0,IF(Tabelle1[[#This Row],[%]]&gt;=6,2,1)))</f>
        <v/>
      </c>
      <c r="AG12" s="52" t="str">
        <f>IF(Tabelle1[[#This Row],[Abzug]]="",IF(COUNT(Tabelle1[[#This Row],[1]:[20]])&lt;&gt;0,LOOKUP(Z12,BE$7:BE$22,BC$7:BC$22),""),IF(COUNT(Tabelle1[[#This Row],[1]:[20]])&lt;&gt;0,LOOKUP(Z12,BE$7:BE$22,BC$7:BC$22)-Tabelle1[[#This Row],[Abzug]],""))</f>
        <v/>
      </c>
      <c r="BA12" s="27">
        <v>4</v>
      </c>
      <c r="BB12" s="28">
        <v>4</v>
      </c>
      <c r="BC12" s="29">
        <v>5</v>
      </c>
      <c r="BD12" s="13">
        <v>45</v>
      </c>
      <c r="BE12" s="61">
        <f t="shared" si="1"/>
        <v>0</v>
      </c>
      <c r="BF12" s="61">
        <f t="shared" si="2"/>
        <v>0</v>
      </c>
    </row>
    <row r="13" spans="2:58" ht="15" customHeight="1" thickBot="1" x14ac:dyDescent="0.45">
      <c r="B13" s="5">
        <v>11</v>
      </c>
      <c r="C13" s="36"/>
      <c r="D13" s="3" t="s">
        <v>2</v>
      </c>
      <c r="E13" s="10" t="s">
        <v>3</v>
      </c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51"/>
      <c r="Q13" s="52"/>
      <c r="R13" s="52"/>
      <c r="S13" s="52"/>
      <c r="T13" s="52"/>
      <c r="U13" s="52"/>
      <c r="V13" s="52"/>
      <c r="W13" s="52"/>
      <c r="X13" s="52"/>
      <c r="Y13" s="52"/>
      <c r="Z13" s="57" t="str">
        <f>IF(COUNT(Tabelle1[[#This Row],[1]:[20]])&lt;&gt;0,SUM(F13:Y13),"")</f>
        <v/>
      </c>
      <c r="AA13" s="58" t="str">
        <f>IF(COUNT(Tabelle1[[#This Row],[1]:[20]])&lt;&gt;0,LOOKUP($Z13,BE$7:BE$22,BB$7:BB$22),"")</f>
        <v/>
      </c>
      <c r="AB13" s="51" t="str">
        <f>IF(COUNT(Tabelle1[[#This Row],[1]:[20]])&lt;&gt;0,LOOKUP($Z13,BE$7:BE$22,BA$7:BA$22),"")</f>
        <v/>
      </c>
      <c r="AC13" s="73"/>
      <c r="AD13" s="74"/>
      <c r="AE13" s="75" t="str">
        <f>IF(OR(ISBLANK(Tabelle1[[#This Row],[Wörter]]),ISBLANK(Tabelle1[[#This Row],[Fehler]])),"",IFERROR(Tabelle1[[#This Row],[Fehler]]*100/Tabelle1[[#This Row],[Wörter]],0))</f>
        <v/>
      </c>
      <c r="AF13" s="76" t="str">
        <f>IF(Tabelle1[[#This Row],[%]]="","",IF(Tabelle1[[#This Row],[%]]&lt;3,0,IF(Tabelle1[[#This Row],[%]]&gt;=6,2,1)))</f>
        <v/>
      </c>
      <c r="AG13" s="52" t="str">
        <f>IF(Tabelle1[[#This Row],[Abzug]]="",IF(COUNT(Tabelle1[[#This Row],[1]:[20]])&lt;&gt;0,LOOKUP(Z13,BE$7:BE$22,BC$7:BC$22),""),IF(COUNT(Tabelle1[[#This Row],[1]:[20]])&lt;&gt;0,LOOKUP(Z13,BE$7:BE$22,BC$7:BC$22)-Tabelle1[[#This Row],[Abzug]],""))</f>
        <v/>
      </c>
      <c r="BA13" s="30" t="s">
        <v>16</v>
      </c>
      <c r="BB13" s="31">
        <v>3.6666666666666665</v>
      </c>
      <c r="BC13" s="32">
        <v>6</v>
      </c>
      <c r="BD13" s="14">
        <v>50</v>
      </c>
      <c r="BE13" s="59">
        <f t="shared" si="1"/>
        <v>0</v>
      </c>
      <c r="BF13" s="59">
        <f t="shared" si="2"/>
        <v>0</v>
      </c>
    </row>
    <row r="14" spans="2:58" ht="15" customHeight="1" thickTop="1" x14ac:dyDescent="0.4">
      <c r="B14" s="5">
        <v>12</v>
      </c>
      <c r="C14" s="36"/>
      <c r="D14" s="3" t="s">
        <v>2</v>
      </c>
      <c r="E14" s="10" t="s">
        <v>3</v>
      </c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51"/>
      <c r="Q14" s="52"/>
      <c r="R14" s="52"/>
      <c r="S14" s="52"/>
      <c r="T14" s="52"/>
      <c r="U14" s="52"/>
      <c r="V14" s="52"/>
      <c r="W14" s="52"/>
      <c r="X14" s="52"/>
      <c r="Y14" s="52"/>
      <c r="Z14" s="57" t="str">
        <f>IF(COUNT(Tabelle1[[#This Row],[1]:[20]])&lt;&gt;0,SUM(F14:Y14),"")</f>
        <v/>
      </c>
      <c r="AA14" s="58" t="str">
        <f>IF(COUNT(Tabelle1[[#This Row],[1]:[20]])&lt;&gt;0,LOOKUP($Z14,BE$7:BE$22,BB$7:BB$22),"")</f>
        <v/>
      </c>
      <c r="AB14" s="51" t="str">
        <f>IF(COUNT(Tabelle1[[#This Row],[1]:[20]])&lt;&gt;0,LOOKUP($Z14,BE$7:BE$22,BA$7:BA$22),"")</f>
        <v/>
      </c>
      <c r="AC14" s="73"/>
      <c r="AD14" s="74"/>
      <c r="AE14" s="75" t="str">
        <f>IF(OR(ISBLANK(Tabelle1[[#This Row],[Wörter]]),ISBLANK(Tabelle1[[#This Row],[Fehler]])),"",IFERROR(Tabelle1[[#This Row],[Fehler]]*100/Tabelle1[[#This Row],[Wörter]],0))</f>
        <v/>
      </c>
      <c r="AF14" s="76" t="str">
        <f>IF(Tabelle1[[#This Row],[%]]="","",IF(Tabelle1[[#This Row],[%]]&lt;3,0,IF(Tabelle1[[#This Row],[%]]&gt;=6,2,1)))</f>
        <v/>
      </c>
      <c r="AG14" s="52" t="str">
        <f>IF(Tabelle1[[#This Row],[Abzug]]="",IF(COUNT(Tabelle1[[#This Row],[1]:[20]])&lt;&gt;0,LOOKUP(Z14,BE$7:BE$22,BC$7:BC$22),""),IF(COUNT(Tabelle1[[#This Row],[1]:[20]])&lt;&gt;0,LOOKUP(Z14,BE$7:BE$22,BC$7:BC$22)-Tabelle1[[#This Row],[Abzug]],""))</f>
        <v/>
      </c>
      <c r="BA14" s="33" t="s">
        <v>17</v>
      </c>
      <c r="BB14" s="34">
        <v>3.3333333333333335</v>
      </c>
      <c r="BC14" s="35">
        <v>7</v>
      </c>
      <c r="BD14" s="15">
        <v>55</v>
      </c>
      <c r="BE14" s="60">
        <f t="shared" si="1"/>
        <v>0</v>
      </c>
      <c r="BF14" s="60">
        <f t="shared" si="2"/>
        <v>0</v>
      </c>
    </row>
    <row r="15" spans="2:58" ht="15" customHeight="1" x14ac:dyDescent="0.4">
      <c r="B15" s="5">
        <v>13</v>
      </c>
      <c r="C15" s="36"/>
      <c r="D15" s="3" t="s">
        <v>2</v>
      </c>
      <c r="E15" s="10" t="s">
        <v>3</v>
      </c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51"/>
      <c r="Q15" s="52"/>
      <c r="R15" s="52"/>
      <c r="S15" s="52"/>
      <c r="T15" s="52"/>
      <c r="U15" s="52"/>
      <c r="V15" s="52"/>
      <c r="W15" s="52"/>
      <c r="X15" s="52"/>
      <c r="Y15" s="52"/>
      <c r="Z15" s="57" t="str">
        <f>IF(COUNT(Tabelle1[[#This Row],[1]:[20]])&lt;&gt;0,SUM(F15:Y15),"")</f>
        <v/>
      </c>
      <c r="AA15" s="58" t="str">
        <f>IF(COUNT(Tabelle1[[#This Row],[1]:[20]])&lt;&gt;0,LOOKUP($Z15,BE$7:BE$22,BB$7:BB$22),"")</f>
        <v/>
      </c>
      <c r="AB15" s="51" t="str">
        <f>IF(COUNT(Tabelle1[[#This Row],[1]:[20]])&lt;&gt;0,LOOKUP($Z15,BE$7:BE$22,BA$7:BA$22),"")</f>
        <v/>
      </c>
      <c r="AC15" s="73"/>
      <c r="AD15" s="74"/>
      <c r="AE15" s="75" t="str">
        <f>IF(OR(ISBLANK(Tabelle1[[#This Row],[Wörter]]),ISBLANK(Tabelle1[[#This Row],[Fehler]])),"",IFERROR(Tabelle1[[#This Row],[Fehler]]*100/Tabelle1[[#This Row],[Wörter]],0))</f>
        <v/>
      </c>
      <c r="AF15" s="76" t="str">
        <f>IF(Tabelle1[[#This Row],[%]]="","",IF(Tabelle1[[#This Row],[%]]&lt;3,0,IF(Tabelle1[[#This Row],[%]]&gt;=6,2,1)))</f>
        <v/>
      </c>
      <c r="AG15" s="52" t="str">
        <f>IF(Tabelle1[[#This Row],[Abzug]]="",IF(COUNT(Tabelle1[[#This Row],[1]:[20]])&lt;&gt;0,LOOKUP(Z15,BE$7:BE$22,BC$7:BC$22),""),IF(COUNT(Tabelle1[[#This Row],[1]:[20]])&lt;&gt;0,LOOKUP(Z15,BE$7:BE$22,BC$7:BC$22)-Tabelle1[[#This Row],[Abzug]],""))</f>
        <v/>
      </c>
      <c r="BA15" s="27">
        <v>3</v>
      </c>
      <c r="BB15" s="28">
        <v>3</v>
      </c>
      <c r="BC15" s="29">
        <v>8</v>
      </c>
      <c r="BD15" s="13">
        <v>60</v>
      </c>
      <c r="BE15" s="61">
        <f t="shared" si="1"/>
        <v>0</v>
      </c>
      <c r="BF15" s="61">
        <f t="shared" si="2"/>
        <v>0</v>
      </c>
    </row>
    <row r="16" spans="2:58" ht="15" customHeight="1" thickBot="1" x14ac:dyDescent="0.45">
      <c r="B16" s="5">
        <v>14</v>
      </c>
      <c r="C16" s="36"/>
      <c r="D16" s="3" t="s">
        <v>2</v>
      </c>
      <c r="E16" s="10" t="s">
        <v>3</v>
      </c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51"/>
      <c r="Q16" s="52"/>
      <c r="R16" s="52"/>
      <c r="S16" s="52"/>
      <c r="T16" s="52"/>
      <c r="U16" s="52"/>
      <c r="V16" s="52"/>
      <c r="W16" s="52"/>
      <c r="X16" s="52"/>
      <c r="Y16" s="52"/>
      <c r="Z16" s="57" t="str">
        <f>IF(COUNT(Tabelle1[[#This Row],[1]:[20]])&lt;&gt;0,SUM(F16:Y16),"")</f>
        <v/>
      </c>
      <c r="AA16" s="58" t="str">
        <f>IF(COUNT(Tabelle1[[#This Row],[1]:[20]])&lt;&gt;0,LOOKUP($Z16,BE$7:BE$22,BB$7:BB$22),"")</f>
        <v/>
      </c>
      <c r="AB16" s="51" t="str">
        <f>IF(COUNT(Tabelle1[[#This Row],[1]:[20]])&lt;&gt;0,LOOKUP($Z16,BE$7:BE$22,BA$7:BA$22),"")</f>
        <v/>
      </c>
      <c r="AC16" s="73"/>
      <c r="AD16" s="74"/>
      <c r="AE16" s="75" t="str">
        <f>IF(OR(ISBLANK(Tabelle1[[#This Row],[Wörter]]),ISBLANK(Tabelle1[[#This Row],[Fehler]])),"",IFERROR(Tabelle1[[#This Row],[Fehler]]*100/Tabelle1[[#This Row],[Wörter]],0))</f>
        <v/>
      </c>
      <c r="AF16" s="76" t="str">
        <f>IF(Tabelle1[[#This Row],[%]]="","",IF(Tabelle1[[#This Row],[%]]&lt;3,0,IF(Tabelle1[[#This Row],[%]]&gt;=6,2,1)))</f>
        <v/>
      </c>
      <c r="AG16" s="52" t="str">
        <f>IF(Tabelle1[[#This Row],[Abzug]]="",IF(COUNT(Tabelle1[[#This Row],[1]:[20]])&lt;&gt;0,LOOKUP(Z16,BE$7:BE$22,BC$7:BC$22),""),IF(COUNT(Tabelle1[[#This Row],[1]:[20]])&lt;&gt;0,LOOKUP(Z16,BE$7:BE$22,BC$7:BC$22)-Tabelle1[[#This Row],[Abzug]],""))</f>
        <v/>
      </c>
      <c r="BA16" s="21" t="s">
        <v>18</v>
      </c>
      <c r="BB16" s="22">
        <v>2.6666666666666665</v>
      </c>
      <c r="BC16" s="23">
        <v>9</v>
      </c>
      <c r="BD16" s="11">
        <v>65</v>
      </c>
      <c r="BE16" s="59">
        <f t="shared" si="1"/>
        <v>0</v>
      </c>
      <c r="BF16" s="59">
        <f t="shared" si="2"/>
        <v>0</v>
      </c>
    </row>
    <row r="17" spans="2:58" ht="15" customHeight="1" thickTop="1" x14ac:dyDescent="0.4">
      <c r="B17" s="5">
        <v>15</v>
      </c>
      <c r="C17" s="36"/>
      <c r="D17" s="3" t="s">
        <v>2</v>
      </c>
      <c r="E17" s="10" t="s">
        <v>3</v>
      </c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51"/>
      <c r="Q17" s="52"/>
      <c r="R17" s="52"/>
      <c r="S17" s="52"/>
      <c r="T17" s="52"/>
      <c r="U17" s="52"/>
      <c r="V17" s="52"/>
      <c r="W17" s="52"/>
      <c r="X17" s="52"/>
      <c r="Y17" s="52"/>
      <c r="Z17" s="57" t="str">
        <f>IF(COUNT(Tabelle1[[#This Row],[1]:[20]])&lt;&gt;0,SUM(F17:Y17),"")</f>
        <v/>
      </c>
      <c r="AA17" s="58" t="str">
        <f>IF(COUNT(Tabelle1[[#This Row],[1]:[20]])&lt;&gt;0,LOOKUP($Z17,BE$7:BE$22,BB$7:BB$22),"")</f>
        <v/>
      </c>
      <c r="AB17" s="51" t="str">
        <f>IF(COUNT(Tabelle1[[#This Row],[1]:[20]])&lt;&gt;0,LOOKUP($Z17,BE$7:BE$22,BA$7:BA$22),"")</f>
        <v/>
      </c>
      <c r="AC17" s="73"/>
      <c r="AD17" s="74"/>
      <c r="AE17" s="75" t="str">
        <f>IF(OR(ISBLANK(Tabelle1[[#This Row],[Wörter]]),ISBLANK(Tabelle1[[#This Row],[Fehler]])),"",IFERROR(Tabelle1[[#This Row],[Fehler]]*100/Tabelle1[[#This Row],[Wörter]],0))</f>
        <v/>
      </c>
      <c r="AF17" s="76" t="str">
        <f>IF(Tabelle1[[#This Row],[%]]="","",IF(Tabelle1[[#This Row],[%]]&lt;3,0,IF(Tabelle1[[#This Row],[%]]&gt;=6,2,1)))</f>
        <v/>
      </c>
      <c r="AG17" s="52" t="str">
        <f>IF(Tabelle1[[#This Row],[Abzug]]="",IF(COUNT(Tabelle1[[#This Row],[1]:[20]])&lt;&gt;0,LOOKUP(Z17,BE$7:BE$22,BC$7:BC$22),""),IF(COUNT(Tabelle1[[#This Row],[1]:[20]])&lt;&gt;0,LOOKUP(Z17,BE$7:BE$22,BC$7:BC$22)-Tabelle1[[#This Row],[Abzug]],""))</f>
        <v/>
      </c>
      <c r="BA17" s="24" t="s">
        <v>19</v>
      </c>
      <c r="BB17" s="25">
        <v>2.3333333333333335</v>
      </c>
      <c r="BC17" s="26">
        <v>10</v>
      </c>
      <c r="BD17" s="12">
        <v>70</v>
      </c>
      <c r="BE17" s="60">
        <f t="shared" si="1"/>
        <v>0</v>
      </c>
      <c r="BF17" s="60">
        <f t="shared" si="2"/>
        <v>0</v>
      </c>
    </row>
    <row r="18" spans="2:58" ht="15" customHeight="1" x14ac:dyDescent="0.4">
      <c r="B18" s="5">
        <v>16</v>
      </c>
      <c r="C18" s="36"/>
      <c r="D18" s="3" t="s">
        <v>2</v>
      </c>
      <c r="E18" s="10" t="s">
        <v>3</v>
      </c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51"/>
      <c r="Q18" s="52"/>
      <c r="R18" s="52"/>
      <c r="S18" s="52"/>
      <c r="T18" s="52"/>
      <c r="U18" s="52"/>
      <c r="V18" s="52"/>
      <c r="W18" s="52"/>
      <c r="X18" s="52"/>
      <c r="Y18" s="52"/>
      <c r="Z18" s="57" t="str">
        <f>IF(COUNT(Tabelle1[[#This Row],[1]:[20]])&lt;&gt;0,SUM(F18:Y18),"")</f>
        <v/>
      </c>
      <c r="AA18" s="58" t="str">
        <f>IF(COUNT(Tabelle1[[#This Row],[1]:[20]])&lt;&gt;0,LOOKUP($Z18,BE$7:BE$22,BB$7:BB$22),"")</f>
        <v/>
      </c>
      <c r="AB18" s="51" t="str">
        <f>IF(COUNT(Tabelle1[[#This Row],[1]:[20]])&lt;&gt;0,LOOKUP($Z18,BE$7:BE$22,BA$7:BA$22),"")</f>
        <v/>
      </c>
      <c r="AC18" s="73"/>
      <c r="AD18" s="74"/>
      <c r="AE18" s="75" t="str">
        <f>IF(OR(ISBLANK(Tabelle1[[#This Row],[Wörter]]),ISBLANK(Tabelle1[[#This Row],[Fehler]])),"",IFERROR(Tabelle1[[#This Row],[Fehler]]*100/Tabelle1[[#This Row],[Wörter]],0))</f>
        <v/>
      </c>
      <c r="AF18" s="76" t="str">
        <f>IF(Tabelle1[[#This Row],[%]]="","",IF(Tabelle1[[#This Row],[%]]&lt;3,0,IF(Tabelle1[[#This Row],[%]]&gt;=6,2,1)))</f>
        <v/>
      </c>
      <c r="AG18" s="52" t="str">
        <f>IF(Tabelle1[[#This Row],[Abzug]]="",IF(COUNT(Tabelle1[[#This Row],[1]:[20]])&lt;&gt;0,LOOKUP(Z18,BE$7:BE$22,BC$7:BC$22),""),IF(COUNT(Tabelle1[[#This Row],[1]:[20]])&lt;&gt;0,LOOKUP(Z18,BE$7:BE$22,BC$7:BC$22)-Tabelle1[[#This Row],[Abzug]],""))</f>
        <v/>
      </c>
      <c r="BA18" s="27">
        <v>2</v>
      </c>
      <c r="BB18" s="28">
        <v>2</v>
      </c>
      <c r="BC18" s="29">
        <v>11</v>
      </c>
      <c r="BD18" s="13">
        <v>75</v>
      </c>
      <c r="BE18" s="61">
        <f t="shared" si="1"/>
        <v>0</v>
      </c>
      <c r="BF18" s="61">
        <f t="shared" si="2"/>
        <v>0</v>
      </c>
    </row>
    <row r="19" spans="2:58" ht="15" customHeight="1" thickBot="1" x14ac:dyDescent="0.45">
      <c r="B19" s="2">
        <v>17</v>
      </c>
      <c r="C19" s="36"/>
      <c r="D19" s="3" t="s">
        <v>2</v>
      </c>
      <c r="E19" s="10" t="s">
        <v>3</v>
      </c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51"/>
      <c r="Q19" s="52"/>
      <c r="R19" s="52"/>
      <c r="S19" s="52"/>
      <c r="T19" s="52"/>
      <c r="U19" s="52"/>
      <c r="V19" s="52"/>
      <c r="W19" s="52"/>
      <c r="X19" s="52"/>
      <c r="Y19" s="52"/>
      <c r="Z19" s="57" t="str">
        <f>IF(COUNT(Tabelle1[[#This Row],[1]:[20]])&lt;&gt;0,SUM(F19:Y19),"")</f>
        <v/>
      </c>
      <c r="AA19" s="58" t="str">
        <f>IF(COUNT(Tabelle1[[#This Row],[1]:[20]])&lt;&gt;0,LOOKUP($Z19,BE$7:BE$22,BB$7:BB$22),"")</f>
        <v/>
      </c>
      <c r="AB19" s="51" t="str">
        <f>IF(COUNT(Tabelle1[[#This Row],[1]:[20]])&lt;&gt;0,LOOKUP($Z19,BE$7:BE$22,BA$7:BA$22),"")</f>
        <v/>
      </c>
      <c r="AC19" s="73"/>
      <c r="AD19" s="74"/>
      <c r="AE19" s="75" t="str">
        <f>IF(OR(ISBLANK(Tabelle1[[#This Row],[Wörter]]),ISBLANK(Tabelle1[[#This Row],[Fehler]])),"",IFERROR(Tabelle1[[#This Row],[Fehler]]*100/Tabelle1[[#This Row],[Wörter]],0))</f>
        <v/>
      </c>
      <c r="AF19" s="76" t="str">
        <f>IF(Tabelle1[[#This Row],[%]]="","",IF(Tabelle1[[#This Row],[%]]&lt;3,0,IF(Tabelle1[[#This Row],[%]]&gt;=6,2,1)))</f>
        <v/>
      </c>
      <c r="AG19" s="52" t="str">
        <f>IF(Tabelle1[[#This Row],[Abzug]]="",IF(COUNT(Tabelle1[[#This Row],[1]:[20]])&lt;&gt;0,LOOKUP(Z19,BE$7:BE$22,BC$7:BC$22),""),IF(COUNT(Tabelle1[[#This Row],[1]:[20]])&lt;&gt;0,LOOKUP(Z19,BE$7:BE$22,BC$7:BC$22)-Tabelle1[[#This Row],[Abzug]],""))</f>
        <v/>
      </c>
      <c r="BA19" s="30" t="s">
        <v>20</v>
      </c>
      <c r="BB19" s="31">
        <v>1.6666666666666667</v>
      </c>
      <c r="BC19" s="32">
        <v>12</v>
      </c>
      <c r="BD19" s="14">
        <v>80</v>
      </c>
      <c r="BE19" s="59">
        <f t="shared" si="1"/>
        <v>0</v>
      </c>
      <c r="BF19" s="59">
        <f t="shared" si="2"/>
        <v>0</v>
      </c>
    </row>
    <row r="20" spans="2:58" ht="15" customHeight="1" thickTop="1" x14ac:dyDescent="0.4">
      <c r="B20" s="5">
        <v>18</v>
      </c>
      <c r="C20" s="36"/>
      <c r="D20" s="3" t="s">
        <v>2</v>
      </c>
      <c r="E20" s="10" t="s">
        <v>3</v>
      </c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51"/>
      <c r="Q20" s="52"/>
      <c r="R20" s="52"/>
      <c r="S20" s="52"/>
      <c r="T20" s="52"/>
      <c r="U20" s="52"/>
      <c r="V20" s="52"/>
      <c r="W20" s="52"/>
      <c r="X20" s="52"/>
      <c r="Y20" s="52"/>
      <c r="Z20" s="57" t="str">
        <f>IF(COUNT(Tabelle1[[#This Row],[1]:[20]])&lt;&gt;0,SUM(F20:Y20),"")</f>
        <v/>
      </c>
      <c r="AA20" s="58" t="str">
        <f>IF(COUNT(Tabelle1[[#This Row],[1]:[20]])&lt;&gt;0,LOOKUP($Z20,BE$7:BE$22,BB$7:BB$22),"")</f>
        <v/>
      </c>
      <c r="AB20" s="51" t="str">
        <f>IF(COUNT(Tabelle1[[#This Row],[1]:[20]])&lt;&gt;0,LOOKUP($Z20,BE$7:BE$22,BA$7:BA$22),"")</f>
        <v/>
      </c>
      <c r="AC20" s="73"/>
      <c r="AD20" s="74"/>
      <c r="AE20" s="75" t="str">
        <f>IF(OR(ISBLANK(Tabelle1[[#This Row],[Wörter]]),ISBLANK(Tabelle1[[#This Row],[Fehler]])),"",IFERROR(Tabelle1[[#This Row],[Fehler]]*100/Tabelle1[[#This Row],[Wörter]],0))</f>
        <v/>
      </c>
      <c r="AF20" s="76" t="str">
        <f>IF(Tabelle1[[#This Row],[%]]="","",IF(Tabelle1[[#This Row],[%]]&lt;3,0,IF(Tabelle1[[#This Row],[%]]&gt;=6,2,1)))</f>
        <v/>
      </c>
      <c r="AG20" s="52" t="str">
        <f>IF(Tabelle1[[#This Row],[Abzug]]="",IF(COUNT(Tabelle1[[#This Row],[1]:[20]])&lt;&gt;0,LOOKUP(Z20,BE$7:BE$22,BC$7:BC$22),""),IF(COUNT(Tabelle1[[#This Row],[1]:[20]])&lt;&gt;0,LOOKUP(Z20,BE$7:BE$22,BC$7:BC$22)-Tabelle1[[#This Row],[Abzug]],""))</f>
        <v/>
      </c>
      <c r="BA20" s="24" t="s">
        <v>21</v>
      </c>
      <c r="BB20" s="25">
        <v>1.3333333333333333</v>
      </c>
      <c r="BC20" s="26">
        <v>13</v>
      </c>
      <c r="BD20" s="12">
        <v>85</v>
      </c>
      <c r="BE20" s="60">
        <f t="shared" si="1"/>
        <v>0</v>
      </c>
      <c r="BF20" s="60">
        <f t="shared" si="2"/>
        <v>0</v>
      </c>
    </row>
    <row r="21" spans="2:58" ht="15" customHeight="1" x14ac:dyDescent="0.4">
      <c r="B21" s="5">
        <v>19</v>
      </c>
      <c r="C21" s="36"/>
      <c r="D21" s="3" t="s">
        <v>2</v>
      </c>
      <c r="E21" s="10" t="s">
        <v>3</v>
      </c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51"/>
      <c r="Q21" s="52"/>
      <c r="R21" s="52"/>
      <c r="S21" s="52"/>
      <c r="T21" s="52"/>
      <c r="U21" s="52"/>
      <c r="V21" s="52"/>
      <c r="W21" s="52"/>
      <c r="X21" s="52"/>
      <c r="Y21" s="52"/>
      <c r="Z21" s="57" t="str">
        <f>IF(COUNT(Tabelle1[[#This Row],[1]:[20]])&lt;&gt;0,SUM(F21:Y21),"")</f>
        <v/>
      </c>
      <c r="AA21" s="58" t="str">
        <f>IF(COUNT(Tabelle1[[#This Row],[1]:[20]])&lt;&gt;0,LOOKUP($Z21,BE$7:BE$22,BB$7:BB$22),"")</f>
        <v/>
      </c>
      <c r="AB21" s="51" t="str">
        <f>IF(COUNT(Tabelle1[[#This Row],[1]:[20]])&lt;&gt;0,LOOKUP($Z21,BE$7:BE$22,BA$7:BA$22),"")</f>
        <v/>
      </c>
      <c r="AC21" s="73"/>
      <c r="AD21" s="74"/>
      <c r="AE21" s="75" t="str">
        <f>IF(OR(ISBLANK(Tabelle1[[#This Row],[Wörter]]),ISBLANK(Tabelle1[[#This Row],[Fehler]])),"",IFERROR(Tabelle1[[#This Row],[Fehler]]*100/Tabelle1[[#This Row],[Wörter]],0))</f>
        <v/>
      </c>
      <c r="AF21" s="76" t="str">
        <f>IF(Tabelle1[[#This Row],[%]]="","",IF(Tabelle1[[#This Row],[%]]&lt;3,0,IF(Tabelle1[[#This Row],[%]]&gt;=6,2,1)))</f>
        <v/>
      </c>
      <c r="AG21" s="52" t="str">
        <f>IF(Tabelle1[[#This Row],[Abzug]]="",IF(COUNT(Tabelle1[[#This Row],[1]:[20]])&lt;&gt;0,LOOKUP(Z21,BE$7:BE$22,BC$7:BC$22),""),IF(COUNT(Tabelle1[[#This Row],[1]:[20]])&lt;&gt;0,LOOKUP(Z21,BE$7:BE$22,BC$7:BC$22)-Tabelle1[[#This Row],[Abzug]],""))</f>
        <v/>
      </c>
      <c r="BA21" s="27">
        <v>1</v>
      </c>
      <c r="BB21" s="28">
        <v>1</v>
      </c>
      <c r="BC21" s="29">
        <v>14</v>
      </c>
      <c r="BD21" s="13">
        <v>90</v>
      </c>
      <c r="BE21" s="61">
        <f t="shared" si="1"/>
        <v>0</v>
      </c>
      <c r="BF21" s="61">
        <f t="shared" si="2"/>
        <v>0</v>
      </c>
    </row>
    <row r="22" spans="2:58" ht="15" customHeight="1" x14ac:dyDescent="0.4">
      <c r="B22" s="5">
        <v>20</v>
      </c>
      <c r="C22" s="36"/>
      <c r="D22" s="3" t="s">
        <v>2</v>
      </c>
      <c r="E22" s="10" t="s">
        <v>3</v>
      </c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51"/>
      <c r="Q22" s="52"/>
      <c r="R22" s="52"/>
      <c r="S22" s="52"/>
      <c r="T22" s="52"/>
      <c r="U22" s="52"/>
      <c r="V22" s="52"/>
      <c r="W22" s="52"/>
      <c r="X22" s="52"/>
      <c r="Y22" s="52"/>
      <c r="Z22" s="57" t="str">
        <f>IF(COUNT(Tabelle1[[#This Row],[1]:[20]])&lt;&gt;0,SUM(F22:Y22),"")</f>
        <v/>
      </c>
      <c r="AA22" s="58" t="str">
        <f>IF(COUNT(Tabelle1[[#This Row],[1]:[20]])&lt;&gt;0,LOOKUP($Z22,BE$7:BE$22,BB$7:BB$22),"")</f>
        <v/>
      </c>
      <c r="AB22" s="51" t="str">
        <f>IF(COUNT(Tabelle1[[#This Row],[1]:[20]])&lt;&gt;0,LOOKUP($Z22,BE$7:BE$22,BA$7:BA$22),"")</f>
        <v/>
      </c>
      <c r="AC22" s="73"/>
      <c r="AD22" s="74"/>
      <c r="AE22" s="75" t="str">
        <f>IF(OR(ISBLANK(Tabelle1[[#This Row],[Wörter]]),ISBLANK(Tabelle1[[#This Row],[Fehler]])),"",IFERROR(Tabelle1[[#This Row],[Fehler]]*100/Tabelle1[[#This Row],[Wörter]],0))</f>
        <v/>
      </c>
      <c r="AF22" s="76" t="str">
        <f>IF(Tabelle1[[#This Row],[%]]="","",IF(Tabelle1[[#This Row],[%]]&lt;3,0,IF(Tabelle1[[#This Row],[%]]&gt;=6,2,1)))</f>
        <v/>
      </c>
      <c r="AG22" s="52" t="str">
        <f>IF(Tabelle1[[#This Row],[Abzug]]="",IF(COUNT(Tabelle1[[#This Row],[1]:[20]])&lt;&gt;0,LOOKUP(Z22,BE$7:BE$22,BC$7:BC$22),""),IF(COUNT(Tabelle1[[#This Row],[1]:[20]])&lt;&gt;0,LOOKUP(Z22,BE$7:BE$22,BC$7:BC$22)-Tabelle1[[#This Row],[Abzug]],""))</f>
        <v/>
      </c>
      <c r="BA22" s="27" t="s">
        <v>42</v>
      </c>
      <c r="BB22" s="28">
        <v>0.66666666666666663</v>
      </c>
      <c r="BC22" s="29">
        <v>15</v>
      </c>
      <c r="BD22" s="13">
        <v>95</v>
      </c>
      <c r="BE22" s="62">
        <f t="shared" si="1"/>
        <v>0</v>
      </c>
      <c r="BF22" s="62">
        <f>BA4</f>
        <v>0</v>
      </c>
    </row>
    <row r="23" spans="2:58" ht="15" customHeight="1" x14ac:dyDescent="0.4">
      <c r="B23" s="5">
        <v>21</v>
      </c>
      <c r="C23" s="36"/>
      <c r="D23" s="3" t="s">
        <v>2</v>
      </c>
      <c r="E23" s="10" t="s">
        <v>3</v>
      </c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51"/>
      <c r="Q23" s="52"/>
      <c r="R23" s="52"/>
      <c r="S23" s="52"/>
      <c r="T23" s="52"/>
      <c r="U23" s="52"/>
      <c r="V23" s="52"/>
      <c r="W23" s="52"/>
      <c r="X23" s="52"/>
      <c r="Y23" s="52"/>
      <c r="Z23" s="57" t="str">
        <f>IF(COUNT(Tabelle1[[#This Row],[1]:[20]])&lt;&gt;0,SUM(F23:Y23),"")</f>
        <v/>
      </c>
      <c r="AA23" s="58" t="str">
        <f>IF(COUNT(Tabelle1[[#This Row],[1]:[20]])&lt;&gt;0,LOOKUP($Z23,BE$7:BE$22,BB$7:BB$22),"")</f>
        <v/>
      </c>
      <c r="AB23" s="51" t="str">
        <f>IF(COUNT(Tabelle1[[#This Row],[1]:[20]])&lt;&gt;0,LOOKUP($Z23,BE$7:BE$22,BA$7:BA$22),"")</f>
        <v/>
      </c>
      <c r="AC23" s="73"/>
      <c r="AD23" s="74"/>
      <c r="AE23" s="75" t="str">
        <f>IF(OR(ISBLANK(Tabelle1[[#This Row],[Wörter]]),ISBLANK(Tabelle1[[#This Row],[Fehler]])),"",IFERROR(Tabelle1[[#This Row],[Fehler]]*100/Tabelle1[[#This Row],[Wörter]],0))</f>
        <v/>
      </c>
      <c r="AF23" s="76" t="str">
        <f>IF(Tabelle1[[#This Row],[%]]="","",IF(Tabelle1[[#This Row],[%]]&lt;3,0,IF(Tabelle1[[#This Row],[%]]&gt;=6,2,1)))</f>
        <v/>
      </c>
      <c r="AG23" s="52" t="str">
        <f>IF(Tabelle1[[#This Row],[Abzug]]="",IF(COUNT(Tabelle1[[#This Row],[1]:[20]])&lt;&gt;0,LOOKUP(Z23,BE$7:BE$22,BC$7:BC$22),""),IF(COUNT(Tabelle1[[#This Row],[1]:[20]])&lt;&gt;0,LOOKUP(Z23,BE$7:BE$22,BC$7:BC$22)-Tabelle1[[#This Row],[Abzug]],""))</f>
        <v/>
      </c>
    </row>
    <row r="24" spans="2:58" ht="15" customHeight="1" x14ac:dyDescent="0.4">
      <c r="B24" s="5">
        <v>22</v>
      </c>
      <c r="C24" s="36"/>
      <c r="D24" s="3" t="s">
        <v>2</v>
      </c>
      <c r="E24" s="10" t="s">
        <v>3</v>
      </c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51"/>
      <c r="Q24" s="52"/>
      <c r="R24" s="52"/>
      <c r="S24" s="52"/>
      <c r="T24" s="52"/>
      <c r="U24" s="52"/>
      <c r="V24" s="52"/>
      <c r="W24" s="52"/>
      <c r="X24" s="52"/>
      <c r="Y24" s="52"/>
      <c r="Z24" s="57" t="str">
        <f>IF(COUNT(Tabelle1[[#This Row],[1]:[20]])&lt;&gt;0,SUM(F24:Y24),"")</f>
        <v/>
      </c>
      <c r="AA24" s="58" t="str">
        <f>IF(COUNT(Tabelle1[[#This Row],[1]:[20]])&lt;&gt;0,LOOKUP($Z24,BE$7:BE$22,BB$7:BB$22),"")</f>
        <v/>
      </c>
      <c r="AB24" s="51" t="str">
        <f>IF(COUNT(Tabelle1[[#This Row],[1]:[20]])&lt;&gt;0,LOOKUP($Z24,BE$7:BE$22,BA$7:BA$22),"")</f>
        <v/>
      </c>
      <c r="AC24" s="73"/>
      <c r="AD24" s="74"/>
      <c r="AE24" s="75" t="str">
        <f>IF(OR(ISBLANK(Tabelle1[[#This Row],[Wörter]]),ISBLANK(Tabelle1[[#This Row],[Fehler]])),"",IFERROR(Tabelle1[[#This Row],[Fehler]]*100/Tabelle1[[#This Row],[Wörter]],0))</f>
        <v/>
      </c>
      <c r="AF24" s="76" t="str">
        <f>IF(Tabelle1[[#This Row],[%]]="","",IF(Tabelle1[[#This Row],[%]]&lt;3,0,IF(Tabelle1[[#This Row],[%]]&gt;=6,2,1)))</f>
        <v/>
      </c>
      <c r="AG24" s="52" t="str">
        <f>IF(Tabelle1[[#This Row],[Abzug]]="",IF(COUNT(Tabelle1[[#This Row],[1]:[20]])&lt;&gt;0,LOOKUP(Z24,BE$7:BE$22,BC$7:BC$22),""),IF(COUNT(Tabelle1[[#This Row],[1]:[20]])&lt;&gt;0,LOOKUP(Z24,BE$7:BE$22,BC$7:BC$22)-Tabelle1[[#This Row],[Abzug]],""))</f>
        <v/>
      </c>
    </row>
    <row r="25" spans="2:58" ht="15" customHeight="1" x14ac:dyDescent="0.4">
      <c r="B25" s="5">
        <v>23</v>
      </c>
      <c r="C25" s="36"/>
      <c r="D25" s="3" t="s">
        <v>2</v>
      </c>
      <c r="E25" s="10" t="s">
        <v>3</v>
      </c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51"/>
      <c r="Q25" s="52"/>
      <c r="R25" s="52"/>
      <c r="S25" s="52"/>
      <c r="T25" s="52"/>
      <c r="U25" s="52"/>
      <c r="V25" s="52"/>
      <c r="W25" s="52"/>
      <c r="X25" s="52"/>
      <c r="Y25" s="52"/>
      <c r="Z25" s="57" t="str">
        <f>IF(COUNT(Tabelle1[[#This Row],[1]:[20]])&lt;&gt;0,SUM(F25:Y25),"")</f>
        <v/>
      </c>
      <c r="AA25" s="58" t="str">
        <f>IF(COUNT(Tabelle1[[#This Row],[1]:[20]])&lt;&gt;0,LOOKUP($Z25,BE$7:BE$22,BB$7:BB$22),"")</f>
        <v/>
      </c>
      <c r="AB25" s="51" t="str">
        <f>IF(COUNT(Tabelle1[[#This Row],[1]:[20]])&lt;&gt;0,LOOKUP($Z25,BE$7:BE$22,BA$7:BA$22),"")</f>
        <v/>
      </c>
      <c r="AC25" s="73"/>
      <c r="AD25" s="74"/>
      <c r="AE25" s="75" t="str">
        <f>IF(OR(ISBLANK(Tabelle1[[#This Row],[Wörter]]),ISBLANK(Tabelle1[[#This Row],[Fehler]])),"",IFERROR(Tabelle1[[#This Row],[Fehler]]*100/Tabelle1[[#This Row],[Wörter]],0))</f>
        <v/>
      </c>
      <c r="AF25" s="76" t="str">
        <f>IF(Tabelle1[[#This Row],[%]]="","",IF(Tabelle1[[#This Row],[%]]&lt;3,0,IF(Tabelle1[[#This Row],[%]]&gt;=6,2,1)))</f>
        <v/>
      </c>
      <c r="AG25" s="52" t="str">
        <f>IF(Tabelle1[[#This Row],[Abzug]]="",IF(COUNT(Tabelle1[[#This Row],[1]:[20]])&lt;&gt;0,LOOKUP(Z25,BE$7:BE$22,BC$7:BC$22),""),IF(COUNT(Tabelle1[[#This Row],[1]:[20]])&lt;&gt;0,LOOKUP(Z25,BE$7:BE$22,BC$7:BC$22)-Tabelle1[[#This Row],[Abzug]],""))</f>
        <v/>
      </c>
    </row>
    <row r="26" spans="2:58" ht="15" customHeight="1" x14ac:dyDescent="0.4">
      <c r="B26" s="5">
        <v>24</v>
      </c>
      <c r="C26" s="36"/>
      <c r="D26" s="3" t="s">
        <v>2</v>
      </c>
      <c r="E26" s="10" t="s">
        <v>3</v>
      </c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51"/>
      <c r="Q26" s="52"/>
      <c r="R26" s="52"/>
      <c r="S26" s="52"/>
      <c r="T26" s="52"/>
      <c r="U26" s="52"/>
      <c r="V26" s="52"/>
      <c r="W26" s="52"/>
      <c r="X26" s="52"/>
      <c r="Y26" s="52"/>
      <c r="Z26" s="57" t="str">
        <f>IF(COUNT(Tabelle1[[#This Row],[1]:[20]])&lt;&gt;0,SUM(F26:Y26),"")</f>
        <v/>
      </c>
      <c r="AA26" s="58" t="str">
        <f>IF(COUNT(Tabelle1[[#This Row],[1]:[20]])&lt;&gt;0,LOOKUP($Z26,BE$7:BE$22,BB$7:BB$22),"")</f>
        <v/>
      </c>
      <c r="AB26" s="51" t="str">
        <f>IF(COUNT(Tabelle1[[#This Row],[1]:[20]])&lt;&gt;0,LOOKUP($Z26,BE$7:BE$22,BA$7:BA$22),"")</f>
        <v/>
      </c>
      <c r="AC26" s="73"/>
      <c r="AD26" s="74"/>
      <c r="AE26" s="75" t="str">
        <f>IF(OR(ISBLANK(Tabelle1[[#This Row],[Wörter]]),ISBLANK(Tabelle1[[#This Row],[Fehler]])),"",IFERROR(Tabelle1[[#This Row],[Fehler]]*100/Tabelle1[[#This Row],[Wörter]],0))</f>
        <v/>
      </c>
      <c r="AF26" s="76" t="str">
        <f>IF(Tabelle1[[#This Row],[%]]="","",IF(Tabelle1[[#This Row],[%]]&lt;3,0,IF(Tabelle1[[#This Row],[%]]&gt;=6,2,1)))</f>
        <v/>
      </c>
      <c r="AG26" s="52" t="str">
        <f>IF(Tabelle1[[#This Row],[Abzug]]="",IF(COUNT(Tabelle1[[#This Row],[1]:[20]])&lt;&gt;0,LOOKUP(Z26,BE$7:BE$22,BC$7:BC$22),""),IF(COUNT(Tabelle1[[#This Row],[1]:[20]])&lt;&gt;0,LOOKUP(Z26,BE$7:BE$22,BC$7:BC$22)-Tabelle1[[#This Row],[Abzug]],""))</f>
        <v/>
      </c>
    </row>
    <row r="27" spans="2:58" ht="15" customHeight="1" x14ac:dyDescent="0.4">
      <c r="B27" s="5">
        <v>25</v>
      </c>
      <c r="C27" s="36"/>
      <c r="D27" s="3" t="s">
        <v>2</v>
      </c>
      <c r="E27" s="10" t="s">
        <v>3</v>
      </c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51"/>
      <c r="Q27" s="52"/>
      <c r="R27" s="52"/>
      <c r="S27" s="52"/>
      <c r="T27" s="52"/>
      <c r="U27" s="52"/>
      <c r="V27" s="52"/>
      <c r="W27" s="52"/>
      <c r="X27" s="52"/>
      <c r="Y27" s="52"/>
      <c r="Z27" s="57" t="str">
        <f>IF(COUNT(Tabelle1[[#This Row],[1]:[20]])&lt;&gt;0,SUM(F27:Y27),"")</f>
        <v/>
      </c>
      <c r="AA27" s="58" t="str">
        <f>IF(COUNT(Tabelle1[[#This Row],[1]:[20]])&lt;&gt;0,LOOKUP($Z27,BE$7:BE$22,BB$7:BB$22),"")</f>
        <v/>
      </c>
      <c r="AB27" s="51" t="str">
        <f>IF(COUNT(Tabelle1[[#This Row],[1]:[20]])&lt;&gt;0,LOOKUP($Z27,BE$7:BE$22,BA$7:BA$22),"")</f>
        <v/>
      </c>
      <c r="AC27" s="73"/>
      <c r="AD27" s="74"/>
      <c r="AE27" s="75" t="str">
        <f>IF(OR(ISBLANK(Tabelle1[[#This Row],[Wörter]]),ISBLANK(Tabelle1[[#This Row],[Fehler]])),"",IFERROR(Tabelle1[[#This Row],[Fehler]]*100/Tabelle1[[#This Row],[Wörter]],0))</f>
        <v/>
      </c>
      <c r="AF27" s="76" t="str">
        <f>IF(Tabelle1[[#This Row],[%]]="","",IF(Tabelle1[[#This Row],[%]]&lt;3,0,IF(Tabelle1[[#This Row],[%]]&gt;=6,2,1)))</f>
        <v/>
      </c>
      <c r="AG27" s="52" t="str">
        <f>IF(Tabelle1[[#This Row],[Abzug]]="",IF(COUNT(Tabelle1[[#This Row],[1]:[20]])&lt;&gt;0,LOOKUP(Z27,BE$7:BE$22,BC$7:BC$22),""),IF(COUNT(Tabelle1[[#This Row],[1]:[20]])&lt;&gt;0,LOOKUP(Z27,BE$7:BE$22,BC$7:BC$22)-Tabelle1[[#This Row],[Abzug]],""))</f>
        <v/>
      </c>
    </row>
    <row r="28" spans="2:58" ht="15" customHeight="1" x14ac:dyDescent="0.4">
      <c r="B28" s="5">
        <v>26</v>
      </c>
      <c r="C28" s="36"/>
      <c r="D28" s="3" t="s">
        <v>2</v>
      </c>
      <c r="E28" s="10" t="s">
        <v>3</v>
      </c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51"/>
      <c r="Q28" s="52"/>
      <c r="R28" s="52"/>
      <c r="S28" s="52"/>
      <c r="T28" s="52"/>
      <c r="U28" s="52"/>
      <c r="V28" s="52"/>
      <c r="W28" s="52"/>
      <c r="X28" s="52"/>
      <c r="Y28" s="52"/>
      <c r="Z28" s="57" t="str">
        <f>IF(COUNT(Tabelle1[[#This Row],[1]:[20]])&lt;&gt;0,SUM(F28:Y28),"")</f>
        <v/>
      </c>
      <c r="AA28" s="58" t="str">
        <f>IF(COUNT(Tabelle1[[#This Row],[1]:[20]])&lt;&gt;0,LOOKUP($Z28,BE$7:BE$22,BB$7:BB$22),"")</f>
        <v/>
      </c>
      <c r="AB28" s="51" t="str">
        <f>IF(COUNT(Tabelle1[[#This Row],[1]:[20]])&lt;&gt;0,LOOKUP($Z28,BE$7:BE$22,BA$7:BA$22),"")</f>
        <v/>
      </c>
      <c r="AC28" s="73"/>
      <c r="AD28" s="74"/>
      <c r="AE28" s="75" t="str">
        <f>IF(OR(ISBLANK(Tabelle1[[#This Row],[Wörter]]),ISBLANK(Tabelle1[[#This Row],[Fehler]])),"",IFERROR(Tabelle1[[#This Row],[Fehler]]*100/Tabelle1[[#This Row],[Wörter]],0))</f>
        <v/>
      </c>
      <c r="AF28" s="76" t="str">
        <f>IF(Tabelle1[[#This Row],[%]]="","",IF(Tabelle1[[#This Row],[%]]&lt;3,0,IF(Tabelle1[[#This Row],[%]]&gt;=6,2,1)))</f>
        <v/>
      </c>
      <c r="AG28" s="52" t="str">
        <f>IF(Tabelle1[[#This Row],[Abzug]]="",IF(COUNT(Tabelle1[[#This Row],[1]:[20]])&lt;&gt;0,LOOKUP(Z28,BE$7:BE$22,BC$7:BC$22),""),IF(COUNT(Tabelle1[[#This Row],[1]:[20]])&lt;&gt;0,LOOKUP(Z28,BE$7:BE$22,BC$7:BC$22)-Tabelle1[[#This Row],[Abzug]],""))</f>
        <v/>
      </c>
    </row>
    <row r="29" spans="2:58" ht="15" customHeight="1" x14ac:dyDescent="0.4">
      <c r="B29" s="5">
        <v>27</v>
      </c>
      <c r="C29" s="36"/>
      <c r="D29" s="3" t="s">
        <v>2</v>
      </c>
      <c r="E29" s="10" t="s">
        <v>3</v>
      </c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51"/>
      <c r="Q29" s="52"/>
      <c r="R29" s="52"/>
      <c r="S29" s="52"/>
      <c r="T29" s="52"/>
      <c r="U29" s="52"/>
      <c r="V29" s="52"/>
      <c r="W29" s="52"/>
      <c r="X29" s="52"/>
      <c r="Y29" s="52"/>
      <c r="Z29" s="57" t="str">
        <f>IF(COUNT(Tabelle1[[#This Row],[1]:[20]])&lt;&gt;0,SUM(F29:Y29),"")</f>
        <v/>
      </c>
      <c r="AA29" s="58" t="str">
        <f>IF(COUNT(Tabelle1[[#This Row],[1]:[20]])&lt;&gt;0,LOOKUP($Z29,BE$7:BE$22,BB$7:BB$22),"")</f>
        <v/>
      </c>
      <c r="AB29" s="51" t="str">
        <f>IF(COUNT(Tabelle1[[#This Row],[1]:[20]])&lt;&gt;0,LOOKUP($Z29,BE$7:BE$22,BA$7:BA$22),"")</f>
        <v/>
      </c>
      <c r="AC29" s="73"/>
      <c r="AD29" s="74"/>
      <c r="AE29" s="75" t="str">
        <f>IF(OR(ISBLANK(Tabelle1[[#This Row],[Wörter]]),ISBLANK(Tabelle1[[#This Row],[Fehler]])),"",IFERROR(Tabelle1[[#This Row],[Fehler]]*100/Tabelle1[[#This Row],[Wörter]],0))</f>
        <v/>
      </c>
      <c r="AF29" s="76" t="str">
        <f>IF(Tabelle1[[#This Row],[%]]="","",IF(Tabelle1[[#This Row],[%]]&lt;3,0,IF(Tabelle1[[#This Row],[%]]&gt;=6,2,1)))</f>
        <v/>
      </c>
      <c r="AG29" s="52" t="str">
        <f>IF(Tabelle1[[#This Row],[Abzug]]="",IF(COUNT(Tabelle1[[#This Row],[1]:[20]])&lt;&gt;0,LOOKUP(Z29,BE$7:BE$22,BC$7:BC$22),""),IF(COUNT(Tabelle1[[#This Row],[1]:[20]])&lt;&gt;0,LOOKUP(Z29,BE$7:BE$22,BC$7:BC$22)-Tabelle1[[#This Row],[Abzug]],""))</f>
        <v/>
      </c>
    </row>
    <row r="30" spans="2:58" ht="15" customHeight="1" x14ac:dyDescent="0.4">
      <c r="B30" s="5">
        <v>28</v>
      </c>
      <c r="C30" s="36"/>
      <c r="D30" s="3" t="s">
        <v>2</v>
      </c>
      <c r="E30" s="10" t="s">
        <v>3</v>
      </c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51"/>
      <c r="Q30" s="52"/>
      <c r="R30" s="52"/>
      <c r="S30" s="52"/>
      <c r="T30" s="52"/>
      <c r="U30" s="52"/>
      <c r="V30" s="52"/>
      <c r="W30" s="52"/>
      <c r="X30" s="52"/>
      <c r="Y30" s="52"/>
      <c r="Z30" s="57" t="str">
        <f>IF(COUNT(Tabelle1[[#This Row],[1]:[20]])&lt;&gt;0,SUM(F30:Y30),"")</f>
        <v/>
      </c>
      <c r="AA30" s="58" t="str">
        <f>IF(COUNT(Tabelle1[[#This Row],[1]:[20]])&lt;&gt;0,LOOKUP($Z30,BE$7:BE$22,BB$7:BB$22),"")</f>
        <v/>
      </c>
      <c r="AB30" s="51" t="str">
        <f>IF(COUNT(Tabelle1[[#This Row],[1]:[20]])&lt;&gt;0,LOOKUP($Z30,BE$7:BE$22,BA$7:BA$22),"")</f>
        <v/>
      </c>
      <c r="AC30" s="73"/>
      <c r="AD30" s="74"/>
      <c r="AE30" s="75" t="str">
        <f>IF(OR(ISBLANK(Tabelle1[[#This Row],[Wörter]]),ISBLANK(Tabelle1[[#This Row],[Fehler]])),"",IFERROR(Tabelle1[[#This Row],[Fehler]]*100/Tabelle1[[#This Row],[Wörter]],0))</f>
        <v/>
      </c>
      <c r="AF30" s="76" t="str">
        <f>IF(Tabelle1[[#This Row],[%]]="","",IF(Tabelle1[[#This Row],[%]]&lt;3,0,IF(Tabelle1[[#This Row],[%]]&gt;=6,2,1)))</f>
        <v/>
      </c>
      <c r="AG30" s="52" t="str">
        <f>IF(Tabelle1[[#This Row],[Abzug]]="",IF(COUNT(Tabelle1[[#This Row],[1]:[20]])&lt;&gt;0,LOOKUP(Z30,BE$7:BE$22,BC$7:BC$22),""),IF(COUNT(Tabelle1[[#This Row],[1]:[20]])&lt;&gt;0,LOOKUP(Z30,BE$7:BE$22,BC$7:BC$22)-Tabelle1[[#This Row],[Abzug]],""))</f>
        <v/>
      </c>
    </row>
    <row r="31" spans="2:58" ht="15" customHeight="1" x14ac:dyDescent="0.4">
      <c r="B31" s="5">
        <v>29</v>
      </c>
      <c r="C31" s="36"/>
      <c r="D31" s="3" t="s">
        <v>2</v>
      </c>
      <c r="E31" s="10" t="s">
        <v>3</v>
      </c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51"/>
      <c r="Q31" s="52"/>
      <c r="R31" s="52"/>
      <c r="S31" s="52"/>
      <c r="T31" s="52"/>
      <c r="U31" s="52"/>
      <c r="V31" s="52"/>
      <c r="W31" s="52"/>
      <c r="X31" s="52"/>
      <c r="Y31" s="52"/>
      <c r="Z31" s="57" t="str">
        <f>IF(COUNT(Tabelle1[[#This Row],[1]:[20]])&lt;&gt;0,SUM(F31:Y31),"")</f>
        <v/>
      </c>
      <c r="AA31" s="58" t="str">
        <f>IF(COUNT(Tabelle1[[#This Row],[1]:[20]])&lt;&gt;0,LOOKUP($Z31,BE$7:BE$22,BB$7:BB$22),"")</f>
        <v/>
      </c>
      <c r="AB31" s="51" t="str">
        <f>IF(COUNT(Tabelle1[[#This Row],[1]:[20]])&lt;&gt;0,LOOKUP($Z31,BE$7:BE$22,BA$7:BA$22),"")</f>
        <v/>
      </c>
      <c r="AC31" s="73"/>
      <c r="AD31" s="74"/>
      <c r="AE31" s="75" t="str">
        <f>IF(OR(ISBLANK(Tabelle1[[#This Row],[Wörter]]),ISBLANK(Tabelle1[[#This Row],[Fehler]])),"",IFERROR(Tabelle1[[#This Row],[Fehler]]*100/Tabelle1[[#This Row],[Wörter]],0))</f>
        <v/>
      </c>
      <c r="AF31" s="76" t="str">
        <f>IF(Tabelle1[[#This Row],[%]]="","",IF(Tabelle1[[#This Row],[%]]&lt;3,0,IF(Tabelle1[[#This Row],[%]]&gt;=6,2,1)))</f>
        <v/>
      </c>
      <c r="AG31" s="52" t="str">
        <f>IF(Tabelle1[[#This Row],[Abzug]]="",IF(COUNT(Tabelle1[[#This Row],[1]:[20]])&lt;&gt;0,LOOKUP(Z31,BE$7:BE$22,BC$7:BC$22),""),IF(COUNT(Tabelle1[[#This Row],[1]:[20]])&lt;&gt;0,LOOKUP(Z31,BE$7:BE$22,BC$7:BC$22)-Tabelle1[[#This Row],[Abzug]],""))</f>
        <v/>
      </c>
    </row>
    <row r="32" spans="2:58" ht="15" customHeight="1" x14ac:dyDescent="0.4">
      <c r="B32" s="5">
        <v>30</v>
      </c>
      <c r="C32" s="36"/>
      <c r="D32" s="3" t="s">
        <v>2</v>
      </c>
      <c r="E32" s="10" t="s">
        <v>3</v>
      </c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51"/>
      <c r="Q32" s="52"/>
      <c r="R32" s="52"/>
      <c r="S32" s="52"/>
      <c r="T32" s="52"/>
      <c r="U32" s="52"/>
      <c r="V32" s="52"/>
      <c r="W32" s="52"/>
      <c r="X32" s="52"/>
      <c r="Y32" s="52"/>
      <c r="Z32" s="57" t="str">
        <f>IF(COUNT(Tabelle1[[#This Row],[1]:[20]])&lt;&gt;0,SUM(F32:Y32),"")</f>
        <v/>
      </c>
      <c r="AA32" s="58" t="str">
        <f>IF(COUNT(Tabelle1[[#This Row],[1]:[20]])&lt;&gt;0,LOOKUP($Z32,BE$7:BE$22,BB$7:BB$22),"")</f>
        <v/>
      </c>
      <c r="AB32" s="51" t="str">
        <f>IF(COUNT(Tabelle1[[#This Row],[1]:[20]])&lt;&gt;0,LOOKUP($Z32,BE$7:BE$22,BA$7:BA$22),"")</f>
        <v/>
      </c>
      <c r="AC32" s="73"/>
      <c r="AD32" s="74"/>
      <c r="AE32" s="75" t="str">
        <f>IF(OR(ISBLANK(Tabelle1[[#This Row],[Wörter]]),ISBLANK(Tabelle1[[#This Row],[Fehler]])),"",IFERROR(Tabelle1[[#This Row],[Fehler]]*100/Tabelle1[[#This Row],[Wörter]],0))</f>
        <v/>
      </c>
      <c r="AF32" s="76" t="str">
        <f>IF(Tabelle1[[#This Row],[%]]="","",IF(Tabelle1[[#This Row],[%]]&lt;3,0,IF(Tabelle1[[#This Row],[%]]&gt;=6,2,1)))</f>
        <v/>
      </c>
      <c r="AG32" s="52" t="str">
        <f>IF(Tabelle1[[#This Row],[Abzug]]="",IF(COUNT(Tabelle1[[#This Row],[1]:[20]])&lt;&gt;0,LOOKUP(Z32,BE$7:BE$22,BC$7:BC$22),""),IF(COUNT(Tabelle1[[#This Row],[1]:[20]])&lt;&gt;0,LOOKUP(Z32,BE$7:BE$22,BC$7:BC$22)-Tabelle1[[#This Row],[Abzug]],""))</f>
        <v/>
      </c>
    </row>
    <row r="33" spans="2:33" ht="15" customHeight="1" x14ac:dyDescent="0.4">
      <c r="B33" s="5">
        <v>31</v>
      </c>
      <c r="C33" s="36"/>
      <c r="D33" s="3" t="s">
        <v>2</v>
      </c>
      <c r="E33" s="10" t="s">
        <v>3</v>
      </c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51"/>
      <c r="Q33" s="52"/>
      <c r="R33" s="52"/>
      <c r="S33" s="52"/>
      <c r="T33" s="52"/>
      <c r="U33" s="52"/>
      <c r="V33" s="52"/>
      <c r="W33" s="52"/>
      <c r="X33" s="52"/>
      <c r="Y33" s="52"/>
      <c r="Z33" s="57" t="str">
        <f>IF(COUNT(Tabelle1[[#This Row],[1]:[20]])&lt;&gt;0,SUM(F33:Y33),"")</f>
        <v/>
      </c>
      <c r="AA33" s="58" t="str">
        <f>IF(COUNT(Tabelle1[[#This Row],[1]:[20]])&lt;&gt;0,LOOKUP($Z33,BE$7:BE$22,BB$7:BB$22),"")</f>
        <v/>
      </c>
      <c r="AB33" s="51" t="str">
        <f>IF(COUNT(Tabelle1[[#This Row],[1]:[20]])&lt;&gt;0,LOOKUP($Z33,BE$7:BE$22,BA$7:BA$22),"")</f>
        <v/>
      </c>
      <c r="AC33" s="73"/>
      <c r="AD33" s="74"/>
      <c r="AE33" s="75" t="str">
        <f>IF(OR(ISBLANK(Tabelle1[[#This Row],[Wörter]]),ISBLANK(Tabelle1[[#This Row],[Fehler]])),"",IFERROR(Tabelle1[[#This Row],[Fehler]]*100/Tabelle1[[#This Row],[Wörter]],0))</f>
        <v/>
      </c>
      <c r="AF33" s="76" t="str">
        <f>IF(Tabelle1[[#This Row],[%]]="","",IF(Tabelle1[[#This Row],[%]]&lt;3,0,IF(Tabelle1[[#This Row],[%]]&gt;=6,2,1)))</f>
        <v/>
      </c>
      <c r="AG33" s="52" t="str">
        <f>IF(Tabelle1[[#This Row],[Abzug]]="",IF(COUNT(Tabelle1[[#This Row],[1]:[20]])&lt;&gt;0,LOOKUP(Z33,BE$7:BE$22,BC$7:BC$22),""),IF(COUNT(Tabelle1[[#This Row],[1]:[20]])&lt;&gt;0,LOOKUP(Z33,BE$7:BE$22,BC$7:BC$22)-Tabelle1[[#This Row],[Abzug]],""))</f>
        <v/>
      </c>
    </row>
    <row r="34" spans="2:33" ht="15" customHeight="1" thickBot="1" x14ac:dyDescent="0.45">
      <c r="B34" s="5">
        <v>32</v>
      </c>
      <c r="C34" s="36"/>
      <c r="D34" s="17" t="s">
        <v>2</v>
      </c>
      <c r="E34" s="18" t="s">
        <v>3</v>
      </c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53"/>
      <c r="Q34" s="54"/>
      <c r="R34" s="54"/>
      <c r="S34" s="54"/>
      <c r="T34" s="54"/>
      <c r="U34" s="54"/>
      <c r="V34" s="54"/>
      <c r="W34" s="54"/>
      <c r="X34" s="54"/>
      <c r="Y34" s="54"/>
      <c r="Z34" s="57" t="str">
        <f>IF(COUNT(Tabelle1[[#This Row],[1]:[20]])&lt;&gt;0,SUM(F34:Y34),"")</f>
        <v/>
      </c>
      <c r="AA34" s="58" t="str">
        <f>IF(COUNT(Tabelle1[[#This Row],[1]:[20]])&lt;&gt;0,LOOKUP($Z34,BE$7:BE$22,BB$7:BB$22),"")</f>
        <v/>
      </c>
      <c r="AB34" s="51" t="str">
        <f>IF(COUNT(Tabelle1[[#This Row],[1]:[20]])&lt;&gt;0,LOOKUP($Z34,BE$7:BE$22,BA$7:BA$22),"")</f>
        <v/>
      </c>
      <c r="AC34" s="73"/>
      <c r="AD34" s="77"/>
      <c r="AE34" s="75" t="str">
        <f>IF(OR(ISBLANK(Tabelle1[[#This Row],[Wörter]]),ISBLANK(Tabelle1[[#This Row],[Fehler]])),"",IFERROR(Tabelle1[[#This Row],[Fehler]]*100/Tabelle1[[#This Row],[Wörter]],0))</f>
        <v/>
      </c>
      <c r="AF34" s="76" t="str">
        <f>IF(Tabelle1[[#This Row],[%]]="","",IF(Tabelle1[[#This Row],[%]]&lt;3,0,IF(Tabelle1[[#This Row],[%]]&gt;=6,2,1)))</f>
        <v/>
      </c>
      <c r="AG34" s="52" t="str">
        <f>IF(Tabelle1[[#This Row],[Abzug]]="",IF(COUNT(Tabelle1[[#This Row],[1]:[20]])&lt;&gt;0,LOOKUP(Z34,BE$7:BE$22,BC$7:BC$22),""),IF(COUNT(Tabelle1[[#This Row],[1]:[20]])&lt;&gt;0,LOOKUP(Z34,BE$7:BE$22,BC$7:BC$22)-Tabelle1[[#This Row],[Abzug]],""))</f>
        <v/>
      </c>
    </row>
    <row r="35" spans="2:33" ht="15" customHeight="1" x14ac:dyDescent="0.4">
      <c r="E35" s="40" t="s">
        <v>34</v>
      </c>
      <c r="F35" s="68" t="str">
        <f>IF(COUNT(Tabelle1[1])&lt;&gt;0,SUM(F3:F34)/COUNT(F3:F34),"")</f>
        <v/>
      </c>
      <c r="G35" s="55" t="str">
        <f>IF(COUNT(Tabelle1[2])&lt;&gt;0,SUM(G3:G34)/COUNT(G3:G34),"")</f>
        <v/>
      </c>
      <c r="H35" s="55" t="str">
        <f>IF(COUNT(Tabelle1[3])&lt;&gt;0,SUM(H3:H34)/COUNT(H3:H34),"")</f>
        <v/>
      </c>
      <c r="I35" s="55" t="str">
        <f>IF(COUNT(Tabelle1[4])&lt;&gt;0,SUM(I3:I34)/COUNT(I3:I34),"")</f>
        <v/>
      </c>
      <c r="J35" s="55" t="str">
        <f>IF(COUNT(Tabelle1[5])&lt;&gt;0,SUM(J3:J34)/COUNT(J3:J34),"")</f>
        <v/>
      </c>
      <c r="K35" s="55" t="str">
        <f>IF(COUNT(Tabelle1[6])&lt;&gt;0,SUM(K3:K34)/COUNT(K3:K34),"")</f>
        <v/>
      </c>
      <c r="L35" s="55" t="str">
        <f>IF(COUNT(Tabelle1[7])&lt;&gt;0,SUM(L3:L34)/COUNT(L3:L34),"")</f>
        <v/>
      </c>
      <c r="M35" s="55" t="str">
        <f>IF(COUNT(Tabelle1[8])&lt;&gt;0,SUM(M3:M34)/COUNT(M3:M34),"")</f>
        <v/>
      </c>
      <c r="N35" s="55" t="str">
        <f>IF(COUNT(Tabelle1[9])&lt;&gt;0,SUM(N3:N34)/COUNT(N3:N34),"")</f>
        <v/>
      </c>
      <c r="O35" s="55" t="str">
        <f>IF(COUNT(Tabelle1[10])&lt;&gt;0,SUM(O3:O34)/COUNT(O3:O34),"")</f>
        <v/>
      </c>
      <c r="P35" s="55" t="str">
        <f>IF(COUNT(Tabelle1[11])&lt;&gt;0,SUM(P3:P34)/COUNT(P3:P34),"")</f>
        <v/>
      </c>
      <c r="Q35" s="55" t="str">
        <f>IF(COUNT(Tabelle1[12])&lt;&gt;0,SUM(Q3:Q34)/COUNT(Q3:Q34),"")</f>
        <v/>
      </c>
      <c r="R35" s="55" t="str">
        <f>IF(COUNT(Tabelle1[13])&lt;&gt;0,SUM(R3:R34)/COUNT(R3:R34),"")</f>
        <v/>
      </c>
      <c r="S35" s="55" t="str">
        <f>IF(COUNT(Tabelle1[14])&lt;&gt;0,SUM(S3:S34)/COUNT(S3:S34),"")</f>
        <v/>
      </c>
      <c r="T35" s="55" t="str">
        <f>IF(COUNT(Tabelle1[15])&lt;&gt;0,SUM(T3:T34)/COUNT(T3:T34),"")</f>
        <v/>
      </c>
      <c r="U35" s="55" t="str">
        <f>IF(COUNT(Tabelle1[16])&lt;&gt;0,SUM(U3:U34)/COUNT(U3:U34),"")</f>
        <v/>
      </c>
      <c r="V35" s="55" t="str">
        <f>IF(COUNT(Tabelle1[17])&lt;&gt;0,SUM(V3:V34)/COUNT(V3:V34),"")</f>
        <v/>
      </c>
      <c r="W35" s="55" t="str">
        <f>IF(COUNT(Tabelle1[18])&lt;&gt;0,SUM(W3:W34)/COUNT(W3:W34),"")</f>
        <v/>
      </c>
      <c r="X35" s="55" t="str">
        <f>IF(COUNT(Tabelle1[19])&lt;&gt;0,SUM(X3:X34)/COUNT(X3:X34),"")</f>
        <v/>
      </c>
      <c r="Y35" s="55" t="str">
        <f>IF(COUNT(Tabelle1[20])&lt;&gt;0,SUM(Y3:Y34)/COUNT(Y3:Y34),"")</f>
        <v/>
      </c>
      <c r="Z35" s="63" t="str">
        <f>IF(COUNT(Tabelle1[∑])&lt;&gt;0,SUM(Z3:Z34)/COUNT(Z3:Z34),"")</f>
        <v/>
      </c>
      <c r="AA35" s="64" t="str">
        <f>IF(COUNT(Tabelle1[Note])&lt;&gt;0,SUM(AA3:AA34)/COUNT(Z3:Z34),"")</f>
        <v/>
      </c>
      <c r="AB35" s="65" t="str">
        <f>IF(Z35="","",LOOKUP(Z35,BE$7:BE$22,BA$7:BA$22))</f>
        <v/>
      </c>
      <c r="AC35" s="81" t="str">
        <f>IF(COUNT(Tabelle1[Wörter])&lt;&gt;0,SUM(AC3:AC34)/COUNT(AC3:AC34),"")</f>
        <v/>
      </c>
      <c r="AD35" s="78" t="str">
        <f>IF(COUNT(Tabelle1[Fehler])&lt;&gt;0,SUM(AD3:AD34)/COUNT(AD3:AD34),"")</f>
        <v/>
      </c>
      <c r="AE35" s="78" t="str">
        <f>IF(COUNT(Tabelle1[%])&lt;&gt;0,SUM(AE3:AE34)/COUNT(AE3:AE34),"")</f>
        <v/>
      </c>
      <c r="AF35" s="78" t="str">
        <f>IF(COUNT(Tabelle1[Abzug])&lt;&gt;0,SUM(AF3:AF34)/COUNT(AF3:AF34),"")</f>
        <v/>
      </c>
      <c r="AG35" s="66" t="str">
        <f>IF(Z35="","",LOOKUP(Z35,BE$7:BE$22,BC$7:BC$22))</f>
        <v/>
      </c>
    </row>
    <row r="36" spans="2:33" x14ac:dyDescent="0.4">
      <c r="E36" s="41" t="s">
        <v>35</v>
      </c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79"/>
      <c r="S36" s="79"/>
      <c r="T36" s="56"/>
      <c r="U36" s="79"/>
      <c r="V36" s="79"/>
      <c r="W36" s="79"/>
      <c r="X36" s="79"/>
      <c r="Y36" s="72"/>
    </row>
    <row r="37" spans="2:33" x14ac:dyDescent="0.4">
      <c r="E37" s="41" t="s">
        <v>43</v>
      </c>
      <c r="F37" s="67" t="str">
        <f>IFERROR(IF(F36="","",F35/F36),"")</f>
        <v/>
      </c>
      <c r="G37" s="67" t="str">
        <f t="shared" ref="G37:Y37" si="3">IFERROR(IF(G36="","",G35/G36),"")</f>
        <v/>
      </c>
      <c r="H37" s="67" t="str">
        <f t="shared" si="3"/>
        <v/>
      </c>
      <c r="I37" s="67" t="str">
        <f t="shared" si="3"/>
        <v/>
      </c>
      <c r="J37" s="67" t="str">
        <f t="shared" si="3"/>
        <v/>
      </c>
      <c r="K37" s="67" t="str">
        <f t="shared" si="3"/>
        <v/>
      </c>
      <c r="L37" s="67" t="str">
        <f t="shared" si="3"/>
        <v/>
      </c>
      <c r="M37" s="67" t="str">
        <f t="shared" si="3"/>
        <v/>
      </c>
      <c r="N37" s="67" t="str">
        <f t="shared" si="3"/>
        <v/>
      </c>
      <c r="O37" s="67" t="str">
        <f t="shared" si="3"/>
        <v/>
      </c>
      <c r="P37" s="67" t="str">
        <f t="shared" si="3"/>
        <v/>
      </c>
      <c r="Q37" s="67" t="str">
        <f t="shared" si="3"/>
        <v/>
      </c>
      <c r="R37" s="67" t="str">
        <f t="shared" si="3"/>
        <v/>
      </c>
      <c r="S37" s="67" t="str">
        <f t="shared" si="3"/>
        <v/>
      </c>
      <c r="T37" s="67" t="str">
        <f t="shared" si="3"/>
        <v/>
      </c>
      <c r="U37" s="67" t="str">
        <f t="shared" si="3"/>
        <v/>
      </c>
      <c r="V37" s="67" t="str">
        <f t="shared" si="3"/>
        <v/>
      </c>
      <c r="W37" s="67" t="str">
        <f t="shared" si="3"/>
        <v/>
      </c>
      <c r="X37" s="67" t="str">
        <f t="shared" si="3"/>
        <v/>
      </c>
      <c r="Y37" s="67" t="str">
        <f t="shared" si="3"/>
        <v/>
      </c>
    </row>
  </sheetData>
  <sheetProtection selectLockedCells="1"/>
  <protectedRanges>
    <protectedRange algorithmName="SHA-512" hashValue="CG8R49mzry0oeUssIgLioCmAfWZYfx6jjiNS9Hc6m2tiZmXcoBRNqHWAbdtxLZdZNHt+mBDFgn1hMgiJCbtu8Q==" saltValue="AULoJSfSAb1HJqlAhZwMgA==" spinCount="100000" sqref="F36:Y36" name="Bereich3"/>
    <protectedRange algorithmName="SHA-512" hashValue="1WhZz+bx1wBdD1ZxHtieRw/lGjYc20FhoEhtyh2jN0nvKx0Vo7w12lPcyA2fJv8IQfBRaYDFRfuBPestT2xlMA==" saltValue="FqFt2gL0Bz0cPq28Zs1OLw==" spinCount="100000" sqref="AE3:AE34 D3:Y34" name="Bereich1"/>
    <protectedRange algorithmName="SHA-512" hashValue="R71bPYhKMTUJxdaR6TIZVXLwAfmREDhCMb7fi3bAlspJIiUDKNMobNZU8478bYOsk6XS1phKgtz34OPn1umPvw==" saltValue="EnhFULf2XoZtf6S0KFDzTw==" spinCount="100000" sqref="BD7:BD22" name="Bereich2"/>
  </protectedRanges>
  <mergeCells count="6">
    <mergeCell ref="AQ8:AY8"/>
    <mergeCell ref="BB4:BD4"/>
    <mergeCell ref="AI6:AN6"/>
    <mergeCell ref="AI2:AX2"/>
    <mergeCell ref="AQ6:AY6"/>
    <mergeCell ref="AQ7:AY7"/>
  </mergeCells>
  <phoneticPr fontId="6" type="noConversion"/>
  <conditionalFormatting sqref="C3:C34">
    <cfRule type="cellIs" dxfId="47" priority="24" operator="equal">
      <formula>0</formula>
    </cfRule>
  </conditionalFormatting>
  <conditionalFormatting sqref="D3:D34">
    <cfRule type="expression" dxfId="46" priority="26">
      <formula>$D3="Nachname"</formula>
    </cfRule>
  </conditionalFormatting>
  <conditionalFormatting sqref="E3:E34">
    <cfRule type="expression" dxfId="45" priority="25">
      <formula>$E3="Vorname"</formula>
    </cfRule>
  </conditionalFormatting>
  <conditionalFormatting sqref="F3:Y34">
    <cfRule type="expression" dxfId="44" priority="21">
      <formula>F3&gt;F$36</formula>
    </cfRule>
    <cfRule type="expression" dxfId="43" priority="22">
      <formula>F3=F$36</formula>
    </cfRule>
    <cfRule type="expression" dxfId="42" priority="27">
      <formula>AND($D3="Nachname",$E3="Vorname")</formula>
    </cfRule>
    <cfRule type="expression" dxfId="41" priority="28">
      <formula>AND(COUNT($F3:$Y3)&lt;&gt;0,F3="")</formula>
    </cfRule>
    <cfRule type="expression" dxfId="40" priority="35">
      <formula>NOT(ISNUMBER(F3))</formula>
    </cfRule>
    <cfRule type="expression" dxfId="24" priority="39">
      <formula>F3=0</formula>
    </cfRule>
  </conditionalFormatting>
  <conditionalFormatting sqref="F36:Y36">
    <cfRule type="cellIs" dxfId="39" priority="29" operator="equal">
      <formula>0</formula>
    </cfRule>
  </conditionalFormatting>
  <conditionalFormatting sqref="F37:Y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3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D34 AF3:AF34">
    <cfRule type="expression" dxfId="38" priority="7">
      <formula>AC3&lt;&gt;""</formula>
    </cfRule>
    <cfRule type="expression" dxfId="37" priority="8">
      <formula>AND($D3="Nachname",$E3="Vorname")</formula>
    </cfRule>
    <cfRule type="expression" dxfId="36" priority="9">
      <formula>NOT(ISNUMBER(AC3))</formula>
    </cfRule>
  </conditionalFormatting>
  <conditionalFormatting sqref="AE3:AE34">
    <cfRule type="expression" dxfId="35" priority="1">
      <formula>AE3&lt;&gt;""</formula>
    </cfRule>
    <cfRule type="expression" dxfId="34" priority="2">
      <formula>AND($D3="Nachname",$E3="Vorname")</formula>
    </cfRule>
    <cfRule type="expression" dxfId="33" priority="3">
      <formula>NOT(ISNUMBER(AE3))</formula>
    </cfRule>
  </conditionalFormatting>
  <conditionalFormatting sqref="AF3:AF34">
    <cfRule type="expression" dxfId="32" priority="4">
      <formula>AF3=2</formula>
    </cfRule>
    <cfRule type="expression" dxfId="31" priority="5">
      <formula>AF3=1</formula>
    </cfRule>
    <cfRule type="expression" dxfId="30" priority="6">
      <formula>AF3=0</formula>
    </cfRule>
  </conditionalFormatting>
  <conditionalFormatting sqref="AI2">
    <cfRule type="expression" dxfId="29" priority="18">
      <formula>$AQ$8&gt;1/2</formula>
    </cfRule>
  </conditionalFormatting>
  <conditionalFormatting sqref="AI6">
    <cfRule type="expression" dxfId="28" priority="17">
      <formula>$AQ$8&gt;1/3</formula>
    </cfRule>
  </conditionalFormatting>
  <conditionalFormatting sqref="AI7:AO8">
    <cfRule type="expression" dxfId="27" priority="20">
      <formula>$AQ$8&gt;1/3</formula>
    </cfRule>
  </conditionalFormatting>
  <conditionalFormatting sqref="AI3:AY4">
    <cfRule type="expression" dxfId="26" priority="19">
      <formula>$AQ$8&gt;1/2</formula>
    </cfRule>
  </conditionalFormatting>
  <conditionalFormatting sqref="BA4">
    <cfRule type="expression" dxfId="25" priority="30">
      <formula>$BA$4&lt;&gt;0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AA3:AB3 AG3" calculatedColumn="1"/>
    <ignoredError sqref="Z3:Z5 Z6:Z34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A472-519B-4858-A2B0-A489C02BAE12}">
  <sheetPr>
    <tabColor theme="6" tint="0.59999389629810485"/>
  </sheetPr>
  <dimension ref="B1:E15"/>
  <sheetViews>
    <sheetView zoomScaleNormal="100" workbookViewId="0">
      <selection activeCell="B2" sqref="B2"/>
    </sheetView>
  </sheetViews>
  <sheetFormatPr baseColWidth="10" defaultRowHeight="14.6" x14ac:dyDescent="0.4"/>
  <cols>
    <col min="1" max="1" width="2.69140625" customWidth="1"/>
    <col min="2" max="2" width="13.3046875" customWidth="1"/>
    <col min="3" max="3" width="16.4609375" customWidth="1"/>
    <col min="4" max="4" width="22.07421875" customWidth="1"/>
    <col min="5" max="5" width="11.69140625" customWidth="1"/>
  </cols>
  <sheetData>
    <row r="1" spans="2:5" ht="15" customHeight="1" x14ac:dyDescent="0.4"/>
    <row r="2" spans="2:5" ht="17.05" customHeight="1" x14ac:dyDescent="0.4">
      <c r="B2" s="91" t="s">
        <v>38</v>
      </c>
      <c r="C2" s="92" t="s">
        <v>39</v>
      </c>
      <c r="D2" s="92" t="s">
        <v>40</v>
      </c>
      <c r="E2" s="93" t="s">
        <v>45</v>
      </c>
    </row>
    <row r="3" spans="2:5" ht="17.05" customHeight="1" x14ac:dyDescent="0.4">
      <c r="B3" s="82" t="str">
        <f>Tabelle1[[#Headers],[1]]</f>
        <v>1</v>
      </c>
      <c r="C3" s="83">
        <f>Bewertungsbogen!F$36</f>
        <v>0</v>
      </c>
      <c r="D3" s="84" t="str">
        <f>Bewertungsbogen!F35</f>
        <v/>
      </c>
      <c r="E3" s="85" t="str">
        <f>Bewertungsbogen!F37</f>
        <v/>
      </c>
    </row>
    <row r="4" spans="2:5" ht="17.05" customHeight="1" x14ac:dyDescent="0.4">
      <c r="B4" s="82" t="str">
        <f>Tabelle1[[#Headers],[2]]</f>
        <v>2</v>
      </c>
      <c r="C4" s="83">
        <f>Bewertungsbogen!G$36</f>
        <v>0</v>
      </c>
      <c r="D4" s="84" t="str">
        <f>Bewertungsbogen!G35</f>
        <v/>
      </c>
      <c r="E4" s="85" t="str">
        <f>Bewertungsbogen!G37</f>
        <v/>
      </c>
    </row>
    <row r="5" spans="2:5" ht="17.05" customHeight="1" x14ac:dyDescent="0.4">
      <c r="B5" s="82" t="str">
        <f>Tabelle1[[#Headers],[3]]</f>
        <v>3</v>
      </c>
      <c r="C5" s="83">
        <f>Bewertungsbogen!H$36</f>
        <v>0</v>
      </c>
      <c r="D5" s="84" t="str">
        <f>Bewertungsbogen!H35</f>
        <v/>
      </c>
      <c r="E5" s="85" t="str">
        <f>Bewertungsbogen!H37</f>
        <v/>
      </c>
    </row>
    <row r="6" spans="2:5" ht="17.05" customHeight="1" x14ac:dyDescent="0.4">
      <c r="B6" s="82" t="str">
        <f>Tabelle1[[#Headers],[4]]</f>
        <v>4</v>
      </c>
      <c r="C6" s="83">
        <f>Bewertungsbogen!I$36</f>
        <v>0</v>
      </c>
      <c r="D6" s="84" t="str">
        <f>Bewertungsbogen!I35</f>
        <v/>
      </c>
      <c r="E6" s="85" t="str">
        <f>Bewertungsbogen!I37</f>
        <v/>
      </c>
    </row>
    <row r="7" spans="2:5" ht="17.05" customHeight="1" x14ac:dyDescent="0.4">
      <c r="B7" s="82" t="str">
        <f>Tabelle1[[#Headers],[5]]</f>
        <v>5</v>
      </c>
      <c r="C7" s="83">
        <f>Bewertungsbogen!J$36</f>
        <v>0</v>
      </c>
      <c r="D7" s="84" t="str">
        <f>Bewertungsbogen!J35</f>
        <v/>
      </c>
      <c r="E7" s="85" t="str">
        <f>Bewertungsbogen!J37</f>
        <v/>
      </c>
    </row>
    <row r="8" spans="2:5" ht="17.05" customHeight="1" x14ac:dyDescent="0.4">
      <c r="B8" s="82" t="str">
        <f>Tabelle1[[#Headers],[6]]</f>
        <v>6</v>
      </c>
      <c r="C8" s="83">
        <f>Bewertungsbogen!K$36</f>
        <v>0</v>
      </c>
      <c r="D8" s="84" t="str">
        <f>Bewertungsbogen!K35</f>
        <v/>
      </c>
      <c r="E8" s="85" t="str">
        <f>Bewertungsbogen!K37</f>
        <v/>
      </c>
    </row>
    <row r="9" spans="2:5" ht="17.05" customHeight="1" x14ac:dyDescent="0.4">
      <c r="B9" s="82" t="str">
        <f>Tabelle1[[#Headers],[7]]</f>
        <v>7</v>
      </c>
      <c r="C9" s="83">
        <f>Bewertungsbogen!L$36</f>
        <v>0</v>
      </c>
      <c r="D9" s="84" t="str">
        <f>Bewertungsbogen!L35</f>
        <v/>
      </c>
      <c r="E9" s="85" t="str">
        <f>Bewertungsbogen!L37</f>
        <v/>
      </c>
    </row>
    <row r="10" spans="2:5" ht="17.05" customHeight="1" x14ac:dyDescent="0.4">
      <c r="B10" s="82" t="str">
        <f>Tabelle1[[#Headers],[8]]</f>
        <v>8</v>
      </c>
      <c r="C10" s="83">
        <f>Bewertungsbogen!M$36</f>
        <v>0</v>
      </c>
      <c r="D10" s="84" t="str">
        <f>Bewertungsbogen!M35</f>
        <v/>
      </c>
      <c r="E10" s="85" t="str">
        <f>Bewertungsbogen!M37</f>
        <v/>
      </c>
    </row>
    <row r="11" spans="2:5" ht="17.05" customHeight="1" x14ac:dyDescent="0.4">
      <c r="B11" s="82" t="str">
        <f>Tabelle1[[#Headers],[9]]</f>
        <v>9</v>
      </c>
      <c r="C11" s="83">
        <f>Bewertungsbogen!N$36</f>
        <v>0</v>
      </c>
      <c r="D11" s="84" t="str">
        <f>Bewertungsbogen!N35</f>
        <v/>
      </c>
      <c r="E11" s="85" t="str">
        <f>Bewertungsbogen!N37</f>
        <v/>
      </c>
    </row>
    <row r="12" spans="2:5" ht="17.05" customHeight="1" x14ac:dyDescent="0.4">
      <c r="B12" s="82" t="str">
        <f>Tabelle1[[#Headers],[10]]</f>
        <v>10</v>
      </c>
      <c r="C12" s="83">
        <f>Bewertungsbogen!O$36</f>
        <v>0</v>
      </c>
      <c r="D12" s="84" t="str">
        <f>Bewertungsbogen!O35</f>
        <v/>
      </c>
      <c r="E12" s="85" t="str">
        <f>Bewertungsbogen!O37</f>
        <v/>
      </c>
    </row>
    <row r="13" spans="2:5" ht="17.05" customHeight="1" x14ac:dyDescent="0.4">
      <c r="B13" s="82" t="str">
        <f>Tabelle1[[#Headers],[11]]</f>
        <v>11</v>
      </c>
      <c r="C13" s="83">
        <f>Bewertungsbogen!P$36</f>
        <v>0</v>
      </c>
      <c r="D13" s="84" t="str">
        <f>Bewertungsbogen!P35</f>
        <v/>
      </c>
      <c r="E13" s="85" t="str">
        <f>Bewertungsbogen!P37</f>
        <v/>
      </c>
    </row>
    <row r="14" spans="2:5" ht="17.05" customHeight="1" x14ac:dyDescent="0.4">
      <c r="B14" s="86" t="str">
        <f>Tabelle1[[#Headers],[12]]</f>
        <v>12</v>
      </c>
      <c r="C14" s="83">
        <f>Bewertungsbogen!Q$36</f>
        <v>0</v>
      </c>
      <c r="D14" s="84" t="str">
        <f>Bewertungsbogen!Q35</f>
        <v/>
      </c>
      <c r="E14" s="85" t="str">
        <f>Bewertungsbogen!Q37</f>
        <v/>
      </c>
    </row>
    <row r="15" spans="2:5" ht="17.05" customHeight="1" x14ac:dyDescent="0.4">
      <c r="B15" s="87" t="str">
        <f>Tabelle1[[#Headers],[20]]</f>
        <v>20</v>
      </c>
      <c r="C15" s="88">
        <f>Bewertungsbogen!Y$36</f>
        <v>0</v>
      </c>
      <c r="D15" s="89" t="str">
        <f>Bewertungsbogen!Y35</f>
        <v/>
      </c>
      <c r="E15" s="90" t="str">
        <f>Bewertungsbogen!Y37</f>
        <v/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D8F6-58D3-4EAA-9D78-7CEC67C9A332}">
  <sheetPr>
    <tabColor theme="8" tint="0.59999389629810485"/>
  </sheetPr>
  <dimension ref="B1:D5"/>
  <sheetViews>
    <sheetView showGridLines="0" workbookViewId="0">
      <selection activeCell="D13" sqref="D13"/>
    </sheetView>
  </sheetViews>
  <sheetFormatPr baseColWidth="10" defaultRowHeight="14.6" x14ac:dyDescent="0.4"/>
  <cols>
    <col min="1" max="1" width="7.69140625" style="94" customWidth="1"/>
    <col min="2" max="3" width="11.07421875" style="94"/>
    <col min="4" max="4" width="141.61328125" style="94" customWidth="1"/>
    <col min="5" max="16384" width="11.07421875" style="94"/>
  </cols>
  <sheetData>
    <row r="1" spans="2:4" ht="119.6" customHeight="1" x14ac:dyDescent="0.4"/>
    <row r="2" spans="2:4" x14ac:dyDescent="0.4">
      <c r="B2" s="94" t="s">
        <v>58</v>
      </c>
      <c r="C2" s="94" t="s">
        <v>59</v>
      </c>
      <c r="D2" s="94" t="s">
        <v>60</v>
      </c>
    </row>
    <row r="3" spans="2:4" ht="58.3" x14ac:dyDescent="0.4">
      <c r="B3" s="95">
        <v>45008</v>
      </c>
      <c r="C3" s="96" t="s">
        <v>62</v>
      </c>
      <c r="D3" s="94" t="s">
        <v>66</v>
      </c>
    </row>
    <row r="4" spans="2:4" ht="29.15" x14ac:dyDescent="0.4">
      <c r="B4" s="95">
        <v>44681</v>
      </c>
      <c r="C4" s="96" t="s">
        <v>61</v>
      </c>
      <c r="D4" s="94" t="s">
        <v>65</v>
      </c>
    </row>
    <row r="5" spans="2:4" x14ac:dyDescent="0.4">
      <c r="B5" s="95">
        <v>44344</v>
      </c>
      <c r="C5" s="96" t="s">
        <v>63</v>
      </c>
      <c r="D5" s="94" t="s">
        <v>64</v>
      </c>
    </row>
  </sheetData>
  <sheetProtection algorithmName="SHA-512" hashValue="Fg4rlm8RFfqCR5fLMC/fYwtvwOv5OvDkUHNO446phjP+zMqz8eblgH86p+LYKMu1cH99IxUqqJthwJFiur132g==" saltValue="fXN/DjWq1+zp85Cv4jde7Q==" spinCount="100000" sheet="1" objects="1" scenarios="1" selectLockedCells="1" selectUnlockedCells="1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Bewertungsbogen</vt:lpstr>
      <vt:lpstr>Aufgaben-Übersicht</vt:lpstr>
      <vt:lpstr>Info &amp; 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Gomes</dc:creator>
  <cp:lastModifiedBy>Marius Gomes</cp:lastModifiedBy>
  <dcterms:created xsi:type="dcterms:W3CDTF">2021-05-28T15:01:17Z</dcterms:created>
  <dcterms:modified xsi:type="dcterms:W3CDTF">2023-03-23T18:47:28Z</dcterms:modified>
</cp:coreProperties>
</file>