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03\AC\Temp\"/>
    </mc:Choice>
  </mc:AlternateContent>
  <xr:revisionPtr revIDLastSave="0" documentId="8_{713FE41E-AB59-4A75-8FA1-3B884F843DC2}" xr6:coauthVersionLast="47" xr6:coauthVersionMax="47" xr10:uidLastSave="{00000000-0000-0000-0000-000000000000}"/>
  <bookViews>
    <workbookView xWindow="-60" yWindow="-60" windowWidth="15480" windowHeight="11640" firstSheet="3" activeTab="3" xr2:uid="{00000000-000D-0000-FFFF-FFFF00000000}"/>
  </bookViews>
  <sheets>
    <sheet name="Exhibits &amp; Tables" sheetId="7" r:id="rId1"/>
    <sheet name="Target Segments &amp; Revenue (TN)" sheetId="9" r:id="rId2"/>
    <sheet name="Customer Acquisition (TN)" sheetId="8" r:id="rId3"/>
    <sheet name="Economics (TN)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5" l="1"/>
  <c r="C10" i="5"/>
  <c r="G24" i="8"/>
  <c r="F24" i="8"/>
  <c r="E24" i="8"/>
  <c r="G23" i="8"/>
  <c r="F23" i="8"/>
  <c r="F22" i="8"/>
  <c r="E22" i="8"/>
  <c r="G13" i="8"/>
  <c r="F13" i="8"/>
  <c r="E13" i="8"/>
  <c r="E12" i="8"/>
  <c r="G12" i="8"/>
  <c r="F12" i="8"/>
  <c r="F11" i="8"/>
  <c r="E23" i="8"/>
  <c r="H22" i="8"/>
  <c r="H23" i="8"/>
  <c r="H24" i="8"/>
  <c r="G22" i="8"/>
  <c r="H12" i="8"/>
  <c r="H13" i="8"/>
  <c r="G11" i="8"/>
  <c r="E11" i="8"/>
  <c r="C32" i="5"/>
  <c r="BZ31" i="5"/>
  <c r="BU31" i="5"/>
  <c r="BK31" i="5"/>
  <c r="BF31" i="5"/>
  <c r="BA31" i="5"/>
  <c r="AV31" i="5"/>
  <c r="AQ31" i="5"/>
  <c r="AL31" i="5"/>
  <c r="AG31" i="5"/>
  <c r="AB31" i="5"/>
  <c r="W31" i="5"/>
  <c r="R31" i="5"/>
  <c r="M31" i="5"/>
  <c r="C31" i="5"/>
  <c r="J17" i="8"/>
  <c r="F9" i="5"/>
  <c r="E9" i="5"/>
  <c r="CC9" i="5"/>
  <c r="CB9" i="5"/>
  <c r="CA9" i="5"/>
  <c r="BZ9" i="5"/>
  <c r="BX9" i="5"/>
  <c r="BW9" i="5"/>
  <c r="BV9" i="5"/>
  <c r="BU9" i="5"/>
  <c r="BS9" i="5"/>
  <c r="BR9" i="5"/>
  <c r="BQ9" i="5"/>
  <c r="BP9" i="5"/>
  <c r="BN9" i="5"/>
  <c r="BM9" i="5"/>
  <c r="BL9" i="5"/>
  <c r="BK9" i="5"/>
  <c r="BI9" i="5"/>
  <c r="BH9" i="5"/>
  <c r="BG9" i="5"/>
  <c r="BF9" i="5"/>
  <c r="BD9" i="5"/>
  <c r="BC9" i="5"/>
  <c r="BB9" i="5"/>
  <c r="BA9" i="5"/>
  <c r="AY9" i="5"/>
  <c r="AX9" i="5"/>
  <c r="AW9" i="5"/>
  <c r="AV9" i="5"/>
  <c r="AQ9" i="5"/>
  <c r="H11" i="9"/>
  <c r="H10" i="9"/>
  <c r="AT9" i="5"/>
  <c r="AS9" i="5"/>
  <c r="AR9" i="5"/>
  <c r="AO9" i="5"/>
  <c r="AN9" i="5"/>
  <c r="AM9" i="5"/>
  <c r="AL9" i="5"/>
  <c r="AJ9" i="5"/>
  <c r="AI9" i="5"/>
  <c r="AH9" i="5"/>
  <c r="AG9" i="5"/>
  <c r="AE9" i="5"/>
  <c r="AD9" i="5"/>
  <c r="AC9" i="5"/>
  <c r="AB9" i="5"/>
  <c r="Z9" i="5"/>
  <c r="Y9" i="5"/>
  <c r="X9" i="5"/>
  <c r="W9" i="5"/>
  <c r="U9" i="5"/>
  <c r="T9" i="5"/>
  <c r="S9" i="5"/>
  <c r="R9" i="5"/>
  <c r="P9" i="5"/>
  <c r="O9" i="5"/>
  <c r="N9" i="5"/>
  <c r="M9" i="5"/>
  <c r="K9" i="5"/>
  <c r="J9" i="5"/>
  <c r="I9" i="5"/>
  <c r="H9" i="5"/>
  <c r="D9" i="5"/>
  <c r="C9" i="5"/>
  <c r="J20" i="8"/>
  <c r="C23" i="8"/>
  <c r="J11" i="8"/>
  <c r="I22" i="8"/>
  <c r="AE10" i="5"/>
  <c r="AD10" i="5"/>
  <c r="AC10" i="5"/>
  <c r="AB10" i="5"/>
  <c r="Z10" i="5"/>
  <c r="Y10" i="5"/>
  <c r="X10" i="5"/>
  <c r="W10" i="5"/>
  <c r="R10" i="5"/>
  <c r="U10" i="5"/>
  <c r="T10" i="5"/>
  <c r="S10" i="5"/>
  <c r="M10" i="5"/>
  <c r="O10" i="5"/>
  <c r="N10" i="5"/>
  <c r="P10" i="5"/>
  <c r="K21" i="8"/>
  <c r="C11" i="8"/>
  <c r="C22" i="8"/>
  <c r="H11" i="8"/>
  <c r="CA26" i="5"/>
  <c r="CB26" i="5" s="1"/>
  <c r="CC26" i="5" s="1"/>
  <c r="BZ17" i="5"/>
  <c r="CA14" i="5"/>
  <c r="BZ13" i="5"/>
  <c r="BZ16" i="5" s="1"/>
  <c r="BZ23" i="5" s="1"/>
  <c r="BZ25" i="5" s="1"/>
  <c r="BZ28" i="5" s="1"/>
  <c r="CA11" i="5"/>
  <c r="CB7" i="5"/>
  <c r="CC7" i="5" s="1"/>
  <c r="BV26" i="5"/>
  <c r="BW26" i="5" s="1"/>
  <c r="BX26" i="5" s="1"/>
  <c r="BU17" i="5"/>
  <c r="BV14" i="5"/>
  <c r="BU13" i="5"/>
  <c r="BU16" i="5" s="1"/>
  <c r="BU23" i="5" s="1"/>
  <c r="BU25" i="5" s="1"/>
  <c r="BU28" i="5" s="1"/>
  <c r="BV11" i="5"/>
  <c r="BW7" i="5"/>
  <c r="BX7" i="5" s="1"/>
  <c r="BQ26" i="5"/>
  <c r="BR26" i="5" s="1"/>
  <c r="BS26" i="5" s="1"/>
  <c r="BP17" i="5"/>
  <c r="BQ14" i="5"/>
  <c r="BP13" i="5"/>
  <c r="BP16" i="5" s="1"/>
  <c r="BP23" i="5" s="1"/>
  <c r="BP25" i="5" s="1"/>
  <c r="BP28" i="5" s="1"/>
  <c r="BQ11" i="5"/>
  <c r="BR7" i="5"/>
  <c r="BS7" i="5" s="1"/>
  <c r="BL26" i="5"/>
  <c r="BM26" i="5" s="1"/>
  <c r="BN26" i="5" s="1"/>
  <c r="BK17" i="5"/>
  <c r="BL14" i="5"/>
  <c r="BK13" i="5"/>
  <c r="BK16" i="5" s="1"/>
  <c r="BK23" i="5" s="1"/>
  <c r="BK25" i="5" s="1"/>
  <c r="BK28" i="5" s="1"/>
  <c r="BL11" i="5"/>
  <c r="BM7" i="5"/>
  <c r="BN7" i="5" s="1"/>
  <c r="BG26" i="5"/>
  <c r="BH26" i="5" s="1"/>
  <c r="BI26" i="5" s="1"/>
  <c r="BF17" i="5"/>
  <c r="BG14" i="5"/>
  <c r="BF13" i="5"/>
  <c r="BF16" i="5" s="1"/>
  <c r="BF23" i="5" s="1"/>
  <c r="BF25" i="5" s="1"/>
  <c r="BF28" i="5" s="1"/>
  <c r="BG11" i="5"/>
  <c r="BH7" i="5"/>
  <c r="BI7" i="5" s="1"/>
  <c r="BB26" i="5"/>
  <c r="BC26" i="5" s="1"/>
  <c r="BD26" i="5" s="1"/>
  <c r="BA17" i="5"/>
  <c r="BB14" i="5"/>
  <c r="BB11" i="5"/>
  <c r="BC7" i="5"/>
  <c r="BD7" i="5" s="1"/>
  <c r="AW26" i="5"/>
  <c r="AX26" i="5" s="1"/>
  <c r="AY26" i="5" s="1"/>
  <c r="AV17" i="5"/>
  <c r="AW14" i="5"/>
  <c r="AW11" i="5"/>
  <c r="AX11" i="5" s="1"/>
  <c r="AY11" i="5" s="1"/>
  <c r="AX7" i="5"/>
  <c r="AY7" i="5" s="1"/>
  <c r="AR26" i="5"/>
  <c r="AS26" i="5" s="1"/>
  <c r="AT26" i="5" s="1"/>
  <c r="AQ17" i="5"/>
  <c r="AR14" i="5"/>
  <c r="AQ13" i="5"/>
  <c r="AQ16" i="5" s="1"/>
  <c r="AQ23" i="5" s="1"/>
  <c r="AQ25" i="5" s="1"/>
  <c r="AQ28" i="5" s="1"/>
  <c r="AR11" i="5"/>
  <c r="AM26" i="5"/>
  <c r="AN26" i="5" s="1"/>
  <c r="AO26" i="5" s="1"/>
  <c r="AL17" i="5"/>
  <c r="AM14" i="5"/>
  <c r="AL13" i="5"/>
  <c r="AL16" i="5" s="1"/>
  <c r="AL23" i="5" s="1"/>
  <c r="AL25" i="5" s="1"/>
  <c r="AL28" i="5" s="1"/>
  <c r="AM11" i="5"/>
  <c r="AH26" i="5"/>
  <c r="AI26" i="5" s="1"/>
  <c r="AJ26" i="5" s="1"/>
  <c r="AG17" i="5"/>
  <c r="AH14" i="5"/>
  <c r="AG13" i="5"/>
  <c r="AG16" i="5" s="1"/>
  <c r="AG23" i="5" s="1"/>
  <c r="AG25" i="5" s="1"/>
  <c r="AG28" i="5" s="1"/>
  <c r="AH11" i="5"/>
  <c r="AC26" i="5"/>
  <c r="AD26" i="5" s="1"/>
  <c r="AE26" i="5" s="1"/>
  <c r="AB17" i="5"/>
  <c r="AC14" i="5"/>
  <c r="AB13" i="5"/>
  <c r="AB16" i="5" s="1"/>
  <c r="AB23" i="5" s="1"/>
  <c r="AB25" i="5" s="1"/>
  <c r="AB28" i="5" s="1"/>
  <c r="AC11" i="5"/>
  <c r="X26" i="5"/>
  <c r="Y26" i="5" s="1"/>
  <c r="Z26" i="5" s="1"/>
  <c r="W17" i="5"/>
  <c r="X14" i="5"/>
  <c r="W13" i="5"/>
  <c r="W16" i="5" s="1"/>
  <c r="W23" i="5" s="1"/>
  <c r="W25" i="5" s="1"/>
  <c r="W28" i="5" s="1"/>
  <c r="X11" i="5"/>
  <c r="Y7" i="5"/>
  <c r="Z7" i="5" s="1"/>
  <c r="S26" i="5"/>
  <c r="T26" i="5" s="1"/>
  <c r="U26" i="5" s="1"/>
  <c r="R17" i="5"/>
  <c r="R13" i="5"/>
  <c r="R16" i="5" s="1"/>
  <c r="R23" i="5" s="1"/>
  <c r="R25" i="5" s="1"/>
  <c r="R28" i="5" s="1"/>
  <c r="S14" i="5"/>
  <c r="S11" i="5"/>
  <c r="AS7" i="5"/>
  <c r="AT7" i="5" s="1"/>
  <c r="AN7" i="5"/>
  <c r="AO7" i="5" s="1"/>
  <c r="AI7" i="5"/>
  <c r="AJ7" i="5" s="1"/>
  <c r="AD7" i="5"/>
  <c r="AE7" i="5" s="1"/>
  <c r="T7" i="5"/>
  <c r="U7" i="5" s="1"/>
  <c r="O7" i="5"/>
  <c r="P7" i="5" s="1"/>
  <c r="N26" i="5"/>
  <c r="O26" i="5" s="1"/>
  <c r="P26" i="5" s="1"/>
  <c r="M17" i="5"/>
  <c r="M13" i="5"/>
  <c r="M16" i="5" s="1"/>
  <c r="M23" i="5" s="1"/>
  <c r="M25" i="5" s="1"/>
  <c r="M28" i="5" s="1"/>
  <c r="N11" i="5"/>
  <c r="N14" i="5"/>
  <c r="J26" i="5"/>
  <c r="K26" i="5" s="1"/>
  <c r="H17" i="5"/>
  <c r="I14" i="5"/>
  <c r="I11" i="5"/>
  <c r="J11" i="5" s="1"/>
  <c r="K11" i="5" s="1"/>
  <c r="J7" i="5"/>
  <c r="K7" i="5" s="1"/>
  <c r="D26" i="5"/>
  <c r="E26" i="5" s="1"/>
  <c r="F26" i="5" s="1"/>
  <c r="C14" i="5"/>
  <c r="C17" i="5" s="1"/>
  <c r="C24" i="5" s="1"/>
  <c r="D8" i="9"/>
  <c r="D9" i="9"/>
  <c r="D7" i="9"/>
  <c r="J18" i="8"/>
  <c r="J19" i="8"/>
  <c r="J21" i="8"/>
  <c r="H20" i="8"/>
  <c r="H21" i="8"/>
  <c r="H7" i="8"/>
  <c r="H8" i="8"/>
  <c r="H9" i="8"/>
  <c r="H10" i="8"/>
  <c r="H6" i="8"/>
  <c r="G20" i="8"/>
  <c r="I20" i="8" s="1"/>
  <c r="G21" i="8"/>
  <c r="I21" i="8" s="1"/>
  <c r="G17" i="8"/>
  <c r="C24" i="8"/>
  <c r="D23" i="8"/>
  <c r="J23" i="8"/>
  <c r="K23" i="8" s="1"/>
  <c r="D35" i="8"/>
  <c r="C9" i="8" s="1"/>
  <c r="J9" i="8" s="1"/>
  <c r="D31" i="8"/>
  <c r="J7" i="8"/>
  <c r="J8" i="8"/>
  <c r="J10" i="8"/>
  <c r="J6" i="8"/>
  <c r="G7" i="8"/>
  <c r="I7" i="8" s="1"/>
  <c r="G8" i="8"/>
  <c r="I8" i="8" s="1"/>
  <c r="G9" i="8"/>
  <c r="I9" i="8" s="1"/>
  <c r="G10" i="8"/>
  <c r="I10" i="8" s="1"/>
  <c r="G6" i="8"/>
  <c r="I6" i="8" s="1"/>
  <c r="I11" i="8" s="1"/>
  <c r="E7" i="9"/>
  <c r="E8" i="9"/>
  <c r="E9" i="9"/>
  <c r="F19" i="8"/>
  <c r="F18" i="8"/>
  <c r="H18" i="8" s="1"/>
  <c r="D17" i="8"/>
  <c r="D11" i="5"/>
  <c r="D13" i="8"/>
  <c r="I13" i="8"/>
  <c r="J13" i="8"/>
  <c r="K13" i="8" s="1"/>
  <c r="C13" i="8"/>
  <c r="D12" i="8"/>
  <c r="I12" i="8"/>
  <c r="L12" i="8" s="1"/>
  <c r="J12" i="8"/>
  <c r="K12" i="8" s="1"/>
  <c r="C12" i="8"/>
  <c r="D11" i="8"/>
  <c r="E7" i="5"/>
  <c r="F7" i="5"/>
  <c r="L13" i="8"/>
  <c r="D35" i="7"/>
  <c r="D24" i="7"/>
  <c r="D26" i="7"/>
  <c r="F24" i="7"/>
  <c r="F26" i="7"/>
  <c r="E35" i="7"/>
  <c r="E24" i="7"/>
  <c r="E26" i="7"/>
  <c r="E22" i="7"/>
  <c r="E32" i="7"/>
  <c r="F22" i="7"/>
  <c r="D22" i="7"/>
  <c r="D32" i="7"/>
  <c r="D6" i="7"/>
  <c r="F6" i="7"/>
  <c r="D7" i="7"/>
  <c r="F7" i="7"/>
  <c r="D8" i="7"/>
  <c r="E8" i="7"/>
  <c r="F8" i="7"/>
  <c r="E7" i="7"/>
  <c r="E6" i="7"/>
  <c r="L11" i="8"/>
  <c r="F32" i="7"/>
  <c r="AY10" i="5" l="1"/>
  <c r="AY13" i="5" s="1"/>
  <c r="AY16" i="5" s="1"/>
  <c r="AY23" i="5" s="1"/>
  <c r="AX10" i="5"/>
  <c r="AX13" i="5" s="1"/>
  <c r="AX16" i="5" s="1"/>
  <c r="AX23" i="5" s="1"/>
  <c r="AW10" i="5"/>
  <c r="AW13" i="5" s="1"/>
  <c r="AW16" i="5" s="1"/>
  <c r="AW23" i="5" s="1"/>
  <c r="AV10" i="5"/>
  <c r="AV13" i="5" s="1"/>
  <c r="AV16" i="5" s="1"/>
  <c r="AV23" i="5" s="1"/>
  <c r="AV25" i="5" s="1"/>
  <c r="AV28" i="5" s="1"/>
  <c r="I17" i="8"/>
  <c r="H17" i="8"/>
  <c r="G19" i="8"/>
  <c r="I19" i="8" s="1"/>
  <c r="H19" i="8"/>
  <c r="K11" i="8"/>
  <c r="K19" i="8"/>
  <c r="K20" i="8"/>
  <c r="CA13" i="5"/>
  <c r="CA16" i="5" s="1"/>
  <c r="CA23" i="5" s="1"/>
  <c r="CB11" i="5"/>
  <c r="BZ29" i="5"/>
  <c r="CA17" i="5"/>
  <c r="CA24" i="5" s="1"/>
  <c r="CB14" i="5"/>
  <c r="BV13" i="5"/>
  <c r="BV16" i="5" s="1"/>
  <c r="BV23" i="5" s="1"/>
  <c r="BW11" i="5"/>
  <c r="BU29" i="5"/>
  <c r="BV17" i="5"/>
  <c r="BV24" i="5" s="1"/>
  <c r="BW14" i="5"/>
  <c r="BQ13" i="5"/>
  <c r="BQ16" i="5" s="1"/>
  <c r="BQ23" i="5" s="1"/>
  <c r="BR11" i="5"/>
  <c r="BP29" i="5"/>
  <c r="BQ17" i="5"/>
  <c r="BQ24" i="5" s="1"/>
  <c r="BR14" i="5"/>
  <c r="BL13" i="5"/>
  <c r="BL16" i="5" s="1"/>
  <c r="BL23" i="5" s="1"/>
  <c r="BM11" i="5"/>
  <c r="BK29" i="5"/>
  <c r="BL17" i="5"/>
  <c r="BL24" i="5" s="1"/>
  <c r="BM14" i="5"/>
  <c r="BG13" i="5"/>
  <c r="BG16" i="5" s="1"/>
  <c r="BG23" i="5" s="1"/>
  <c r="BH11" i="5"/>
  <c r="BF29" i="5"/>
  <c r="BG17" i="5"/>
  <c r="BG24" i="5" s="1"/>
  <c r="BH14" i="5"/>
  <c r="BC11" i="5"/>
  <c r="BB17" i="5"/>
  <c r="BB24" i="5" s="1"/>
  <c r="BC14" i="5"/>
  <c r="AV29" i="5"/>
  <c r="AW17" i="5"/>
  <c r="AW24" i="5" s="1"/>
  <c r="AW25" i="5" s="1"/>
  <c r="AW28" i="5" s="1"/>
  <c r="AX14" i="5"/>
  <c r="AR13" i="5"/>
  <c r="AR16" i="5" s="1"/>
  <c r="AR23" i="5" s="1"/>
  <c r="AS11" i="5"/>
  <c r="AQ29" i="5"/>
  <c r="AR17" i="5"/>
  <c r="AR24" i="5" s="1"/>
  <c r="AS14" i="5"/>
  <c r="AM13" i="5"/>
  <c r="AM16" i="5" s="1"/>
  <c r="AM23" i="5" s="1"/>
  <c r="AN11" i="5"/>
  <c r="AL29" i="5"/>
  <c r="AM17" i="5"/>
  <c r="AM24" i="5" s="1"/>
  <c r="AN14" i="5"/>
  <c r="AH13" i="5"/>
  <c r="AH16" i="5" s="1"/>
  <c r="AH23" i="5" s="1"/>
  <c r="AI11" i="5"/>
  <c r="AG29" i="5"/>
  <c r="AH17" i="5"/>
  <c r="AH24" i="5" s="1"/>
  <c r="AI14" i="5"/>
  <c r="AC13" i="5"/>
  <c r="AC16" i="5" s="1"/>
  <c r="AC23" i="5" s="1"/>
  <c r="AD11" i="5"/>
  <c r="AB29" i="5"/>
  <c r="AC17" i="5"/>
  <c r="AC24" i="5" s="1"/>
  <c r="AD14" i="5"/>
  <c r="X13" i="5"/>
  <c r="X16" i="5" s="1"/>
  <c r="X23" i="5" s="1"/>
  <c r="Y11" i="5"/>
  <c r="W29" i="5"/>
  <c r="X17" i="5"/>
  <c r="X24" i="5" s="1"/>
  <c r="Y14" i="5"/>
  <c r="T11" i="5"/>
  <c r="S13" i="5"/>
  <c r="S16" i="5" s="1"/>
  <c r="S23" i="5" s="1"/>
  <c r="T14" i="5"/>
  <c r="S17" i="5"/>
  <c r="S24" i="5" s="1"/>
  <c r="R29" i="5"/>
  <c r="J14" i="5"/>
  <c r="I17" i="5"/>
  <c r="I24" i="5" s="1"/>
  <c r="H31" i="5" s="1"/>
  <c r="O14" i="5"/>
  <c r="N17" i="5"/>
  <c r="N24" i="5" s="1"/>
  <c r="O11" i="5"/>
  <c r="N13" i="5"/>
  <c r="N16" i="5" s="1"/>
  <c r="N23" i="5" s="1"/>
  <c r="N25" i="5" s="1"/>
  <c r="N28" i="5" s="1"/>
  <c r="N29" i="5"/>
  <c r="M29" i="5"/>
  <c r="E11" i="5"/>
  <c r="D14" i="5"/>
  <c r="D17" i="5" s="1"/>
  <c r="D24" i="5" s="1"/>
  <c r="D24" i="8"/>
  <c r="D22" i="8"/>
  <c r="G18" i="8"/>
  <c r="I18" i="8" s="1"/>
  <c r="K6" i="8"/>
  <c r="K10" i="8"/>
  <c r="K9" i="8"/>
  <c r="K8" i="8"/>
  <c r="K7" i="8"/>
  <c r="I23" i="8" l="1"/>
  <c r="L23" i="8" s="1"/>
  <c r="K18" i="8"/>
  <c r="I24" i="8"/>
  <c r="L24" i="8" s="1"/>
  <c r="L22" i="8"/>
  <c r="K17" i="8"/>
  <c r="J24" i="8"/>
  <c r="K24" i="8" s="1"/>
  <c r="J22" i="8"/>
  <c r="K22" i="8" s="1"/>
  <c r="H10" i="5" s="1"/>
  <c r="CB17" i="5"/>
  <c r="CB24" i="5" s="1"/>
  <c r="CC14" i="5"/>
  <c r="CC17" i="5" s="1"/>
  <c r="CC24" i="5" s="1"/>
  <c r="CB13" i="5"/>
  <c r="CB16" i="5" s="1"/>
  <c r="CB23" i="5" s="1"/>
  <c r="CB25" i="5" s="1"/>
  <c r="CB28" i="5" s="1"/>
  <c r="CC11" i="5"/>
  <c r="CC13" i="5" s="1"/>
  <c r="CC16" i="5" s="1"/>
  <c r="CC23" i="5" s="1"/>
  <c r="CC25" i="5" s="1"/>
  <c r="CC28" i="5" s="1"/>
  <c r="CA25" i="5"/>
  <c r="CA28" i="5" s="1"/>
  <c r="BW17" i="5"/>
  <c r="BW24" i="5" s="1"/>
  <c r="BX14" i="5"/>
  <c r="BX17" i="5" s="1"/>
  <c r="BX24" i="5" s="1"/>
  <c r="BW13" i="5"/>
  <c r="BW16" i="5" s="1"/>
  <c r="BW23" i="5" s="1"/>
  <c r="BW25" i="5" s="1"/>
  <c r="BW28" i="5" s="1"/>
  <c r="BX11" i="5"/>
  <c r="BX13" i="5" s="1"/>
  <c r="BX16" i="5" s="1"/>
  <c r="BX23" i="5" s="1"/>
  <c r="BX25" i="5" s="1"/>
  <c r="BX28" i="5" s="1"/>
  <c r="BV25" i="5"/>
  <c r="BV28" i="5" s="1"/>
  <c r="BR17" i="5"/>
  <c r="BR24" i="5" s="1"/>
  <c r="BS14" i="5"/>
  <c r="BS17" i="5" s="1"/>
  <c r="BS24" i="5" s="1"/>
  <c r="BR13" i="5"/>
  <c r="BR16" i="5" s="1"/>
  <c r="BR23" i="5" s="1"/>
  <c r="BR25" i="5" s="1"/>
  <c r="BR28" i="5" s="1"/>
  <c r="BP31" i="5" s="1"/>
  <c r="BS11" i="5"/>
  <c r="BS13" i="5" s="1"/>
  <c r="BS16" i="5" s="1"/>
  <c r="BS23" i="5" s="1"/>
  <c r="BS25" i="5" s="1"/>
  <c r="BS28" i="5" s="1"/>
  <c r="BQ25" i="5"/>
  <c r="BQ28" i="5" s="1"/>
  <c r="BM17" i="5"/>
  <c r="BM24" i="5" s="1"/>
  <c r="BN14" i="5"/>
  <c r="BN17" i="5" s="1"/>
  <c r="BN24" i="5" s="1"/>
  <c r="BM13" i="5"/>
  <c r="BM16" i="5" s="1"/>
  <c r="BM23" i="5" s="1"/>
  <c r="BM25" i="5" s="1"/>
  <c r="BM28" i="5" s="1"/>
  <c r="BN11" i="5"/>
  <c r="BN13" i="5" s="1"/>
  <c r="BN16" i="5" s="1"/>
  <c r="BN23" i="5" s="1"/>
  <c r="BN25" i="5" s="1"/>
  <c r="BN28" i="5" s="1"/>
  <c r="BL25" i="5"/>
  <c r="BL28" i="5" s="1"/>
  <c r="BH17" i="5"/>
  <c r="BH24" i="5" s="1"/>
  <c r="BI14" i="5"/>
  <c r="BI17" i="5" s="1"/>
  <c r="BI24" i="5" s="1"/>
  <c r="BH13" i="5"/>
  <c r="BH16" i="5" s="1"/>
  <c r="BH23" i="5" s="1"/>
  <c r="BH25" i="5" s="1"/>
  <c r="BH28" i="5" s="1"/>
  <c r="BI11" i="5"/>
  <c r="BI13" i="5" s="1"/>
  <c r="BI16" i="5" s="1"/>
  <c r="BI23" i="5" s="1"/>
  <c r="BI25" i="5" s="1"/>
  <c r="BI28" i="5" s="1"/>
  <c r="BG25" i="5"/>
  <c r="BG28" i="5" s="1"/>
  <c r="BC17" i="5"/>
  <c r="BC24" i="5" s="1"/>
  <c r="BD14" i="5"/>
  <c r="BD17" i="5" s="1"/>
  <c r="BD24" i="5" s="1"/>
  <c r="BD11" i="5"/>
  <c r="AX17" i="5"/>
  <c r="AX24" i="5" s="1"/>
  <c r="AX25" i="5" s="1"/>
  <c r="AX28" i="5" s="1"/>
  <c r="AY14" i="5"/>
  <c r="AY17" i="5" s="1"/>
  <c r="AY24" i="5" s="1"/>
  <c r="AY25" i="5" s="1"/>
  <c r="AY28" i="5" s="1"/>
  <c r="AX29" i="5"/>
  <c r="AW29" i="5"/>
  <c r="AS17" i="5"/>
  <c r="AS24" i="5" s="1"/>
  <c r="AT14" i="5"/>
  <c r="AT17" i="5" s="1"/>
  <c r="AT24" i="5" s="1"/>
  <c r="AS13" i="5"/>
  <c r="AS16" i="5" s="1"/>
  <c r="AS23" i="5" s="1"/>
  <c r="AS25" i="5" s="1"/>
  <c r="AS28" i="5" s="1"/>
  <c r="AT11" i="5"/>
  <c r="AT13" i="5" s="1"/>
  <c r="AT16" i="5" s="1"/>
  <c r="AT23" i="5" s="1"/>
  <c r="AT25" i="5" s="1"/>
  <c r="AT28" i="5" s="1"/>
  <c r="AR25" i="5"/>
  <c r="AR28" i="5" s="1"/>
  <c r="AN17" i="5"/>
  <c r="AN24" i="5" s="1"/>
  <c r="AO14" i="5"/>
  <c r="AO17" i="5" s="1"/>
  <c r="AO24" i="5" s="1"/>
  <c r="AN13" i="5"/>
  <c r="AN16" i="5" s="1"/>
  <c r="AN23" i="5" s="1"/>
  <c r="AN25" i="5" s="1"/>
  <c r="AN28" i="5" s="1"/>
  <c r="AO11" i="5"/>
  <c r="AO13" i="5" s="1"/>
  <c r="AO16" i="5" s="1"/>
  <c r="AO23" i="5" s="1"/>
  <c r="AO25" i="5" s="1"/>
  <c r="AO28" i="5" s="1"/>
  <c r="AM25" i="5"/>
  <c r="AM28" i="5" s="1"/>
  <c r="AI17" i="5"/>
  <c r="AI24" i="5" s="1"/>
  <c r="AJ14" i="5"/>
  <c r="AJ17" i="5" s="1"/>
  <c r="AJ24" i="5" s="1"/>
  <c r="AI13" i="5"/>
  <c r="AI16" i="5" s="1"/>
  <c r="AI23" i="5" s="1"/>
  <c r="AI25" i="5" s="1"/>
  <c r="AI28" i="5" s="1"/>
  <c r="AJ11" i="5"/>
  <c r="AJ13" i="5" s="1"/>
  <c r="AJ16" i="5" s="1"/>
  <c r="AJ23" i="5" s="1"/>
  <c r="AJ25" i="5" s="1"/>
  <c r="AJ28" i="5" s="1"/>
  <c r="AH25" i="5"/>
  <c r="AH28" i="5" s="1"/>
  <c r="AD17" i="5"/>
  <c r="AD24" i="5" s="1"/>
  <c r="AE14" i="5"/>
  <c r="AE17" i="5" s="1"/>
  <c r="AE24" i="5" s="1"/>
  <c r="AD13" i="5"/>
  <c r="AD16" i="5" s="1"/>
  <c r="AD23" i="5" s="1"/>
  <c r="AD25" i="5" s="1"/>
  <c r="AD28" i="5" s="1"/>
  <c r="AE11" i="5"/>
  <c r="AE13" i="5" s="1"/>
  <c r="AE16" i="5" s="1"/>
  <c r="AE23" i="5" s="1"/>
  <c r="AE25" i="5" s="1"/>
  <c r="AE28" i="5" s="1"/>
  <c r="AC25" i="5"/>
  <c r="AC28" i="5" s="1"/>
  <c r="Y17" i="5"/>
  <c r="Y24" i="5" s="1"/>
  <c r="Z14" i="5"/>
  <c r="Z17" i="5" s="1"/>
  <c r="Z24" i="5" s="1"/>
  <c r="Y13" i="5"/>
  <c r="Y16" i="5" s="1"/>
  <c r="Y23" i="5" s="1"/>
  <c r="Y25" i="5" s="1"/>
  <c r="Y28" i="5" s="1"/>
  <c r="Z11" i="5"/>
  <c r="Z13" i="5" s="1"/>
  <c r="Z16" i="5" s="1"/>
  <c r="Z23" i="5" s="1"/>
  <c r="Z25" i="5" s="1"/>
  <c r="Z28" i="5" s="1"/>
  <c r="X25" i="5"/>
  <c r="X28" i="5" s="1"/>
  <c r="U14" i="5"/>
  <c r="U17" i="5" s="1"/>
  <c r="U24" i="5" s="1"/>
  <c r="T17" i="5"/>
  <c r="T24" i="5" s="1"/>
  <c r="S25" i="5"/>
  <c r="S28" i="5" s="1"/>
  <c r="U11" i="5"/>
  <c r="U13" i="5" s="1"/>
  <c r="U16" i="5" s="1"/>
  <c r="U23" i="5" s="1"/>
  <c r="U25" i="5" s="1"/>
  <c r="U28" i="5" s="1"/>
  <c r="T13" i="5"/>
  <c r="T16" i="5" s="1"/>
  <c r="T23" i="5" s="1"/>
  <c r="T25" i="5" s="1"/>
  <c r="T28" i="5" s="1"/>
  <c r="P11" i="5"/>
  <c r="P13" i="5" s="1"/>
  <c r="P16" i="5" s="1"/>
  <c r="P23" i="5" s="1"/>
  <c r="O13" i="5"/>
  <c r="O16" i="5" s="1"/>
  <c r="O23" i="5" s="1"/>
  <c r="P14" i="5"/>
  <c r="P17" i="5" s="1"/>
  <c r="P24" i="5" s="1"/>
  <c r="O17" i="5"/>
  <c r="O24" i="5" s="1"/>
  <c r="K14" i="5"/>
  <c r="K17" i="5" s="1"/>
  <c r="K24" i="5" s="1"/>
  <c r="J17" i="5"/>
  <c r="J24" i="5" s="1"/>
  <c r="F11" i="5"/>
  <c r="E14" i="5"/>
  <c r="E17" i="5" s="1"/>
  <c r="E24" i="5" s="1"/>
  <c r="BD10" i="5" l="1"/>
  <c r="BD13" i="5" s="1"/>
  <c r="BD16" i="5" s="1"/>
  <c r="BD23" i="5" s="1"/>
  <c r="BD25" i="5" s="1"/>
  <c r="BD28" i="5" s="1"/>
  <c r="BC10" i="5"/>
  <c r="BC13" i="5" s="1"/>
  <c r="BC16" i="5" s="1"/>
  <c r="BC23" i="5" s="1"/>
  <c r="BC25" i="5" s="1"/>
  <c r="BC28" i="5" s="1"/>
  <c r="BB10" i="5"/>
  <c r="BB13" i="5" s="1"/>
  <c r="BB16" i="5" s="1"/>
  <c r="BB23" i="5" s="1"/>
  <c r="BB25" i="5" s="1"/>
  <c r="BB28" i="5" s="1"/>
  <c r="BA10" i="5"/>
  <c r="BA13" i="5" s="1"/>
  <c r="BA16" i="5" s="1"/>
  <c r="BA23" i="5" s="1"/>
  <c r="BA25" i="5" s="1"/>
  <c r="BA28" i="5" s="1"/>
  <c r="BA29" i="5" s="1"/>
  <c r="U29" i="5"/>
  <c r="D10" i="5"/>
  <c r="D13" i="5" s="1"/>
  <c r="D16" i="5" s="1"/>
  <c r="D23" i="5" s="1"/>
  <c r="D25" i="5" s="1"/>
  <c r="D28" i="5" s="1"/>
  <c r="E10" i="5"/>
  <c r="E13" i="5" s="1"/>
  <c r="E16" i="5" s="1"/>
  <c r="E23" i="5" s="1"/>
  <c r="F10" i="5"/>
  <c r="C13" i="5"/>
  <c r="C16" i="5" s="1"/>
  <c r="E25" i="5"/>
  <c r="CB29" i="5"/>
  <c r="CA29" i="5"/>
  <c r="CC29" i="5"/>
  <c r="BW29" i="5"/>
  <c r="BV29" i="5"/>
  <c r="BX29" i="5"/>
  <c r="BR29" i="5"/>
  <c r="BQ29" i="5"/>
  <c r="BS29" i="5"/>
  <c r="BM29" i="5"/>
  <c r="BL29" i="5"/>
  <c r="BN29" i="5"/>
  <c r="BH29" i="5"/>
  <c r="BG29" i="5"/>
  <c r="BI29" i="5"/>
  <c r="BC29" i="5"/>
  <c r="BB29" i="5"/>
  <c r="BD29" i="5"/>
  <c r="AY29" i="5"/>
  <c r="AS29" i="5"/>
  <c r="AR29" i="5"/>
  <c r="AT29" i="5"/>
  <c r="AN29" i="5"/>
  <c r="AM29" i="5"/>
  <c r="AO29" i="5"/>
  <c r="AI29" i="5"/>
  <c r="AH29" i="5"/>
  <c r="AJ29" i="5"/>
  <c r="AD29" i="5"/>
  <c r="AC29" i="5"/>
  <c r="AE29" i="5"/>
  <c r="Y29" i="5"/>
  <c r="X29" i="5"/>
  <c r="Z29" i="5"/>
  <c r="T29" i="5"/>
  <c r="S29" i="5"/>
  <c r="O25" i="5"/>
  <c r="O28" i="5" s="1"/>
  <c r="P25" i="5"/>
  <c r="P28" i="5" s="1"/>
  <c r="F14" i="5"/>
  <c r="F17" i="5" s="1"/>
  <c r="F24" i="5" s="1"/>
  <c r="F13" i="5"/>
  <c r="F16" i="5" s="1"/>
  <c r="F23" i="5" s="1"/>
  <c r="F25" i="5" s="1"/>
  <c r="K10" i="5" l="1"/>
  <c r="K13" i="5" s="1"/>
  <c r="K16" i="5" s="1"/>
  <c r="K23" i="5" s="1"/>
  <c r="K25" i="5" s="1"/>
  <c r="K28" i="5" s="1"/>
  <c r="J10" i="5"/>
  <c r="J13" i="5" s="1"/>
  <c r="J16" i="5" s="1"/>
  <c r="J23" i="5" s="1"/>
  <c r="J25" i="5" s="1"/>
  <c r="J28" i="5" s="1"/>
  <c r="I10" i="5"/>
  <c r="I13" i="5" s="1"/>
  <c r="I16" i="5" s="1"/>
  <c r="I23" i="5" s="1"/>
  <c r="I25" i="5" s="1"/>
  <c r="I28" i="5" s="1"/>
  <c r="J29" i="5" s="1"/>
  <c r="H13" i="5"/>
  <c r="H16" i="5" s="1"/>
  <c r="H23" i="5" s="1"/>
  <c r="H25" i="5" s="1"/>
  <c r="H28" i="5" s="1"/>
  <c r="F28" i="5"/>
  <c r="E28" i="5"/>
  <c r="C43" i="5"/>
  <c r="C42" i="5"/>
  <c r="C23" i="5"/>
  <c r="C25" i="5" s="1"/>
  <c r="C28" i="5" s="1"/>
  <c r="C41" i="5"/>
  <c r="C29" i="5"/>
  <c r="C40" i="5"/>
  <c r="D41" i="5" s="1"/>
  <c r="D29" i="5"/>
  <c r="P29" i="5"/>
  <c r="O29" i="5"/>
  <c r="H29" i="5" l="1"/>
  <c r="I29" i="5"/>
  <c r="K29" i="5"/>
  <c r="D42" i="5"/>
  <c r="E42" i="5" s="1"/>
  <c r="D43" i="5"/>
  <c r="E43" i="5" s="1"/>
  <c r="E29" i="5"/>
  <c r="F29" i="5" s="1"/>
  <c r="C34" i="5"/>
  <c r="C35" i="5"/>
</calcChain>
</file>

<file path=xl/sharedStrings.xml><?xml version="1.0" encoding="utf-8"?>
<sst xmlns="http://schemas.openxmlformats.org/spreadsheetml/2006/main" count="516" uniqueCount="138">
  <si>
    <t>Exhibits</t>
  </si>
  <si>
    <t>Table A</t>
  </si>
  <si>
    <t>Revenue per Cardholder</t>
  </si>
  <si>
    <t>Segment</t>
  </si>
  <si>
    <r>
      <t>Annual Income (</t>
    </r>
    <r>
      <rPr>
        <b/>
        <sz val="9"/>
        <color indexed="8"/>
        <rFont val="Arial"/>
        <family val="2"/>
      </rPr>
      <t>€</t>
    </r>
    <r>
      <rPr>
        <b/>
        <sz val="8.1"/>
        <color indexed="8"/>
        <rFont val="Arial"/>
        <family val="2"/>
      </rPr>
      <t>)</t>
    </r>
  </si>
  <si>
    <r>
      <t>Interest Revenue (</t>
    </r>
    <r>
      <rPr>
        <b/>
        <sz val="9"/>
        <color indexed="8"/>
        <rFont val="Arial"/>
        <family val="2"/>
      </rPr>
      <t>€</t>
    </r>
    <r>
      <rPr>
        <b/>
        <sz val="8.1"/>
        <color indexed="8"/>
        <rFont val="Arial"/>
        <family val="2"/>
      </rPr>
      <t>)</t>
    </r>
  </si>
  <si>
    <r>
      <t>Other Revenue (</t>
    </r>
    <r>
      <rPr>
        <b/>
        <sz val="9"/>
        <color indexed="8"/>
        <rFont val="Arial"/>
        <family val="2"/>
      </rPr>
      <t>€</t>
    </r>
    <r>
      <rPr>
        <b/>
        <sz val="8.1"/>
        <color indexed="8"/>
        <rFont val="Arial"/>
        <family val="2"/>
      </rPr>
      <t>)</t>
    </r>
  </si>
  <si>
    <r>
      <t>Annual Revenue (</t>
    </r>
    <r>
      <rPr>
        <b/>
        <sz val="9"/>
        <color indexed="8"/>
        <rFont val="Arial"/>
        <family val="2"/>
      </rPr>
      <t>€)</t>
    </r>
  </si>
  <si>
    <t>Middle Class</t>
  </si>
  <si>
    <t>3,000-4,500</t>
  </si>
  <si>
    <t>Affluent</t>
  </si>
  <si>
    <t>4,500-6,000</t>
  </si>
  <si>
    <t>Most Affluent</t>
  </si>
  <si>
    <t>6,000+</t>
  </si>
  <si>
    <t>Table B</t>
  </si>
  <si>
    <r>
      <t xml:space="preserve"> Unit Cost (</t>
    </r>
    <r>
      <rPr>
        <b/>
        <sz val="9"/>
        <color indexed="8"/>
        <rFont val="Arial"/>
        <family val="2"/>
      </rPr>
      <t>€)</t>
    </r>
  </si>
  <si>
    <t>Prospects Reached</t>
  </si>
  <si>
    <t>Response Rate</t>
  </si>
  <si>
    <t>Qualification Rate</t>
  </si>
  <si>
    <t>Direct Mail</t>
  </si>
  <si>
    <t>Take One</t>
  </si>
  <si>
    <t>FSIs</t>
  </si>
  <si>
    <t>Direct Sales</t>
  </si>
  <si>
    <t>€3000/rep</t>
  </si>
  <si>
    <t>Branch Cross-Sell</t>
  </si>
  <si>
    <t>Exhibit 1</t>
  </si>
  <si>
    <t>Net revenue</t>
  </si>
  <si>
    <t>Fees/commissions/insurance</t>
  </si>
  <si>
    <t>Customer net revenue</t>
  </si>
  <si>
    <t>Net credit losses</t>
  </si>
  <si>
    <t>Credit collection</t>
  </si>
  <si>
    <t>Total credit cycle</t>
  </si>
  <si>
    <t>Delivery expense</t>
  </si>
  <si>
    <t>Other revenue/(expense)</t>
  </si>
  <si>
    <t>Earnings before tax</t>
  </si>
  <si>
    <r>
      <t>Customer liabilities (</t>
    </r>
    <r>
      <rPr>
        <sz val="9"/>
        <rFont val="Arial"/>
        <family val="2"/>
      </rPr>
      <t>€</t>
    </r>
    <r>
      <rPr>
        <sz val="8.1"/>
        <rFont val="Verdana"/>
        <family val="2"/>
      </rPr>
      <t>M)</t>
    </r>
  </si>
  <si>
    <r>
      <t>Customer assets (</t>
    </r>
    <r>
      <rPr>
        <sz val="9"/>
        <rFont val="Arial"/>
        <family val="2"/>
      </rPr>
      <t>€</t>
    </r>
    <r>
      <rPr>
        <sz val="8.1"/>
        <rFont val="Verdana"/>
        <family val="2"/>
      </rPr>
      <t>M)</t>
    </r>
  </si>
  <si>
    <r>
      <t>Average total assets (</t>
    </r>
    <r>
      <rPr>
        <sz val="9"/>
        <rFont val="Arial"/>
        <family val="2"/>
      </rPr>
      <t>€</t>
    </r>
    <r>
      <rPr>
        <sz val="8.1"/>
        <rFont val="Verdana"/>
        <family val="2"/>
      </rPr>
      <t>M)</t>
    </r>
  </si>
  <si>
    <t>Full-time equivalent employees</t>
  </si>
  <si>
    <t>Number of accounts (000)</t>
  </si>
  <si>
    <t>Number of customers (000)</t>
  </si>
  <si>
    <t>Number of branches</t>
  </si>
  <si>
    <t>Exhibit 4</t>
  </si>
  <si>
    <t>Credit Cards</t>
  </si>
  <si>
    <t>Credit Card Utilization</t>
  </si>
  <si>
    <t>Romanian Commercial Bank (BCR)</t>
  </si>
  <si>
    <t>Raifeissen Bank</t>
  </si>
  <si>
    <t>Bancpost</t>
  </si>
  <si>
    <t>Romanian Bank for Development (BRD)</t>
  </si>
  <si>
    <t>Estimated total credit cards, Romania</t>
  </si>
  <si>
    <t>Exhibit 5</t>
  </si>
  <si>
    <r>
      <t>Annual Income (</t>
    </r>
    <r>
      <rPr>
        <b/>
        <sz val="9"/>
        <color indexed="8"/>
        <rFont val="Arial"/>
        <family val="2"/>
      </rPr>
      <t>€</t>
    </r>
    <r>
      <rPr>
        <b/>
        <sz val="8.1"/>
        <color indexed="8"/>
        <rFont val="Verdana"/>
        <family val="2"/>
      </rPr>
      <t>)</t>
    </r>
  </si>
  <si>
    <t>% of Population</t>
  </si>
  <si>
    <t>&lt;1,500</t>
  </si>
  <si>
    <t>1,500 - 2,000</t>
  </si>
  <si>
    <t>2,000 - 3,000</t>
  </si>
  <si>
    <t>3,000 - 4,500</t>
  </si>
  <si>
    <t>4,500 - 6,000</t>
  </si>
  <si>
    <t>6,000 - 7,000</t>
  </si>
  <si>
    <t>7,000 - 10,000</t>
  </si>
  <si>
    <t>10,000 - 15,000</t>
  </si>
  <si>
    <t>&gt;15,000</t>
  </si>
  <si>
    <t>Target Segments &amp; Revenue (TN)</t>
  </si>
  <si>
    <t>Table 1</t>
  </si>
  <si>
    <t>População da Roménia em 2005</t>
  </si>
  <si>
    <t>Romanian Market</t>
  </si>
  <si>
    <t>% of Potential Cardholders</t>
  </si>
  <si>
    <t>Potential Cardholders (MM)</t>
  </si>
  <si>
    <t>% da população por segmento</t>
  </si>
  <si>
    <t>Source</t>
  </si>
  <si>
    <t>3000-4500</t>
  </si>
  <si>
    <t>4500-6000</t>
  </si>
  <si>
    <t>6000+</t>
  </si>
  <si>
    <r>
      <t xml:space="preserve">Annual Revenue per Cardholder </t>
    </r>
    <r>
      <rPr>
        <b/>
        <i/>
        <sz val="9"/>
        <rFont val="Verdana"/>
        <family val="2"/>
      </rPr>
      <t>(all customers)</t>
    </r>
  </si>
  <si>
    <t>Annual Revenue per Cardholder (Affluent + Most Affluent)</t>
  </si>
  <si>
    <t>Customer Acquisition (TN)</t>
  </si>
  <si>
    <t>Tables 2A, 2B</t>
  </si>
  <si>
    <t>Customer Acquisition Costs (All Customers)</t>
  </si>
  <si>
    <t xml:space="preserve"> Unit Cost (€)</t>
  </si>
  <si>
    <t>Qualif. Rate</t>
  </si>
  <si>
    <t>Conversion Rate</t>
  </si>
  <si>
    <t>Effective Hit Rate</t>
  </si>
  <si>
    <t>Customers</t>
  </si>
  <si>
    <t xml:space="preserve"> Total Cost (€M)</t>
  </si>
  <si>
    <t>Cost per Customer</t>
  </si>
  <si>
    <t>Total, All Channels</t>
  </si>
  <si>
    <t>No Direct Mail</t>
  </si>
  <si>
    <t>Top 3 Channels (Direct Mail, FSIs, Branch Cross-Sell)</t>
  </si>
  <si>
    <t>Customer Acquisition Costs (Premium Only)</t>
  </si>
  <si>
    <t>Total</t>
  </si>
  <si>
    <t>Top 3 Channels (Direct Mail, Direct Sales, Branch Cross-Sell)</t>
  </si>
  <si>
    <t>Direct Sales calculation</t>
  </si>
  <si>
    <t>No of reps</t>
  </si>
  <si>
    <t>Calls per day</t>
  </si>
  <si>
    <t>Days</t>
  </si>
  <si>
    <t>Months</t>
  </si>
  <si>
    <t>Customers reached</t>
  </si>
  <si>
    <t>Cost per rep (€)</t>
  </si>
  <si>
    <t>Annual cost (€)</t>
  </si>
  <si>
    <t>Economics (TN)</t>
  </si>
  <si>
    <t>Table 3B</t>
  </si>
  <si>
    <t>Assumptions</t>
  </si>
  <si>
    <t>Toggles</t>
  </si>
  <si>
    <t>Customer Targeting</t>
  </si>
  <si>
    <t>Affluent Only</t>
  </si>
  <si>
    <t>All customers</t>
  </si>
  <si>
    <t>Affluent + Most Affluent</t>
  </si>
  <si>
    <t>All Customers</t>
  </si>
  <si>
    <t>Acquisition</t>
  </si>
  <si>
    <t>All Channels</t>
  </si>
  <si>
    <t>All channels</t>
  </si>
  <si>
    <t>Number of Customers</t>
  </si>
  <si>
    <t xml:space="preserve">Per Customer </t>
  </si>
  <si>
    <t>Revenue</t>
  </si>
  <si>
    <t>Acquisition Cost</t>
  </si>
  <si>
    <t>Direct Cost</t>
  </si>
  <si>
    <t>Costs: New Customer</t>
  </si>
  <si>
    <t>Costs: Existing Customer</t>
  </si>
  <si>
    <t>Contribution: New Customer</t>
  </si>
  <si>
    <t>Contribution: Existing Customer</t>
  </si>
  <si>
    <t>New Customers</t>
  </si>
  <si>
    <t>Existing Customers</t>
  </si>
  <si>
    <t>Credit Card Profitability</t>
  </si>
  <si>
    <t>New Customer</t>
  </si>
  <si>
    <t>Existing Customer</t>
  </si>
  <si>
    <t>Total Contribution</t>
  </si>
  <si>
    <t>Fixed Cost Infrastructure</t>
  </si>
  <si>
    <t>Advertising Expense</t>
  </si>
  <si>
    <t>Profit (Loss)</t>
  </si>
  <si>
    <t>Cumulative Profit (Loss)</t>
  </si>
  <si>
    <t>Breakeven (customers)</t>
  </si>
  <si>
    <t xml:space="preserve">Time required (months) </t>
  </si>
  <si>
    <t>Breakeven (cumulative)</t>
  </si>
  <si>
    <t>Variation</t>
  </si>
  <si>
    <t>slope1</t>
  </si>
  <si>
    <t>slope2</t>
  </si>
  <si>
    <t>slope3</t>
  </si>
  <si>
    <t>slope4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</si>
</sst>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[$€-2]\ #,##0.00"/>
    <numFmt numFmtId="169" formatCode="#,##0.00\ &quot;€&quot;"/>
    <numFmt numFmtId="170" formatCode="_(* #,##0.000_);_(* \(#,##0.000\);_(* &quot;-&quot;??_);_(@_)"/>
    <numFmt numFmtId="171" formatCode="0.000"/>
  </numFmts>
  <fonts count="27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name val="Verdana"/>
      <family val="2"/>
    </font>
    <font>
      <b/>
      <sz val="9"/>
      <color indexed="9"/>
      <name val="Verdana"/>
      <family val="2"/>
    </font>
    <font>
      <b/>
      <sz val="9"/>
      <name val="Verdana"/>
      <family val="2"/>
    </font>
    <font>
      <b/>
      <sz val="9"/>
      <color indexed="8"/>
      <name val="Verdana"/>
      <family val="2"/>
    </font>
    <font>
      <b/>
      <sz val="10"/>
      <color indexed="9"/>
      <name val="Verdana"/>
      <family val="2"/>
    </font>
    <font>
      <sz val="8"/>
      <name val="Arial"/>
      <family val="2"/>
    </font>
    <font>
      <b/>
      <i/>
      <sz val="9"/>
      <name val="Verdana"/>
      <family val="2"/>
    </font>
    <font>
      <b/>
      <u/>
      <sz val="9"/>
      <name val="Verdana"/>
      <family val="2"/>
    </font>
    <font>
      <sz val="9"/>
      <color indexed="8"/>
      <name val="Verdana"/>
      <family val="2"/>
    </font>
    <font>
      <b/>
      <sz val="8.1"/>
      <color indexed="8"/>
      <name val="Arial"/>
      <family val="2"/>
    </font>
    <font>
      <sz val="8.1"/>
      <name val="Verdana"/>
      <family val="2"/>
    </font>
    <font>
      <b/>
      <sz val="9"/>
      <color indexed="12"/>
      <name val="Verdana"/>
      <family val="2"/>
    </font>
    <font>
      <b/>
      <sz val="9"/>
      <color indexed="9"/>
      <name val="Arial"/>
      <family val="2"/>
    </font>
    <font>
      <sz val="9"/>
      <color indexed="9"/>
      <name val="Verdana"/>
      <family val="2"/>
    </font>
    <font>
      <b/>
      <sz val="8.1"/>
      <color indexed="8"/>
      <name val="Verdana"/>
      <family val="2"/>
    </font>
    <font>
      <i/>
      <sz val="9"/>
      <name val="Arial"/>
      <family val="2"/>
    </font>
    <font>
      <sz val="9"/>
      <color rgb="FF444444"/>
      <name val="Verdana"/>
    </font>
    <font>
      <i/>
      <sz val="9"/>
      <color rgb="FF000000"/>
      <name val="Arial"/>
      <family val="2"/>
    </font>
    <font>
      <sz val="9"/>
      <color rgb="FF000000"/>
      <name val="Verdana"/>
      <family val="2"/>
    </font>
    <font>
      <b/>
      <sz val="9"/>
      <color rgb="FF000000"/>
      <name val="Verdana"/>
    </font>
    <font>
      <sz val="11"/>
      <color rgb="FF444444"/>
      <name val="Calibri"/>
      <family val="2"/>
      <charset val="1"/>
    </font>
    <font>
      <sz val="9"/>
      <color theme="1"/>
      <name val="Verdana"/>
      <family val="2"/>
    </font>
    <font>
      <sz val="9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/>
      <bottom style="thick">
        <color indexed="9"/>
      </bottom>
      <diagonal/>
    </border>
    <border>
      <left style="thick">
        <color indexed="9"/>
      </left>
      <right/>
      <top/>
      <bottom style="thick">
        <color indexed="9"/>
      </bottom>
      <diagonal/>
    </border>
    <border>
      <left/>
      <right style="thick">
        <color indexed="9"/>
      </right>
      <top/>
      <bottom style="thick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3" fillId="2" borderId="1" xfId="0" applyFont="1" applyFill="1" applyBorder="1" applyAlignment="1">
      <alignment horizontal="centerContinuous" vertical="center" wrapText="1"/>
    </xf>
    <xf numFmtId="0" fontId="3" fillId="2" borderId="2" xfId="0" applyFont="1" applyFill="1" applyBorder="1" applyAlignment="1">
      <alignment horizontal="centerContinuous" vertical="center" wrapText="1"/>
    </xf>
    <xf numFmtId="0" fontId="3" fillId="2" borderId="3" xfId="0" applyFont="1" applyFill="1" applyBorder="1" applyAlignment="1">
      <alignment horizontal="centerContinuous" vertical="center" wrapText="1"/>
    </xf>
    <xf numFmtId="0" fontId="5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Continuous" vertical="center" wrapText="1"/>
    </xf>
    <xf numFmtId="0" fontId="7" fillId="2" borderId="2" xfId="0" applyFont="1" applyFill="1" applyBorder="1" applyAlignment="1">
      <alignment horizontal="centerContinuous" vertical="center" wrapText="1"/>
    </xf>
    <xf numFmtId="0" fontId="7" fillId="2" borderId="3" xfId="0" applyFont="1" applyFill="1" applyBorder="1" applyAlignment="1">
      <alignment horizontal="centerContinuous" vertical="center" wrapText="1"/>
    </xf>
    <xf numFmtId="166" fontId="4" fillId="0" borderId="0" xfId="1" applyNumberFormat="1" applyFont="1" applyAlignment="1">
      <alignment vertical="center"/>
    </xf>
    <xf numFmtId="0" fontId="8" fillId="3" borderId="0" xfId="0" applyFont="1" applyFill="1" applyAlignment="1">
      <alignment vertical="center"/>
    </xf>
    <xf numFmtId="9" fontId="4" fillId="0" borderId="0" xfId="2" applyFont="1" applyAlignment="1">
      <alignment vertical="center"/>
    </xf>
    <xf numFmtId="166" fontId="4" fillId="0" borderId="0" xfId="0" applyNumberFormat="1" applyFont="1" applyAlignment="1">
      <alignment vertical="center"/>
    </xf>
    <xf numFmtId="164" fontId="4" fillId="0" borderId="0" xfId="1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164" fontId="4" fillId="0" borderId="0" xfId="0" applyNumberFormat="1" applyFont="1" applyAlignment="1">
      <alignment vertical="center"/>
    </xf>
    <xf numFmtId="167" fontId="4" fillId="0" borderId="0" xfId="2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4" fontId="4" fillId="0" borderId="0" xfId="1" applyFont="1" applyAlignment="1">
      <alignment horizontal="right" vertical="center"/>
    </xf>
    <xf numFmtId="0" fontId="7" fillId="0" borderId="0" xfId="0" applyFont="1"/>
    <xf numFmtId="168" fontId="4" fillId="0" borderId="0" xfId="0" applyNumberFormat="1" applyFont="1" applyAlignment="1">
      <alignment vertical="center"/>
    </xf>
    <xf numFmtId="166" fontId="4" fillId="0" borderId="0" xfId="1" applyNumberFormat="1" applyFont="1" applyAlignment="1">
      <alignment horizontal="center" vertical="center"/>
    </xf>
    <xf numFmtId="167" fontId="6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Continuous" vertical="center" wrapText="1"/>
    </xf>
    <xf numFmtId="0" fontId="3" fillId="2" borderId="5" xfId="0" applyFont="1" applyFill="1" applyBorder="1" applyAlignment="1">
      <alignment horizontal="centerContinuous" vertical="center" wrapText="1"/>
    </xf>
    <xf numFmtId="0" fontId="3" fillId="2" borderId="6" xfId="0" applyFont="1" applyFill="1" applyBorder="1" applyAlignment="1">
      <alignment horizontal="centerContinuous" vertical="center" wrapText="1"/>
    </xf>
    <xf numFmtId="166" fontId="7" fillId="2" borderId="6" xfId="1" applyNumberFormat="1" applyFont="1" applyFill="1" applyBorder="1" applyAlignment="1">
      <alignment horizontal="centerContinuous" vertical="center" wrapText="1"/>
    </xf>
    <xf numFmtId="166" fontId="7" fillId="2" borderId="4" xfId="1" applyNumberFormat="1" applyFont="1" applyFill="1" applyBorder="1" applyAlignment="1">
      <alignment horizontal="centerContinuous" vertical="center" wrapText="1"/>
    </xf>
    <xf numFmtId="0" fontId="4" fillId="0" borderId="7" xfId="0" applyFont="1" applyBorder="1" applyAlignment="1">
      <alignment vertical="center"/>
    </xf>
    <xf numFmtId="165" fontId="4" fillId="0" borderId="7" xfId="1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166" fontId="4" fillId="0" borderId="8" xfId="1" applyNumberFormat="1" applyFont="1" applyBorder="1" applyAlignment="1">
      <alignment vertical="center"/>
    </xf>
    <xf numFmtId="9" fontId="4" fillId="0" borderId="8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166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5" fillId="4" borderId="9" xfId="0" applyFont="1" applyFill="1" applyBorder="1" applyAlignment="1" applyProtection="1">
      <alignment vertical="center"/>
      <protection locked="0"/>
    </xf>
    <xf numFmtId="0" fontId="15" fillId="4" borderId="10" xfId="0" applyFont="1" applyFill="1" applyBorder="1" applyAlignment="1" applyProtection="1">
      <alignment vertical="center"/>
      <protection locked="0"/>
    </xf>
    <xf numFmtId="165" fontId="15" fillId="4" borderId="11" xfId="0" applyNumberFormat="1" applyFont="1" applyFill="1" applyBorder="1" applyAlignment="1" applyProtection="1">
      <alignment vertical="center"/>
      <protection locked="0"/>
    </xf>
    <xf numFmtId="0" fontId="16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4" fillId="0" borderId="0" xfId="1" applyNumberFormat="1" applyFont="1" applyAlignment="1">
      <alignment horizontal="right" vertical="center"/>
    </xf>
    <xf numFmtId="0" fontId="2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166" fontId="4" fillId="0" borderId="7" xfId="1" applyNumberFormat="1" applyFont="1" applyBorder="1" applyAlignment="1">
      <alignment horizontal="center" vertical="center"/>
    </xf>
    <xf numFmtId="164" fontId="4" fillId="0" borderId="7" xfId="1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0" fontId="4" fillId="0" borderId="0" xfId="0" quotePrefix="1" applyFont="1" applyAlignment="1">
      <alignment horizontal="center" vertical="center"/>
    </xf>
    <xf numFmtId="10" fontId="2" fillId="0" borderId="0" xfId="0" applyNumberFormat="1" applyFont="1"/>
    <xf numFmtId="10" fontId="4" fillId="0" borderId="0" xfId="0" applyNumberFormat="1" applyFont="1" applyAlignment="1">
      <alignment vertical="center"/>
    </xf>
    <xf numFmtId="167" fontId="4" fillId="0" borderId="0" xfId="0" applyNumberFormat="1" applyFont="1" applyAlignment="1">
      <alignment vertical="center"/>
    </xf>
    <xf numFmtId="169" fontId="4" fillId="0" borderId="0" xfId="1" applyNumberFormat="1" applyFont="1" applyAlignment="1">
      <alignment vertical="center"/>
    </xf>
    <xf numFmtId="10" fontId="4" fillId="0" borderId="0" xfId="1" applyNumberFormat="1" applyFont="1" applyAlignment="1">
      <alignment vertical="center"/>
    </xf>
    <xf numFmtId="169" fontId="4" fillId="0" borderId="0" xfId="0" applyNumberFormat="1" applyFont="1" applyAlignment="1">
      <alignment vertical="center"/>
    </xf>
    <xf numFmtId="164" fontId="20" fillId="0" borderId="0" xfId="0" quotePrefix="1" applyNumberFormat="1" applyFont="1"/>
    <xf numFmtId="10" fontId="20" fillId="0" borderId="0" xfId="0" quotePrefix="1" applyNumberFormat="1" applyFont="1"/>
    <xf numFmtId="2" fontId="4" fillId="0" borderId="0" xfId="1" applyNumberFormat="1" applyFont="1" applyAlignment="1">
      <alignment vertical="center"/>
    </xf>
    <xf numFmtId="169" fontId="20" fillId="0" borderId="0" xfId="0" quotePrefix="1" applyNumberFormat="1" applyFont="1"/>
    <xf numFmtId="0" fontId="2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21" fillId="7" borderId="0" xfId="0" applyFont="1" applyFill="1" applyAlignment="1">
      <alignment horizontal="center"/>
    </xf>
    <xf numFmtId="166" fontId="22" fillId="7" borderId="0" xfId="1" applyNumberFormat="1" applyFont="1" applyFill="1" applyAlignment="1">
      <alignment vertical="center"/>
    </xf>
    <xf numFmtId="166" fontId="22" fillId="7" borderId="7" xfId="1" applyNumberFormat="1" applyFont="1" applyFill="1" applyBorder="1" applyAlignment="1">
      <alignment vertical="center"/>
    </xf>
    <xf numFmtId="0" fontId="4" fillId="7" borderId="0" xfId="0" applyFont="1" applyFill="1" applyAlignment="1">
      <alignment vertical="center"/>
    </xf>
    <xf numFmtId="166" fontId="4" fillId="0" borderId="0" xfId="1" applyNumberFormat="1" applyFont="1" applyFill="1" applyAlignment="1">
      <alignment vertical="center"/>
    </xf>
    <xf numFmtId="167" fontId="4" fillId="0" borderId="0" xfId="2" applyNumberFormat="1" applyFont="1" applyFill="1" applyAlignment="1">
      <alignment vertical="center"/>
    </xf>
    <xf numFmtId="168" fontId="4" fillId="7" borderId="0" xfId="0" applyNumberFormat="1" applyFont="1" applyFill="1" applyAlignment="1">
      <alignment vertical="center"/>
    </xf>
    <xf numFmtId="166" fontId="15" fillId="7" borderId="0" xfId="0" applyNumberFormat="1" applyFont="1" applyFill="1" applyAlignment="1" applyProtection="1">
      <alignment vertical="center"/>
      <protection locked="0"/>
    </xf>
    <xf numFmtId="166" fontId="15" fillId="4" borderId="12" xfId="0" applyNumberFormat="1" applyFont="1" applyFill="1" applyBorder="1" applyAlignment="1" applyProtection="1">
      <alignment vertical="center"/>
      <protection locked="0"/>
    </xf>
    <xf numFmtId="166" fontId="15" fillId="5" borderId="12" xfId="0" applyNumberFormat="1" applyFont="1" applyFill="1" applyBorder="1" applyAlignment="1" applyProtection="1">
      <alignment vertical="center"/>
      <protection locked="0"/>
    </xf>
    <xf numFmtId="166" fontId="15" fillId="5" borderId="13" xfId="0" applyNumberFormat="1" applyFont="1" applyFill="1" applyBorder="1" applyAlignment="1" applyProtection="1">
      <alignment vertical="center"/>
      <protection locked="0"/>
    </xf>
    <xf numFmtId="0" fontId="4" fillId="0" borderId="13" xfId="0" applyFont="1" applyBorder="1" applyAlignment="1">
      <alignment vertical="center"/>
    </xf>
    <xf numFmtId="0" fontId="24" fillId="0" borderId="0" xfId="0" quotePrefix="1" applyFont="1"/>
    <xf numFmtId="10" fontId="4" fillId="0" borderId="0" xfId="2" applyNumberFormat="1" applyFont="1" applyAlignment="1">
      <alignment vertical="center"/>
    </xf>
    <xf numFmtId="170" fontId="4" fillId="0" borderId="0" xfId="1" applyNumberFormat="1" applyFont="1" applyAlignment="1">
      <alignment vertical="center"/>
    </xf>
    <xf numFmtId="170" fontId="4" fillId="0" borderId="0" xfId="1" applyNumberFormat="1" applyFont="1" applyAlignment="1">
      <alignment horizontal="right" vertical="center"/>
    </xf>
    <xf numFmtId="170" fontId="4" fillId="0" borderId="0" xfId="0" applyNumberFormat="1" applyFont="1" applyAlignment="1">
      <alignment horizontal="right" vertical="center"/>
    </xf>
    <xf numFmtId="166" fontId="24" fillId="0" borderId="0" xfId="0" quotePrefix="1" applyNumberFormat="1" applyFont="1"/>
    <xf numFmtId="0" fontId="25" fillId="0" borderId="0" xfId="0" applyFont="1" applyAlignment="1">
      <alignment vertical="center"/>
    </xf>
    <xf numFmtId="0" fontId="4" fillId="8" borderId="0" xfId="0" applyFont="1" applyFill="1" applyAlignment="1">
      <alignment vertical="center"/>
    </xf>
    <xf numFmtId="171" fontId="4" fillId="0" borderId="0" xfId="0" applyNumberFormat="1" applyFont="1" applyAlignment="1">
      <alignment horizontal="right" vertical="center"/>
    </xf>
    <xf numFmtId="167" fontId="22" fillId="7" borderId="0" xfId="2" applyNumberFormat="1" applyFont="1" applyFill="1" applyAlignment="1">
      <alignment vertical="center"/>
    </xf>
    <xf numFmtId="164" fontId="20" fillId="0" borderId="0" xfId="0" applyNumberFormat="1" applyFont="1"/>
    <xf numFmtId="43" fontId="4" fillId="0" borderId="0" xfId="0" applyNumberFormat="1" applyFont="1" applyAlignment="1">
      <alignment vertical="center"/>
    </xf>
    <xf numFmtId="43" fontId="26" fillId="0" borderId="0" xfId="0" applyNumberFormat="1" applyFont="1"/>
    <xf numFmtId="169" fontId="24" fillId="0" borderId="0" xfId="0" applyNumberFormat="1" applyFont="1"/>
    <xf numFmtId="169" fontId="24" fillId="0" borderId="0" xfId="0" quotePrefix="1" applyNumberFormat="1" applyFont="1"/>
    <xf numFmtId="2" fontId="4" fillId="7" borderId="0" xfId="2" applyNumberFormat="1" applyFont="1" applyFill="1" applyAlignment="1">
      <alignment vertical="center"/>
    </xf>
    <xf numFmtId="0" fontId="6" fillId="7" borderId="0" xfId="0" applyFont="1" applyFill="1" applyAlignment="1">
      <alignment vertical="center"/>
    </xf>
    <xf numFmtId="2" fontId="4" fillId="7" borderId="0" xfId="0" applyNumberFormat="1" applyFont="1" applyFill="1" applyAlignment="1">
      <alignment horizontal="right" vertical="center"/>
    </xf>
    <xf numFmtId="168" fontId="4" fillId="7" borderId="0" xfId="0" applyNumberFormat="1" applyFont="1" applyFill="1" applyAlignment="1">
      <alignment horizontal="right" vertical="center"/>
    </xf>
    <xf numFmtId="43" fontId="4" fillId="7" borderId="0" xfId="0" applyNumberFormat="1" applyFont="1" applyFill="1" applyAlignment="1">
      <alignment horizontal="right" vertical="center"/>
    </xf>
    <xf numFmtId="168" fontId="4" fillId="7" borderId="0" xfId="1" applyNumberFormat="1" applyFont="1" applyFill="1" applyAlignment="1">
      <alignment horizontal="right" vertical="center"/>
    </xf>
    <xf numFmtId="0" fontId="4" fillId="7" borderId="0" xfId="0" applyFont="1" applyFill="1" applyAlignment="1">
      <alignment horizontal="right" vertical="center"/>
    </xf>
    <xf numFmtId="169" fontId="4" fillId="7" borderId="0" xfId="0" applyNumberFormat="1" applyFont="1" applyFill="1" applyAlignment="1">
      <alignment horizontal="right" vertical="center"/>
    </xf>
    <xf numFmtId="169" fontId="4" fillId="7" borderId="0" xfId="0" applyNumberFormat="1" applyFont="1" applyFill="1" applyAlignment="1">
      <alignment vertical="center"/>
    </xf>
    <xf numFmtId="166" fontId="4" fillId="7" borderId="0" xfId="0" applyNumberFormat="1" applyFont="1" applyFill="1" applyAlignment="1">
      <alignment vertical="center"/>
    </xf>
    <xf numFmtId="166" fontId="4" fillId="7" borderId="0" xfId="0" applyNumberFormat="1" applyFont="1" applyFill="1" applyAlignment="1">
      <alignment horizontal="right" vertical="center"/>
    </xf>
    <xf numFmtId="166" fontId="4" fillId="7" borderId="0" xfId="1" applyNumberFormat="1" applyFont="1" applyFill="1" applyAlignment="1">
      <alignment vertical="center"/>
    </xf>
    <xf numFmtId="1" fontId="4" fillId="7" borderId="0" xfId="0" applyNumberFormat="1" applyFont="1" applyFill="1" applyAlignment="1">
      <alignment horizontal="right" vertical="center"/>
    </xf>
    <xf numFmtId="1" fontId="4" fillId="7" borderId="0" xfId="0" applyNumberFormat="1" applyFont="1" applyFill="1" applyAlignment="1">
      <alignment vertical="center"/>
    </xf>
    <xf numFmtId="166" fontId="4" fillId="7" borderId="7" xfId="1" applyNumberFormat="1" applyFont="1" applyFill="1" applyBorder="1" applyAlignment="1">
      <alignment vertical="center"/>
    </xf>
    <xf numFmtId="0" fontId="4" fillId="7" borderId="7" xfId="0" applyFont="1" applyFill="1" applyBorder="1" applyAlignment="1">
      <alignment vertical="center"/>
    </xf>
    <xf numFmtId="166" fontId="4" fillId="7" borderId="7" xfId="0" applyNumberFormat="1" applyFont="1" applyFill="1" applyBorder="1" applyAlignment="1">
      <alignment vertical="center"/>
    </xf>
    <xf numFmtId="166" fontId="4" fillId="7" borderId="7" xfId="0" applyNumberFormat="1" applyFont="1" applyFill="1" applyBorder="1" applyAlignment="1">
      <alignment horizontal="right" vertical="center"/>
    </xf>
    <xf numFmtId="166" fontId="4" fillId="0" borderId="7" xfId="1" applyNumberFormat="1" applyFont="1" applyFill="1" applyBorder="1" applyAlignment="1">
      <alignment vertical="center"/>
    </xf>
    <xf numFmtId="166" fontId="4" fillId="0" borderId="7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5" fillId="0" borderId="0" xfId="0" applyFont="1" applyAlignment="1" applyProtection="1">
      <alignment horizontal="center" vertical="center"/>
      <protection locked="0"/>
    </xf>
    <xf numFmtId="0" fontId="16" fillId="3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3D3D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showGridLines="0" zoomScale="90" workbookViewId="0">
      <pane xSplit="1" ySplit="1" topLeftCell="B2" activePane="bottomRight" state="frozen"/>
      <selection pane="bottomRight" activeCell="H45" sqref="H45"/>
      <selection pane="bottomLeft" activeCell="A2" sqref="A2"/>
      <selection pane="topRight" activeCell="B1" sqref="B1"/>
    </sheetView>
  </sheetViews>
  <sheetFormatPr defaultRowHeight="11.25"/>
  <cols>
    <col min="1" max="1" width="2.28515625" style="5" customWidth="1"/>
    <col min="2" max="2" width="18" style="5" customWidth="1"/>
    <col min="3" max="13" width="11.7109375" style="5" customWidth="1"/>
    <col min="14" max="256" width="11.42578125" style="5" customWidth="1"/>
    <col min="257" max="16384" width="9.140625" style="5"/>
  </cols>
  <sheetData>
    <row r="1" spans="1:13" ht="12.75">
      <c r="A1" s="4"/>
      <c r="B1" s="11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15" customHeight="1" thickBot="1">
      <c r="B3" s="16" t="s">
        <v>1</v>
      </c>
    </row>
    <row r="4" spans="1:13" ht="22.5" thickTop="1" thickBot="1">
      <c r="B4" s="1" t="s">
        <v>2</v>
      </c>
      <c r="C4" s="2"/>
      <c r="D4" s="2"/>
      <c r="E4" s="2"/>
      <c r="F4" s="2"/>
      <c r="G4"/>
      <c r="H4"/>
    </row>
    <row r="5" spans="1:13" ht="25.5" thickTop="1" thickBot="1">
      <c r="B5" s="30" t="s">
        <v>3</v>
      </c>
      <c r="C5" s="30" t="s">
        <v>4</v>
      </c>
      <c r="D5" s="28" t="s">
        <v>5</v>
      </c>
      <c r="E5" s="28" t="s">
        <v>6</v>
      </c>
      <c r="F5" s="29" t="s">
        <v>7</v>
      </c>
      <c r="G5"/>
    </row>
    <row r="6" spans="1:13" ht="12" thickTop="1">
      <c r="B6" s="5" t="s">
        <v>8</v>
      </c>
      <c r="C6" s="24" t="s">
        <v>9</v>
      </c>
      <c r="D6" s="14">
        <f>3750*15%*30%*22%</f>
        <v>37.125</v>
      </c>
      <c r="E6" s="14">
        <f>20+35*10%</f>
        <v>23.5</v>
      </c>
      <c r="F6" s="18">
        <f>D6+E6</f>
        <v>60.625</v>
      </c>
    </row>
    <row r="7" spans="1:13">
      <c r="B7" s="5" t="s">
        <v>10</v>
      </c>
      <c r="C7" s="24" t="s">
        <v>11</v>
      </c>
      <c r="D7" s="14">
        <f>5250*15%*50%*22%</f>
        <v>86.625</v>
      </c>
      <c r="E7" s="14">
        <f>35+35*5%</f>
        <v>36.75</v>
      </c>
      <c r="F7" s="18">
        <f>D7+E7</f>
        <v>123.375</v>
      </c>
    </row>
    <row r="8" spans="1:13">
      <c r="B8" s="5" t="s">
        <v>12</v>
      </c>
      <c r="C8" s="24" t="s">
        <v>13</v>
      </c>
      <c r="D8" s="14">
        <f>6000*15%*75%*22%</f>
        <v>148.5</v>
      </c>
      <c r="E8" s="14">
        <f>60+25*5%</f>
        <v>61.25</v>
      </c>
      <c r="F8" s="18">
        <f>D8+E8</f>
        <v>209.75</v>
      </c>
    </row>
    <row r="10" spans="1:13" ht="15" customHeight="1" thickBot="1">
      <c r="B10" s="16" t="s">
        <v>14</v>
      </c>
    </row>
    <row r="11" spans="1:13" ht="25.5" thickTop="1" thickBot="1">
      <c r="C11" s="1" t="s">
        <v>15</v>
      </c>
      <c r="D11" s="2" t="s">
        <v>16</v>
      </c>
      <c r="E11" s="3" t="s">
        <v>17</v>
      </c>
      <c r="F11" s="3" t="s">
        <v>18</v>
      </c>
    </row>
    <row r="12" spans="1:13" ht="12" thickTop="1">
      <c r="B12" s="17" t="s">
        <v>19</v>
      </c>
      <c r="C12" s="14">
        <v>0.5</v>
      </c>
      <c r="D12" s="10">
        <v>2500000</v>
      </c>
      <c r="E12" s="19">
        <v>0.03</v>
      </c>
      <c r="F12" s="19">
        <v>0.6</v>
      </c>
    </row>
    <row r="13" spans="1:13">
      <c r="B13" s="17" t="s">
        <v>20</v>
      </c>
      <c r="C13" s="14">
        <v>0.1</v>
      </c>
      <c r="D13" s="10">
        <v>2000000</v>
      </c>
      <c r="E13" s="19">
        <v>2.5000000000000001E-2</v>
      </c>
      <c r="F13" s="19">
        <v>0.3</v>
      </c>
    </row>
    <row r="14" spans="1:13">
      <c r="B14" s="17" t="s">
        <v>21</v>
      </c>
      <c r="C14" s="21">
        <v>0.05</v>
      </c>
      <c r="D14" s="10">
        <v>3500000</v>
      </c>
      <c r="E14" s="19">
        <v>1.4999999999999999E-2</v>
      </c>
      <c r="F14" s="19">
        <v>0.3</v>
      </c>
    </row>
    <row r="15" spans="1:13">
      <c r="B15" s="17" t="s">
        <v>22</v>
      </c>
      <c r="C15" s="20" t="s">
        <v>23</v>
      </c>
      <c r="D15" s="10">
        <v>60000</v>
      </c>
      <c r="E15" s="19">
        <v>0.25</v>
      </c>
      <c r="F15" s="19">
        <v>0.6</v>
      </c>
    </row>
    <row r="16" spans="1:13">
      <c r="B16" s="17" t="s">
        <v>24</v>
      </c>
      <c r="C16" s="14">
        <v>1</v>
      </c>
      <c r="D16" s="10">
        <v>50000</v>
      </c>
      <c r="E16" s="19">
        <v>0.5</v>
      </c>
      <c r="F16" s="19">
        <v>0.9</v>
      </c>
    </row>
    <row r="18" spans="2:6" ht="13.5" thickBot="1">
      <c r="B18" s="16" t="s">
        <v>25</v>
      </c>
      <c r="E18"/>
    </row>
    <row r="19" spans="2:6" ht="13.5" thickTop="1" thickBot="1">
      <c r="B19" s="16"/>
      <c r="D19" s="1">
        <v>2003</v>
      </c>
      <c r="E19" s="1">
        <v>2004</v>
      </c>
      <c r="F19" s="3">
        <v>2005</v>
      </c>
    </row>
    <row r="20" spans="2:6" ht="12" thickTop="1">
      <c r="B20" s="5" t="s">
        <v>26</v>
      </c>
      <c r="D20" s="15">
        <v>66</v>
      </c>
      <c r="E20" s="15">
        <v>82</v>
      </c>
      <c r="F20" s="15">
        <v>87.5</v>
      </c>
    </row>
    <row r="21" spans="2:6">
      <c r="B21" s="33" t="s">
        <v>27</v>
      </c>
      <c r="C21" s="33"/>
      <c r="D21" s="34">
        <v>4</v>
      </c>
      <c r="E21" s="34">
        <v>6.9</v>
      </c>
      <c r="F21" s="34">
        <v>13.1</v>
      </c>
    </row>
    <row r="22" spans="2:6">
      <c r="B22" s="5" t="s">
        <v>28</v>
      </c>
      <c r="D22" s="15">
        <f>SUM(D20:D21)</f>
        <v>70</v>
      </c>
      <c r="E22" s="15">
        <f>SUM(E20:E21)</f>
        <v>88.9</v>
      </c>
      <c r="F22" s="15">
        <f>SUM(F20:F21)</f>
        <v>100.6</v>
      </c>
    </row>
    <row r="23" spans="2:6">
      <c r="D23" s="15"/>
      <c r="E23" s="15"/>
      <c r="F23" s="15"/>
    </row>
    <row r="24" spans="2:6">
      <c r="B24" s="5" t="s">
        <v>29</v>
      </c>
      <c r="D24" s="15">
        <f>1.2%*D35*50%</f>
        <v>9.8406000000000002</v>
      </c>
      <c r="E24" s="15">
        <f>1.2%*E35*50%</f>
        <v>11.528999999999998</v>
      </c>
      <c r="F24" s="15">
        <f>1.2%*F35*50%</f>
        <v>14.4</v>
      </c>
    </row>
    <row r="25" spans="2:6">
      <c r="B25" s="33" t="s">
        <v>30</v>
      </c>
      <c r="C25" s="33"/>
      <c r="D25" s="34">
        <v>3.3485375000000004</v>
      </c>
      <c r="E25" s="34">
        <v>3.9230624999999995</v>
      </c>
      <c r="F25" s="34">
        <v>4.9000000000000004</v>
      </c>
    </row>
    <row r="26" spans="2:6">
      <c r="B26" s="5" t="s">
        <v>31</v>
      </c>
      <c r="D26" s="15">
        <f>SUM(D24:D25)</f>
        <v>13.189137500000001</v>
      </c>
      <c r="E26" s="15">
        <f>SUM(E24:E25)</f>
        <v>15.452062499999997</v>
      </c>
      <c r="F26" s="15">
        <f>SUM(F24:F25)</f>
        <v>19.3</v>
      </c>
    </row>
    <row r="27" spans="2:6">
      <c r="D27" s="15"/>
      <c r="E27" s="15"/>
      <c r="F27" s="15"/>
    </row>
    <row r="28" spans="2:6">
      <c r="B28" s="5" t="s">
        <v>32</v>
      </c>
      <c r="D28" s="15">
        <v>47</v>
      </c>
      <c r="E28" s="15">
        <v>54.5</v>
      </c>
      <c r="F28" s="15">
        <v>57.9</v>
      </c>
    </row>
    <row r="29" spans="2:6">
      <c r="D29" s="15"/>
      <c r="E29" s="15"/>
      <c r="F29" s="15"/>
    </row>
    <row r="30" spans="2:6">
      <c r="B30" s="5" t="s">
        <v>33</v>
      </c>
      <c r="D30" s="15">
        <v>-4.9000000000000004</v>
      </c>
      <c r="E30" s="15">
        <v>-5.5</v>
      </c>
      <c r="F30" s="15">
        <v>-6.7</v>
      </c>
    </row>
    <row r="32" spans="2:6">
      <c r="B32" s="5" t="s">
        <v>34</v>
      </c>
      <c r="D32" s="26">
        <f>D22-D26-D28+D30</f>
        <v>4.9108624999999986</v>
      </c>
      <c r="E32" s="26">
        <f>E22-E26-E28+E30</f>
        <v>13.447937500000009</v>
      </c>
      <c r="F32" s="26">
        <f>F22-F26-F28+F30</f>
        <v>16.7</v>
      </c>
    </row>
    <row r="34" spans="2:8" ht="12">
      <c r="B34" s="5" t="s">
        <v>35</v>
      </c>
      <c r="D34" s="10">
        <v>2343</v>
      </c>
      <c r="E34" s="10">
        <v>2745</v>
      </c>
      <c r="F34" s="10">
        <v>3000</v>
      </c>
    </row>
    <row r="35" spans="2:8" ht="12">
      <c r="B35" s="5" t="s">
        <v>36</v>
      </c>
      <c r="D35" s="10">
        <f>0.7*D34</f>
        <v>1640.1</v>
      </c>
      <c r="E35" s="10">
        <f>0.7*E34</f>
        <v>1921.4999999999998</v>
      </c>
      <c r="F35" s="10">
        <v>2400</v>
      </c>
    </row>
    <row r="36" spans="2:8" ht="12">
      <c r="B36" s="5" t="s">
        <v>37</v>
      </c>
      <c r="D36" s="10">
        <v>1875</v>
      </c>
      <c r="E36" s="10">
        <v>2232</v>
      </c>
      <c r="F36" s="10">
        <v>2573</v>
      </c>
    </row>
    <row r="37" spans="2:8">
      <c r="B37" s="5" t="s">
        <v>38</v>
      </c>
      <c r="D37" s="10">
        <v>564</v>
      </c>
      <c r="E37" s="10">
        <v>611</v>
      </c>
      <c r="F37" s="10">
        <v>705</v>
      </c>
    </row>
    <row r="38" spans="2:8">
      <c r="B38" s="5" t="s">
        <v>39</v>
      </c>
      <c r="D38" s="10">
        <v>209</v>
      </c>
      <c r="E38" s="10">
        <v>256</v>
      </c>
      <c r="F38" s="10">
        <v>297</v>
      </c>
    </row>
    <row r="39" spans="2:8">
      <c r="B39" s="5" t="s">
        <v>40</v>
      </c>
      <c r="D39" s="10">
        <v>157</v>
      </c>
      <c r="E39" s="10">
        <v>179</v>
      </c>
      <c r="F39" s="10">
        <v>201</v>
      </c>
    </row>
    <row r="40" spans="2:8">
      <c r="B40" s="5" t="s">
        <v>41</v>
      </c>
      <c r="D40" s="10">
        <v>12</v>
      </c>
      <c r="E40" s="10">
        <v>13</v>
      </c>
      <c r="F40" s="10">
        <v>15</v>
      </c>
    </row>
    <row r="42" spans="2:8" ht="12" thickBot="1">
      <c r="B42" s="16" t="s">
        <v>42</v>
      </c>
    </row>
    <row r="43" spans="2:8" ht="35.25" thickTop="1" thickBot="1">
      <c r="B43" s="16"/>
      <c r="E43" s="8" t="s">
        <v>43</v>
      </c>
      <c r="F43" s="9" t="s">
        <v>44</v>
      </c>
      <c r="G43"/>
      <c r="H43"/>
    </row>
    <row r="44" spans="2:8" ht="13.5" thickTop="1">
      <c r="B44" s="5" t="s">
        <v>45</v>
      </c>
      <c r="E44" s="10">
        <v>180000</v>
      </c>
      <c r="F44" s="12">
        <v>0.1</v>
      </c>
      <c r="G44"/>
      <c r="H44"/>
    </row>
    <row r="45" spans="2:8" ht="12.75">
      <c r="B45" s="5" t="s">
        <v>46</v>
      </c>
      <c r="E45" s="10">
        <v>200000</v>
      </c>
      <c r="F45" s="12">
        <v>0.7</v>
      </c>
      <c r="G45"/>
      <c r="H45"/>
    </row>
    <row r="46" spans="2:8" ht="12.75">
      <c r="B46" s="5" t="s">
        <v>47</v>
      </c>
      <c r="E46" s="10">
        <v>29000</v>
      </c>
      <c r="F46" s="12">
        <v>5.5E-2</v>
      </c>
      <c r="G46"/>
      <c r="H46"/>
    </row>
    <row r="47" spans="2:8" ht="12.75">
      <c r="B47" s="5" t="s">
        <v>48</v>
      </c>
      <c r="E47" s="10">
        <v>606000</v>
      </c>
      <c r="F47" s="12">
        <v>0.27</v>
      </c>
      <c r="G47"/>
      <c r="H47"/>
    </row>
    <row r="49" spans="2:6">
      <c r="B49" s="35" t="s">
        <v>49</v>
      </c>
      <c r="C49" s="36"/>
      <c r="D49" s="36"/>
      <c r="E49" s="37">
        <v>1710000</v>
      </c>
      <c r="F49" s="38">
        <v>0.2</v>
      </c>
    </row>
    <row r="51" spans="2:6" ht="14.25" customHeight="1" thickBot="1">
      <c r="B51" s="16" t="s">
        <v>50</v>
      </c>
    </row>
    <row r="52" spans="2:6" ht="39" customHeight="1" thickTop="1" thickBot="1">
      <c r="B52" s="7" t="s">
        <v>51</v>
      </c>
      <c r="C52" s="9" t="s">
        <v>52</v>
      </c>
      <c r="D52"/>
      <c r="F52"/>
    </row>
    <row r="53" spans="2:6" ht="13.5" thickTop="1">
      <c r="B53" s="24" t="s">
        <v>53</v>
      </c>
      <c r="C53" s="19">
        <v>0.23200000000000001</v>
      </c>
      <c r="D53" s="47"/>
      <c r="F53"/>
    </row>
    <row r="54" spans="2:6" ht="12.75">
      <c r="B54" s="54" t="s">
        <v>54</v>
      </c>
      <c r="C54" s="19">
        <v>0.11899999999999999</v>
      </c>
      <c r="D54" s="47"/>
      <c r="F54"/>
    </row>
    <row r="55" spans="2:6" ht="12.75">
      <c r="B55" s="54" t="s">
        <v>55</v>
      </c>
      <c r="C55" s="19">
        <v>0.188</v>
      </c>
      <c r="D55" s="47"/>
      <c r="F55"/>
    </row>
    <row r="56" spans="2:6" ht="12.75">
      <c r="B56" s="46" t="s">
        <v>56</v>
      </c>
      <c r="C56" s="19">
        <v>0.182</v>
      </c>
      <c r="D56" s="47"/>
      <c r="F56"/>
    </row>
    <row r="57" spans="2:6" ht="12.75">
      <c r="B57" s="46" t="s">
        <v>57</v>
      </c>
      <c r="C57" s="19">
        <v>0.15</v>
      </c>
      <c r="D57" s="47"/>
      <c r="F57"/>
    </row>
    <row r="58" spans="2:6" ht="12.75">
      <c r="B58" s="46" t="s">
        <v>58</v>
      </c>
      <c r="C58" s="19">
        <v>6.6000000000000003E-2</v>
      </c>
      <c r="D58" s="47"/>
      <c r="F58"/>
    </row>
    <row r="59" spans="2:6" ht="12.75">
      <c r="B59" s="46" t="s">
        <v>59</v>
      </c>
      <c r="C59" s="19">
        <v>3.7999999999999999E-2</v>
      </c>
      <c r="D59" s="47"/>
      <c r="F59"/>
    </row>
    <row r="60" spans="2:6" ht="12.75">
      <c r="B60" s="46" t="s">
        <v>60</v>
      </c>
      <c r="C60" s="19">
        <v>1.2E-2</v>
      </c>
      <c r="D60" s="47"/>
      <c r="F60"/>
    </row>
    <row r="61" spans="2:6" ht="12.75">
      <c r="B61" s="46" t="s">
        <v>61</v>
      </c>
      <c r="C61" s="19">
        <v>1.2999999999999999E-2</v>
      </c>
      <c r="D61" s="47"/>
      <c r="F61"/>
    </row>
    <row r="62" spans="2:6" ht="12.75">
      <c r="B62" s="46"/>
      <c r="C62" s="46"/>
      <c r="D62" s="47"/>
      <c r="E62" s="19"/>
      <c r="F62"/>
    </row>
    <row r="63" spans="2:6" ht="12.75">
      <c r="B63" s="46"/>
      <c r="C63" s="46"/>
      <c r="D63" s="47"/>
      <c r="E63" s="19"/>
      <c r="F63"/>
    </row>
  </sheetData>
  <phoneticPr fontId="9" type="noConversion"/>
  <pageMargins left="0.3" right="0.3" top="0.5" bottom="0.5" header="0.1" footer="0.1"/>
  <pageSetup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4"/>
  <sheetViews>
    <sheetView showGridLines="0" zoomScale="125" zoomScaleNormal="125" workbookViewId="0">
      <pane xSplit="1" ySplit="1" topLeftCell="B2" activePane="bottomRight" state="frozen"/>
      <selection pane="bottomRight" activeCell="H11" sqref="H11"/>
      <selection pane="bottomLeft" activeCell="A2" sqref="A2"/>
      <selection pane="topRight" activeCell="B1" sqref="B1"/>
    </sheetView>
  </sheetViews>
  <sheetFormatPr defaultRowHeight="11.25"/>
  <cols>
    <col min="1" max="1" width="2.28515625" style="5" customWidth="1"/>
    <col min="2" max="2" width="16.42578125" style="5" customWidth="1"/>
    <col min="3" max="8" width="12.7109375" style="5" customWidth="1"/>
    <col min="9" max="256" width="11.42578125" style="5" customWidth="1"/>
    <col min="257" max="16384" width="9.140625" style="5"/>
  </cols>
  <sheetData>
    <row r="1" spans="1:13" ht="12.75">
      <c r="A1" s="4"/>
      <c r="B1" s="11" t="s">
        <v>62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14.25" customHeight="1">
      <c r="B3" s="16" t="s">
        <v>63</v>
      </c>
      <c r="C3" s="16"/>
      <c r="D3" s="16"/>
      <c r="E3" s="16"/>
      <c r="J3" s="66" t="s">
        <v>64</v>
      </c>
      <c r="M3" s="5">
        <v>18600000</v>
      </c>
    </row>
    <row r="4" spans="1:13" ht="13.5" thickTop="1" thickBot="1">
      <c r="B4" s="114" t="s">
        <v>65</v>
      </c>
      <c r="C4" s="115"/>
      <c r="D4" s="115"/>
      <c r="E4" s="115"/>
      <c r="F4" s="114" t="s">
        <v>2</v>
      </c>
      <c r="G4" s="115"/>
      <c r="H4" s="116"/>
    </row>
    <row r="5" spans="1:13" ht="33">
      <c r="B5" s="30" t="s">
        <v>3</v>
      </c>
      <c r="C5" s="30" t="s">
        <v>4</v>
      </c>
      <c r="D5" s="28" t="s">
        <v>66</v>
      </c>
      <c r="E5" s="28" t="s">
        <v>67</v>
      </c>
      <c r="F5" s="28" t="s">
        <v>5</v>
      </c>
      <c r="G5" s="28" t="s">
        <v>6</v>
      </c>
      <c r="H5" s="29" t="s">
        <v>7</v>
      </c>
      <c r="J5" s="65" t="s">
        <v>68</v>
      </c>
    </row>
    <row r="6" spans="1:13" s="48" customFormat="1" ht="12.75">
      <c r="A6"/>
      <c r="B6" s="49" t="s">
        <v>69</v>
      </c>
      <c r="C6" s="50"/>
      <c r="D6" s="67"/>
      <c r="E6" s="67"/>
      <c r="F6" s="50"/>
      <c r="G6" s="50"/>
      <c r="H6" s="50"/>
      <c r="J6" s="55"/>
    </row>
    <row r="7" spans="1:13">
      <c r="B7" s="5" t="s">
        <v>8</v>
      </c>
      <c r="C7" s="24" t="s">
        <v>70</v>
      </c>
      <c r="D7" s="88">
        <f>J7</f>
        <v>0.182</v>
      </c>
      <c r="E7" s="68">
        <f>J7*M3</f>
        <v>3385200</v>
      </c>
      <c r="F7" s="14">
        <v>37.130000000000003</v>
      </c>
      <c r="G7" s="14">
        <v>23.5</v>
      </c>
      <c r="H7" s="18">
        <v>60.63</v>
      </c>
      <c r="J7" s="57">
        <v>0.182</v>
      </c>
      <c r="M7" s="90"/>
    </row>
    <row r="8" spans="1:13">
      <c r="B8" s="5" t="s">
        <v>10</v>
      </c>
      <c r="C8" s="24" t="s">
        <v>71</v>
      </c>
      <c r="D8" s="88">
        <f t="shared" ref="D8:D9" si="0">J8</f>
        <v>0.15</v>
      </c>
      <c r="E8" s="68">
        <f>J8*M3</f>
        <v>2790000</v>
      </c>
      <c r="F8" s="14">
        <v>86.63</v>
      </c>
      <c r="G8" s="14">
        <v>36.75</v>
      </c>
      <c r="H8" s="18">
        <v>123.38</v>
      </c>
      <c r="J8" s="57">
        <v>0.15</v>
      </c>
    </row>
    <row r="9" spans="1:13">
      <c r="B9" s="33" t="s">
        <v>12</v>
      </c>
      <c r="C9" s="51" t="s">
        <v>72</v>
      </c>
      <c r="D9" s="88">
        <f t="shared" si="0"/>
        <v>0.129</v>
      </c>
      <c r="E9" s="69">
        <f>J9*M3</f>
        <v>2399400</v>
      </c>
      <c r="F9" s="52">
        <v>148.5</v>
      </c>
      <c r="G9" s="52">
        <v>61.25</v>
      </c>
      <c r="H9" s="53">
        <v>209.75</v>
      </c>
      <c r="J9" s="57">
        <v>0.129</v>
      </c>
    </row>
    <row r="10" spans="1:13">
      <c r="B10" s="6" t="s">
        <v>73</v>
      </c>
      <c r="D10" s="25"/>
      <c r="E10" s="27"/>
      <c r="H10" s="91">
        <f>H7*D7/(D7+D8+D9)+H8*D8/(D7+D8+D9)+H9*D9/(D7+D8+D9)</f>
        <v>122.77529284164861</v>
      </c>
    </row>
    <row r="11" spans="1:13">
      <c r="B11" s="39" t="s">
        <v>74</v>
      </c>
      <c r="H11" s="90">
        <f>H8*D8/(D8+D9)+H9*D9/(D8+D9)</f>
        <v>163.31451612903226</v>
      </c>
    </row>
    <row r="17" spans="2:3">
      <c r="C17" s="70"/>
    </row>
    <row r="23" spans="2:3">
      <c r="B23" s="70"/>
    </row>
    <row r="24" spans="2:3">
      <c r="B24" s="70"/>
    </row>
  </sheetData>
  <mergeCells count="2">
    <mergeCell ref="B4:E4"/>
    <mergeCell ref="F4:H4"/>
  </mergeCells>
  <phoneticPr fontId="9" type="noConversion"/>
  <pageMargins left="0.3" right="0.3" top="0.5" bottom="0.5" header="0.1" footer="0.1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7"/>
  <sheetViews>
    <sheetView showGridLines="0" zoomScale="125" zoomScaleNormal="125" workbookViewId="0">
      <pane xSplit="2" ySplit="1" topLeftCell="C3" activePane="bottomRight" state="frozen"/>
      <selection pane="bottomRight" activeCell="J9" sqref="J9"/>
      <selection pane="bottomLeft" activeCell="A2" sqref="A2"/>
      <selection pane="topRight" activeCell="C1" sqref="C1"/>
    </sheetView>
  </sheetViews>
  <sheetFormatPr defaultRowHeight="11.25"/>
  <cols>
    <col min="1" max="1" width="2.28515625" style="5" customWidth="1"/>
    <col min="2" max="2" width="61.140625" style="5" bestFit="1" customWidth="1"/>
    <col min="3" max="3" width="12.7109375" style="5" customWidth="1"/>
    <col min="4" max="4" width="17.42578125" style="5" bestFit="1" customWidth="1"/>
    <col min="5" max="7" width="12.7109375" style="5" customWidth="1"/>
    <col min="8" max="8" width="17.140625" style="5" customWidth="1"/>
    <col min="9" max="9" width="12.7109375" style="5" customWidth="1"/>
    <col min="10" max="10" width="20.140625" style="5" customWidth="1"/>
    <col min="11" max="11" width="15.140625" style="5" customWidth="1"/>
    <col min="12" max="12" width="11.7109375" style="5" customWidth="1"/>
    <col min="13" max="256" width="11.42578125" style="5" customWidth="1"/>
    <col min="257" max="16384" width="9.140625" style="5"/>
  </cols>
  <sheetData>
    <row r="1" spans="1:13" ht="12.75">
      <c r="A1" s="4"/>
      <c r="B1" s="11" t="s">
        <v>75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>
      <c r="B3" s="16" t="s">
        <v>76</v>
      </c>
    </row>
    <row r="4" spans="1:13">
      <c r="B4" s="6" t="s">
        <v>77</v>
      </c>
    </row>
    <row r="5" spans="1:13" ht="23.25">
      <c r="C5" s="7" t="s">
        <v>78</v>
      </c>
      <c r="D5" s="8" t="s">
        <v>16</v>
      </c>
      <c r="E5" s="9" t="s">
        <v>17</v>
      </c>
      <c r="F5" s="9" t="s">
        <v>79</v>
      </c>
      <c r="G5" s="9" t="s">
        <v>80</v>
      </c>
      <c r="H5" s="9" t="s">
        <v>81</v>
      </c>
      <c r="I5" s="9" t="s">
        <v>82</v>
      </c>
      <c r="J5" s="9" t="s">
        <v>83</v>
      </c>
      <c r="K5" s="9" t="s">
        <v>84</v>
      </c>
    </row>
    <row r="6" spans="1:13">
      <c r="B6" s="17" t="s">
        <v>19</v>
      </c>
      <c r="C6" s="81">
        <v>0.5</v>
      </c>
      <c r="D6" s="10">
        <v>2500000</v>
      </c>
      <c r="E6" s="19">
        <v>0.03</v>
      </c>
      <c r="F6" s="19">
        <v>0.6</v>
      </c>
      <c r="G6" s="80">
        <f>E6*F6</f>
        <v>1.7999999999999999E-2</v>
      </c>
      <c r="H6" s="94">
        <f>D6*F6</f>
        <v>1500000</v>
      </c>
      <c r="I6" s="10">
        <f>D6*G6</f>
        <v>45000</v>
      </c>
      <c r="J6" s="58">
        <f>C6*D6</f>
        <v>1250000</v>
      </c>
      <c r="K6" s="23">
        <f>J6/I6</f>
        <v>27.777777777777779</v>
      </c>
    </row>
    <row r="7" spans="1:13">
      <c r="B7" s="17" t="s">
        <v>20</v>
      </c>
      <c r="C7" s="81">
        <v>0.1</v>
      </c>
      <c r="D7" s="10">
        <v>2000000</v>
      </c>
      <c r="E7" s="19">
        <v>2.5000000000000001E-2</v>
      </c>
      <c r="F7" s="19">
        <v>0.3</v>
      </c>
      <c r="G7" s="80">
        <f t="shared" ref="G7:G10" si="0">E7*F7</f>
        <v>7.4999999999999997E-3</v>
      </c>
      <c r="H7" s="94">
        <f>D7*F7</f>
        <v>600000</v>
      </c>
      <c r="I7" s="10">
        <f>D7*G7</f>
        <v>15000</v>
      </c>
      <c r="J7" s="58">
        <f>C7*D7</f>
        <v>200000</v>
      </c>
      <c r="K7" s="23">
        <f>J7/I7</f>
        <v>13.333333333333334</v>
      </c>
    </row>
    <row r="8" spans="1:13">
      <c r="B8" s="17" t="s">
        <v>21</v>
      </c>
      <c r="C8" s="82">
        <v>0.05</v>
      </c>
      <c r="D8" s="10">
        <v>3500000</v>
      </c>
      <c r="E8" s="19">
        <v>1.4999999999999999E-2</v>
      </c>
      <c r="F8" s="19">
        <v>0.3</v>
      </c>
      <c r="G8" s="80">
        <f t="shared" si="0"/>
        <v>4.4999999999999997E-3</v>
      </c>
      <c r="H8" s="94">
        <f>D8*F8</f>
        <v>1050000</v>
      </c>
      <c r="I8" s="10">
        <f>D8*G8</f>
        <v>15749.999999999998</v>
      </c>
      <c r="J8" s="58">
        <f>C8*D8</f>
        <v>175000</v>
      </c>
      <c r="K8" s="23">
        <f>J8/I8</f>
        <v>11.111111111111112</v>
      </c>
    </row>
    <row r="9" spans="1:13">
      <c r="B9" s="17" t="s">
        <v>22</v>
      </c>
      <c r="C9" s="83">
        <f>D35/D9</f>
        <v>0.5</v>
      </c>
      <c r="D9" s="10">
        <v>60000</v>
      </c>
      <c r="E9" s="19">
        <v>0.25</v>
      </c>
      <c r="F9" s="19">
        <v>0.6</v>
      </c>
      <c r="G9" s="80">
        <f t="shared" si="0"/>
        <v>0.15</v>
      </c>
      <c r="H9" s="94">
        <f>D9*F9</f>
        <v>36000</v>
      </c>
      <c r="I9" s="10">
        <f>D9*G9</f>
        <v>9000</v>
      </c>
      <c r="J9" s="58">
        <f>C9*D9</f>
        <v>30000</v>
      </c>
      <c r="K9" s="23">
        <f>J9/I9</f>
        <v>3.3333333333333335</v>
      </c>
    </row>
    <row r="10" spans="1:13">
      <c r="B10" s="17" t="s">
        <v>24</v>
      </c>
      <c r="C10" s="81">
        <v>1</v>
      </c>
      <c r="D10" s="10">
        <v>50000</v>
      </c>
      <c r="E10" s="19">
        <v>0.5</v>
      </c>
      <c r="F10" s="19">
        <v>0.9</v>
      </c>
      <c r="G10" s="80">
        <f t="shared" si="0"/>
        <v>0.45</v>
      </c>
      <c r="H10" s="94">
        <f>D10*F10</f>
        <v>45000</v>
      </c>
      <c r="I10" s="10">
        <f>D10*G10</f>
        <v>22500</v>
      </c>
      <c r="J10" s="58">
        <f>C10*D10</f>
        <v>50000</v>
      </c>
      <c r="K10" s="23">
        <f>J10/I10</f>
        <v>2.2222222222222223</v>
      </c>
    </row>
    <row r="11" spans="1:13">
      <c r="B11" s="22" t="s">
        <v>85</v>
      </c>
      <c r="C11" s="14">
        <f>SUM(C6:C10)</f>
        <v>2.15</v>
      </c>
      <c r="D11" s="10">
        <f>SUM(D6:D10)</f>
        <v>8110000</v>
      </c>
      <c r="E11" s="59">
        <f>(D6 / D11) * E6 + (D7 / D11) * E7 + (D8/ D11) * E8 + (D9 / D11) * E9 + (D10 / D11) * E10</f>
        <v>2.681874229346486E-2</v>
      </c>
      <c r="F11" s="59">
        <f>(D6 / D11) * F6 + (D7 / D11) * F7 + (D8/ D11) * F8 + (D9 / D11) * F9 + (D10 / D11) * F10</f>
        <v>0.39839704069050558</v>
      </c>
      <c r="G11" s="59">
        <f>(D6 / D11) * G6 + (D7 / D11) * G7 + (D8/ D11) * G8 + (D9 / D11) * G9 + (D10 / D11) * G10</f>
        <v>1.3224414303329223E-2</v>
      </c>
      <c r="H11" s="63">
        <f>D11*F11</f>
        <v>3231000</v>
      </c>
      <c r="I11" s="10">
        <f>SUM(I6:I10)</f>
        <v>107250</v>
      </c>
      <c r="J11" s="58">
        <f>SUM(J6:J10)</f>
        <v>1705000</v>
      </c>
      <c r="K11" s="58">
        <f>J11/I11</f>
        <v>15.897435897435898</v>
      </c>
      <c r="L11" s="40">
        <f>I11</f>
        <v>107250</v>
      </c>
    </row>
    <row r="12" spans="1:13">
      <c r="B12" s="22" t="s">
        <v>86</v>
      </c>
      <c r="C12" s="14">
        <f>SUM(C7:C10)</f>
        <v>1.65</v>
      </c>
      <c r="D12" s="14">
        <f>SUM(D7:D10)</f>
        <v>5610000</v>
      </c>
      <c r="E12" s="59">
        <f xml:space="preserve"> (D7 / (D11 - D6)) * E7 + (D8/ (D11 - D6)) * E8 + (D9 / (D11 - D6)) * E9 + (D10 / (D11 - D6)) * E10</f>
        <v>2.5401069518716578E-2</v>
      </c>
      <c r="F12" s="59">
        <f>(D7 / (D11 - D6)) * F7 + (D8/ (D11 - D6)) * F8 + (D9 / (D11 - D6)) * F9 + (D10 / (D11 - D6)) * F10</f>
        <v>0.3085561497326203</v>
      </c>
      <c r="G12" s="59">
        <f>(D7 / (D11 - D6)) * G7 + (D8/ (D11 - D6)) * G8 + (D9 / (D11 - D6)) * G9 + (D10 / (D11 - D6)) * G10</f>
        <v>1.1096256684491979E-2</v>
      </c>
      <c r="H12" s="63">
        <f t="shared" ref="H12:H13" si="1">D12*F12</f>
        <v>1730999.9999999998</v>
      </c>
      <c r="I12" s="14">
        <f>SUM(I7:I10)</f>
        <v>62250</v>
      </c>
      <c r="J12" s="58">
        <f t="shared" ref="E12:K12" si="2">SUM(J7:J10)</f>
        <v>455000</v>
      </c>
      <c r="K12" s="58">
        <f>J12/I12</f>
        <v>7.309236947791165</v>
      </c>
      <c r="L12" s="40">
        <f>I12</f>
        <v>62250</v>
      </c>
    </row>
    <row r="13" spans="1:13">
      <c r="B13" s="6" t="s">
        <v>87</v>
      </c>
      <c r="C13" s="18">
        <f>SUM(C6, C8, C10)</f>
        <v>1.55</v>
      </c>
      <c r="D13" s="18">
        <f t="shared" ref="D13:J13" si="3">SUM(D6, D8, D10)</f>
        <v>6050000</v>
      </c>
      <c r="E13" s="56">
        <f>(D6 / SUM(D6,D8,D10)) * E6 + (D8/ SUM(D6,D8,D10)) * E8 + (D10 / SUM(D6,D8,D10)) * E10</f>
        <v>2.5206611570247936E-2</v>
      </c>
      <c r="F13" s="56">
        <f>(D6 / SUM(D6,D8,D10)) * F6 + (D8/ SUM(D6,D8,D10)) * F8 + (D10 / SUM(D6,D8,D10)) * F10</f>
        <v>0.42892561983471073</v>
      </c>
      <c r="G13" s="56">
        <f>(D6 / SUM(D6,D8,D10)) * G6 + (D8/ SUM(D6,D8,D10)) * G8 + (D10 / SUM(D6,D8,D10)) * G10</f>
        <v>1.3760330578512397E-2</v>
      </c>
      <c r="H13" s="63">
        <f t="shared" si="1"/>
        <v>2595000</v>
      </c>
      <c r="I13" s="18">
        <f>SUM(I6, I8, I10)</f>
        <v>83250</v>
      </c>
      <c r="J13" s="60">
        <f t="shared" si="3"/>
        <v>1475000</v>
      </c>
      <c r="K13" s="60">
        <f>J13/I13</f>
        <v>17.717717717717719</v>
      </c>
      <c r="L13" s="40">
        <f>I13</f>
        <v>83250</v>
      </c>
    </row>
    <row r="14" spans="1:13">
      <c r="L14" s="41"/>
    </row>
    <row r="15" spans="1:13">
      <c r="B15" s="6" t="s">
        <v>88</v>
      </c>
      <c r="L15" s="41"/>
    </row>
    <row r="16" spans="1:13" ht="23.25">
      <c r="C16" s="7" t="s">
        <v>78</v>
      </c>
      <c r="D16" s="8" t="s">
        <v>16</v>
      </c>
      <c r="E16" s="9" t="s">
        <v>17</v>
      </c>
      <c r="F16" s="9" t="s">
        <v>79</v>
      </c>
      <c r="G16" s="9" t="s">
        <v>80</v>
      </c>
      <c r="H16" s="9" t="s">
        <v>81</v>
      </c>
      <c r="I16" s="9" t="s">
        <v>82</v>
      </c>
      <c r="J16" s="9" t="s">
        <v>83</v>
      </c>
      <c r="K16" s="9" t="s">
        <v>84</v>
      </c>
      <c r="L16" s="41"/>
    </row>
    <row r="17" spans="2:12">
      <c r="B17" s="17" t="s">
        <v>19</v>
      </c>
      <c r="C17" s="14">
        <v>0.5</v>
      </c>
      <c r="D17" s="71">
        <f>2500000/2</f>
        <v>1250000</v>
      </c>
      <c r="E17" s="19">
        <v>0.03</v>
      </c>
      <c r="F17" s="19">
        <v>0.6</v>
      </c>
      <c r="G17" s="19">
        <f>E17*F17</f>
        <v>1.7999999999999999E-2</v>
      </c>
      <c r="H17" s="94">
        <f>D17*F17</f>
        <v>750000</v>
      </c>
      <c r="I17" s="10">
        <f>D17*G17</f>
        <v>22500</v>
      </c>
      <c r="J17" s="58">
        <f>C17*D17</f>
        <v>625000</v>
      </c>
      <c r="K17" s="23">
        <f>J17/I17</f>
        <v>27.777777777777779</v>
      </c>
      <c r="L17" s="41"/>
    </row>
    <row r="18" spans="2:12">
      <c r="B18" s="17" t="s">
        <v>20</v>
      </c>
      <c r="C18" s="14">
        <v>0.1</v>
      </c>
      <c r="D18" s="10">
        <v>2000000</v>
      </c>
      <c r="E18" s="19">
        <v>2.5000000000000001E-2</v>
      </c>
      <c r="F18" s="72">
        <f>30%/2</f>
        <v>0.15</v>
      </c>
      <c r="G18" s="19">
        <f t="shared" ref="G18:G21" si="4">E18*F18</f>
        <v>3.7499999999999999E-3</v>
      </c>
      <c r="H18" s="94">
        <f>D18*F18</f>
        <v>300000</v>
      </c>
      <c r="I18" s="10">
        <f>D18*G18</f>
        <v>7500</v>
      </c>
      <c r="J18" s="58">
        <f>C18*D18</f>
        <v>200000</v>
      </c>
      <c r="K18" s="23">
        <f t="shared" ref="K18:K21" si="5">J18/I18</f>
        <v>26.666666666666668</v>
      </c>
      <c r="L18" s="41"/>
    </row>
    <row r="19" spans="2:12">
      <c r="B19" s="17" t="s">
        <v>21</v>
      </c>
      <c r="C19" s="21">
        <v>0.05</v>
      </c>
      <c r="D19" s="10">
        <v>3500000</v>
      </c>
      <c r="E19" s="19">
        <v>1.4999999999999999E-2</v>
      </c>
      <c r="F19" s="72">
        <f>30%/2</f>
        <v>0.15</v>
      </c>
      <c r="G19" s="19">
        <f t="shared" si="4"/>
        <v>2.2499999999999998E-3</v>
      </c>
      <c r="H19" s="94">
        <f>D19*F19</f>
        <v>525000</v>
      </c>
      <c r="I19" s="10">
        <f>D19*G19</f>
        <v>7874.9999999999991</v>
      </c>
      <c r="J19" s="58">
        <f>C19*D19</f>
        <v>175000</v>
      </c>
      <c r="K19" s="23">
        <f t="shared" si="5"/>
        <v>22.222222222222225</v>
      </c>
      <c r="L19" s="41"/>
    </row>
    <row r="20" spans="2:12">
      <c r="B20" s="17" t="s">
        <v>22</v>
      </c>
      <c r="C20" s="87">
        <v>0.5</v>
      </c>
      <c r="D20" s="10">
        <v>60000</v>
      </c>
      <c r="E20" s="19">
        <v>0.25</v>
      </c>
      <c r="F20" s="19">
        <v>0.6</v>
      </c>
      <c r="G20" s="19">
        <f t="shared" si="4"/>
        <v>0.15</v>
      </c>
      <c r="H20" s="94">
        <f>D20*F20</f>
        <v>36000</v>
      </c>
      <c r="I20" s="10">
        <f>D20*G20</f>
        <v>9000</v>
      </c>
      <c r="J20" s="58">
        <f>C20*D20</f>
        <v>30000</v>
      </c>
      <c r="K20" s="23">
        <f t="shared" si="5"/>
        <v>3.3333333333333335</v>
      </c>
      <c r="L20" s="41"/>
    </row>
    <row r="21" spans="2:12">
      <c r="B21" s="17" t="s">
        <v>24</v>
      </c>
      <c r="C21" s="14">
        <v>1</v>
      </c>
      <c r="D21" s="10">
        <v>50000</v>
      </c>
      <c r="E21" s="19">
        <v>0.5</v>
      </c>
      <c r="F21" s="19">
        <v>0.9</v>
      </c>
      <c r="G21" s="19">
        <f t="shared" si="4"/>
        <v>0.45</v>
      </c>
      <c r="H21" s="94">
        <f>D21*F21</f>
        <v>45000</v>
      </c>
      <c r="I21" s="10">
        <f>D21*G21</f>
        <v>22500</v>
      </c>
      <c r="J21" s="58">
        <f>C21*D21</f>
        <v>50000</v>
      </c>
      <c r="K21" s="23">
        <f>J21/I21</f>
        <v>2.2222222222222223</v>
      </c>
      <c r="L21" s="41"/>
    </row>
    <row r="22" spans="2:12" ht="15">
      <c r="B22" s="22" t="s">
        <v>89</v>
      </c>
      <c r="C22" s="14">
        <f>SUM(C17:C21)</f>
        <v>2.15</v>
      </c>
      <c r="D22" s="14">
        <f t="shared" ref="D22:K22" si="6">SUM(D17:D21)</f>
        <v>6860000</v>
      </c>
      <c r="E22" s="59">
        <f>(D17 / D22) * E17 + (D18 / D22) * E18 + (D19/ D22) * E19 + (D20 / D22) * E20 + (D21 / D22) * E21</f>
        <v>2.623906705539359E-2</v>
      </c>
      <c r="F22" s="59">
        <f>(D17 / D22) * F17 + (D18 / D22) * F18 + (D19/ D22) * F19 + (D20 / D22) * F20 + (D21 / D22) * F21</f>
        <v>0.24139941690962097</v>
      </c>
      <c r="G22" s="59">
        <f>(D17 / D22) * G17 + (D18 / D22) * G18 + (D19/ D22) * G19 + (D20 / D22) * G20 + (D21 / D22) * G21</f>
        <v>1.0112973760932944E-2</v>
      </c>
      <c r="H22" s="94">
        <f t="shared" ref="H22:H24" si="7">D22*F22</f>
        <v>1655999.9999999998</v>
      </c>
      <c r="I22" s="14">
        <f>SUM(I17:I21)</f>
        <v>69375</v>
      </c>
      <c r="J22" s="58">
        <f t="shared" si="6"/>
        <v>1080000</v>
      </c>
      <c r="K22" s="92">
        <f>J22/I22</f>
        <v>15.567567567567568</v>
      </c>
      <c r="L22" s="40">
        <f>I22</f>
        <v>69375</v>
      </c>
    </row>
    <row r="23" spans="2:12" ht="15">
      <c r="B23" s="22" t="s">
        <v>86</v>
      </c>
      <c r="C23" s="89">
        <f>SUM(C18:C21)</f>
        <v>1.65</v>
      </c>
      <c r="D23" s="61">
        <f t="shared" ref="D23:K23" si="8">SUM(D18:D21)</f>
        <v>5610000</v>
      </c>
      <c r="E23" s="62">
        <f>(D18 / (D22 - D17)) * E18 + (D19/ (D22 - D17)) * E19 + (D20 / (D22 - D17)) * E20 + (D21 / (D22 - D17)) * E21</f>
        <v>2.5401069518716578E-2</v>
      </c>
      <c r="F23" s="62">
        <f>(D18 / (D22 - D17)) * F18 + (D19/ (D22 - D17)) * F19 + (D20 / (D22 - D17)) * F20 + (D21 / (D22 - D17)) * F21</f>
        <v>0.16149732620320856</v>
      </c>
      <c r="G23" s="62">
        <f>(D18 / (D22 - D17)) * G18 + (D19/ (D22 - D17)) * G19 + (D20 / (D22 - D17)) * G20 + (D21 / (D22 - D17)) * G21</f>
        <v>8.3556149732620325E-3</v>
      </c>
      <c r="H23" s="94">
        <f t="shared" si="7"/>
        <v>906000</v>
      </c>
      <c r="I23" s="61">
        <f t="shared" si="8"/>
        <v>46875</v>
      </c>
      <c r="J23" s="64">
        <f t="shared" si="8"/>
        <v>455000</v>
      </c>
      <c r="K23" s="93">
        <f>J23/I23</f>
        <v>9.706666666666667</v>
      </c>
      <c r="L23" s="40">
        <f>I23</f>
        <v>46875</v>
      </c>
    </row>
    <row r="24" spans="2:12">
      <c r="B24" s="22" t="s">
        <v>90</v>
      </c>
      <c r="C24" s="14">
        <f>SUM(C17,C20,C21)</f>
        <v>2</v>
      </c>
      <c r="D24" s="14">
        <f t="shared" ref="D24:K24" si="9">SUM(D17,D20,D21)</f>
        <v>1360000</v>
      </c>
      <c r="E24" s="59">
        <f>(D17 /  SUM(D17, D19, D21)) * E17 + (D19/ SUM(D17, D19, D21)) * E19 + (D21 / SUM(D17, D19, D21)) * E21</f>
        <v>2.3958333333333331E-2</v>
      </c>
      <c r="F24" s="59">
        <f>(D17 / SUM(D17, D19, D21)) * F17  + (D19/ SUM(D17, D19, D21)) * F19 + (D21 / SUM(D17, D19, D21)) * F21</f>
        <v>0.27500000000000002</v>
      </c>
      <c r="G24" s="59">
        <f>(D17 / SUM(D17, D19, D21)) * G17  + (D19/SUM(D17, D19, D21)) * G19 + (D21 / SUM(D17, D19, D21)) * G21</f>
        <v>1.1015624999999999E-2</v>
      </c>
      <c r="H24" s="94">
        <f t="shared" si="7"/>
        <v>374000.00000000006</v>
      </c>
      <c r="I24" s="14">
        <f t="shared" si="9"/>
        <v>54000</v>
      </c>
      <c r="J24" s="58">
        <f t="shared" si="9"/>
        <v>705000</v>
      </c>
      <c r="K24" s="58">
        <f>J24/I24</f>
        <v>13.055555555555555</v>
      </c>
      <c r="L24" s="40">
        <f>I24</f>
        <v>54000</v>
      </c>
    </row>
    <row r="26" spans="2:12">
      <c r="B26" s="16" t="s">
        <v>91</v>
      </c>
    </row>
    <row r="27" spans="2:12">
      <c r="B27" s="5" t="s">
        <v>92</v>
      </c>
      <c r="C27" s="10"/>
      <c r="D27" s="5">
        <v>10</v>
      </c>
    </row>
    <row r="28" spans="2:12">
      <c r="B28" s="5" t="s">
        <v>93</v>
      </c>
      <c r="C28" s="10"/>
      <c r="D28" s="5">
        <v>25</v>
      </c>
    </row>
    <row r="29" spans="2:12">
      <c r="B29" s="5" t="s">
        <v>94</v>
      </c>
      <c r="C29" s="10"/>
      <c r="D29" s="5">
        <v>365</v>
      </c>
    </row>
    <row r="30" spans="2:12">
      <c r="B30" s="5" t="s">
        <v>95</v>
      </c>
      <c r="C30" s="10"/>
      <c r="D30" s="5">
        <v>12</v>
      </c>
    </row>
    <row r="31" spans="2:12">
      <c r="B31" s="5" t="s">
        <v>96</v>
      </c>
      <c r="C31" s="10"/>
      <c r="D31" s="5">
        <f>D27*D28*D29</f>
        <v>91250</v>
      </c>
    </row>
    <row r="32" spans="2:12">
      <c r="C32" s="10"/>
    </row>
    <row r="33" spans="2:6">
      <c r="B33" s="5" t="s">
        <v>97</v>
      </c>
      <c r="C33" s="10"/>
      <c r="D33" s="70">
        <v>3000</v>
      </c>
    </row>
    <row r="34" spans="2:6">
      <c r="B34" s="5" t="s">
        <v>92</v>
      </c>
      <c r="C34" s="10"/>
      <c r="D34" s="5">
        <v>10</v>
      </c>
    </row>
    <row r="35" spans="2:6">
      <c r="B35" s="5" t="s">
        <v>98</v>
      </c>
      <c r="C35" s="10"/>
      <c r="D35" s="5">
        <f>D34*D33</f>
        <v>30000</v>
      </c>
    </row>
    <row r="36" spans="2:6">
      <c r="C36" s="10"/>
    </row>
    <row r="45" spans="2:6">
      <c r="D45" s="70"/>
      <c r="E45" s="70"/>
      <c r="F45" s="70"/>
    </row>
    <row r="46" spans="2:6">
      <c r="D46" s="70"/>
      <c r="E46" s="70"/>
      <c r="F46" s="70"/>
    </row>
    <row r="47" spans="2:6">
      <c r="D47" s="70"/>
      <c r="E47" s="70"/>
      <c r="F47" s="70"/>
    </row>
  </sheetData>
  <phoneticPr fontId="9" type="noConversion"/>
  <pageMargins left="0.3" right="0.3" top="0.5" bottom="0.5" header="0.1" footer="0.1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C62"/>
  <sheetViews>
    <sheetView showGridLines="0" tabSelected="1" zoomScale="125" zoomScaleNormal="125" workbookViewId="0">
      <pane xSplit="2" ySplit="7" topLeftCell="F13" activePane="bottomRight" state="frozen"/>
      <selection pane="bottomRight" activeCell="H19" sqref="H19"/>
      <selection pane="bottomLeft" activeCell="A10" sqref="A10"/>
      <selection pane="topRight" activeCell="C1" sqref="C1"/>
    </sheetView>
  </sheetViews>
  <sheetFormatPr defaultRowHeight="11.25"/>
  <cols>
    <col min="1" max="1" width="2.28515625" style="5" customWidth="1"/>
    <col min="2" max="2" width="30" style="5" customWidth="1"/>
    <col min="3" max="3" width="14.42578125" style="5" bestFit="1" customWidth="1"/>
    <col min="4" max="4" width="19.7109375" style="5" bestFit="1" customWidth="1"/>
    <col min="5" max="5" width="14.42578125" style="5" bestFit="1" customWidth="1"/>
    <col min="6" max="6" width="15.7109375" style="5" bestFit="1" customWidth="1"/>
    <col min="7" max="7" width="29.42578125" style="5" bestFit="1" customWidth="1"/>
    <col min="8" max="11" width="12.7109375" style="5" customWidth="1"/>
    <col min="12" max="12" width="29.42578125" style="5" bestFit="1" customWidth="1"/>
    <col min="13" max="13" width="13.140625" style="5" bestFit="1" customWidth="1"/>
    <col min="14" max="14" width="11.7109375" style="5" customWidth="1"/>
    <col min="15" max="16" width="12.7109375" style="5" bestFit="1" customWidth="1"/>
    <col min="17" max="17" width="29.42578125" style="5" bestFit="1" customWidth="1"/>
    <col min="18" max="18" width="15.7109375" style="5" customWidth="1"/>
    <col min="19" max="19" width="12.140625" style="5" bestFit="1" customWidth="1"/>
    <col min="20" max="20" width="14" style="5" customWidth="1"/>
    <col min="21" max="21" width="13.85546875" style="5" customWidth="1"/>
    <col min="22" max="22" width="29.42578125" style="5" bestFit="1" customWidth="1"/>
    <col min="23" max="23" width="13" style="5" bestFit="1" customWidth="1"/>
    <col min="24" max="24" width="11.140625" style="5" bestFit="1" customWidth="1"/>
    <col min="25" max="26" width="12.28515625" style="5" bestFit="1" customWidth="1"/>
    <col min="27" max="27" width="29.42578125" style="5" bestFit="1" customWidth="1"/>
    <col min="28" max="28" width="13" style="5" bestFit="1" customWidth="1"/>
    <col min="29" max="29" width="11.140625" style="5" bestFit="1" customWidth="1"/>
    <col min="30" max="31" width="12.28515625" style="5" bestFit="1" customWidth="1"/>
    <col min="32" max="32" width="29.42578125" style="5" bestFit="1" customWidth="1"/>
    <col min="33" max="33" width="13" style="5" bestFit="1" customWidth="1"/>
    <col min="34" max="34" width="11.140625" style="5" bestFit="1" customWidth="1"/>
    <col min="35" max="36" width="12.28515625" style="5" bestFit="1" customWidth="1"/>
    <col min="37" max="37" width="29.42578125" style="5" bestFit="1" customWidth="1"/>
    <col min="38" max="38" width="13" style="5" bestFit="1" customWidth="1"/>
    <col min="39" max="39" width="11.5703125" style="5" bestFit="1" customWidth="1"/>
    <col min="40" max="41" width="12.28515625" style="5" bestFit="1" customWidth="1"/>
    <col min="42" max="42" width="29.42578125" style="5" bestFit="1" customWidth="1"/>
    <col min="43" max="43" width="16.5703125" style="5" bestFit="1" customWidth="1"/>
    <col min="44" max="46" width="12.7109375" style="5" bestFit="1" customWidth="1"/>
    <col min="47" max="47" width="29.42578125" style="5" bestFit="1" customWidth="1"/>
    <col min="48" max="48" width="22.140625" style="5" bestFit="1" customWidth="1"/>
    <col min="49" max="49" width="11.42578125" style="5" customWidth="1"/>
    <col min="50" max="51" width="12.7109375" style="5" bestFit="1" customWidth="1"/>
    <col min="52" max="52" width="29.42578125" style="5" bestFit="1" customWidth="1"/>
    <col min="53" max="53" width="13.140625" style="5" customWidth="1"/>
    <col min="54" max="54" width="11.85546875" style="5" customWidth="1"/>
    <col min="55" max="55" width="14.140625" style="5" customWidth="1"/>
    <col min="56" max="56" width="14.28515625" style="5" customWidth="1"/>
    <col min="57" max="57" width="29.42578125" style="5" bestFit="1" customWidth="1"/>
    <col min="58" max="58" width="22.140625" style="5" bestFit="1" customWidth="1"/>
    <col min="59" max="61" width="12.7109375" style="5" bestFit="1" customWidth="1"/>
    <col min="62" max="62" width="29.42578125" style="5" bestFit="1" customWidth="1"/>
    <col min="63" max="63" width="22.140625" style="5" bestFit="1" customWidth="1"/>
    <col min="64" max="66" width="12.7109375" style="5" bestFit="1" customWidth="1"/>
    <col min="67" max="67" width="29.42578125" style="5" bestFit="1" customWidth="1"/>
    <col min="68" max="68" width="22.140625" style="5" bestFit="1" customWidth="1"/>
    <col min="69" max="71" width="12.7109375" style="5" bestFit="1" customWidth="1"/>
    <col min="72" max="72" width="29.42578125" style="5" bestFit="1" customWidth="1"/>
    <col min="73" max="74" width="11.42578125" style="5" customWidth="1"/>
    <col min="75" max="76" width="12.28515625" style="5" bestFit="1" customWidth="1"/>
    <col min="77" max="77" width="29.42578125" style="5" bestFit="1" customWidth="1"/>
    <col min="78" max="79" width="11.42578125" style="5" customWidth="1"/>
    <col min="80" max="81" width="12.28515625" style="5" bestFit="1" customWidth="1"/>
    <col min="82" max="256" width="11.42578125" style="5" customWidth="1"/>
    <col min="257" max="16384" width="9.140625" style="5"/>
  </cols>
  <sheetData>
    <row r="1" spans="1:81" ht="12.75">
      <c r="A1" s="4"/>
      <c r="B1" s="11" t="s">
        <v>99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81">
      <c r="B2" s="16" t="s">
        <v>100</v>
      </c>
    </row>
    <row r="3" spans="1:81" ht="14.25" customHeight="1">
      <c r="B3" s="45" t="s">
        <v>101</v>
      </c>
      <c r="C3" s="118" t="s">
        <v>102</v>
      </c>
      <c r="D3" s="118"/>
    </row>
    <row r="4" spans="1:81" ht="14.25" customHeight="1">
      <c r="B4" s="5" t="s">
        <v>103</v>
      </c>
      <c r="C4" s="117" t="s">
        <v>104</v>
      </c>
      <c r="D4" s="117"/>
      <c r="E4" s="86" t="s">
        <v>105</v>
      </c>
      <c r="H4" s="5" t="s">
        <v>106</v>
      </c>
      <c r="M4" s="5" t="s">
        <v>107</v>
      </c>
      <c r="R4" s="5" t="s">
        <v>107</v>
      </c>
      <c r="W4" s="5" t="s">
        <v>107</v>
      </c>
      <c r="AB4" s="5" t="s">
        <v>107</v>
      </c>
      <c r="AG4" s="5" t="s">
        <v>107</v>
      </c>
      <c r="AL4" s="5" t="s">
        <v>107</v>
      </c>
      <c r="AQ4" s="5" t="s">
        <v>107</v>
      </c>
      <c r="AV4" s="5" t="s">
        <v>106</v>
      </c>
      <c r="BA4" s="5" t="s">
        <v>106</v>
      </c>
      <c r="BF4" s="5" t="s">
        <v>106</v>
      </c>
      <c r="BK4" s="5" t="s">
        <v>106</v>
      </c>
      <c r="BP4" s="5" t="s">
        <v>106</v>
      </c>
      <c r="BU4" s="5" t="s">
        <v>106</v>
      </c>
      <c r="BZ4" s="5" t="s">
        <v>106</v>
      </c>
    </row>
    <row r="5" spans="1:81" ht="14.25" customHeight="1">
      <c r="B5" s="5" t="s">
        <v>108</v>
      </c>
      <c r="C5" s="117" t="s">
        <v>109</v>
      </c>
      <c r="D5" s="117"/>
      <c r="E5" s="86" t="s">
        <v>110</v>
      </c>
      <c r="H5" s="5" t="s">
        <v>110</v>
      </c>
      <c r="M5" s="5" t="s">
        <v>86</v>
      </c>
      <c r="R5" s="6" t="s">
        <v>87</v>
      </c>
      <c r="W5" s="17" t="s">
        <v>19</v>
      </c>
      <c r="AB5" s="17" t="s">
        <v>20</v>
      </c>
      <c r="AG5" s="17" t="s">
        <v>21</v>
      </c>
      <c r="AL5" s="17" t="s">
        <v>22</v>
      </c>
      <c r="AQ5" s="17" t="s">
        <v>24</v>
      </c>
      <c r="AV5" s="5" t="s">
        <v>86</v>
      </c>
      <c r="BA5" s="22" t="s">
        <v>90</v>
      </c>
      <c r="BF5" s="17" t="s">
        <v>19</v>
      </c>
      <c r="BK5" s="17" t="s">
        <v>20</v>
      </c>
      <c r="BP5" s="17" t="s">
        <v>21</v>
      </c>
      <c r="BU5" s="5" t="s">
        <v>22</v>
      </c>
      <c r="BZ5" s="17" t="s">
        <v>24</v>
      </c>
    </row>
    <row r="6" spans="1:81" ht="14.25" customHeight="1">
      <c r="B6" s="16"/>
      <c r="C6" s="114" t="s">
        <v>111</v>
      </c>
      <c r="D6" s="115"/>
      <c r="E6" s="115"/>
      <c r="F6" s="115"/>
      <c r="G6"/>
      <c r="H6" s="114" t="s">
        <v>111</v>
      </c>
      <c r="I6" s="115"/>
      <c r="J6" s="115"/>
      <c r="K6" s="115"/>
      <c r="M6" s="114" t="s">
        <v>111</v>
      </c>
      <c r="N6" s="115"/>
      <c r="O6" s="115"/>
      <c r="P6" s="115"/>
      <c r="R6" s="114" t="s">
        <v>111</v>
      </c>
      <c r="S6" s="115"/>
      <c r="T6" s="115"/>
      <c r="U6" s="115"/>
      <c r="W6" s="114" t="s">
        <v>111</v>
      </c>
      <c r="X6" s="115"/>
      <c r="Y6" s="115"/>
      <c r="Z6" s="115"/>
      <c r="AB6" s="114" t="s">
        <v>111</v>
      </c>
      <c r="AC6" s="115"/>
      <c r="AD6" s="115"/>
      <c r="AE6" s="115"/>
      <c r="AG6" s="114" t="s">
        <v>111</v>
      </c>
      <c r="AH6" s="115"/>
      <c r="AI6" s="115"/>
      <c r="AJ6" s="115"/>
      <c r="AL6" s="114" t="s">
        <v>111</v>
      </c>
      <c r="AM6" s="115"/>
      <c r="AN6" s="115"/>
      <c r="AO6" s="115"/>
      <c r="AQ6" s="114" t="s">
        <v>111</v>
      </c>
      <c r="AR6" s="115"/>
      <c r="AS6" s="115"/>
      <c r="AT6" s="115"/>
      <c r="AU6"/>
      <c r="AV6" s="114" t="s">
        <v>111</v>
      </c>
      <c r="AW6" s="115"/>
      <c r="AX6" s="115"/>
      <c r="AY6" s="115"/>
      <c r="AZ6"/>
      <c r="BA6" s="114" t="s">
        <v>111</v>
      </c>
      <c r="BB6" s="115"/>
      <c r="BC6" s="115"/>
      <c r="BD6" s="115"/>
      <c r="BE6"/>
      <c r="BF6" s="114" t="s">
        <v>111</v>
      </c>
      <c r="BG6" s="115"/>
      <c r="BH6" s="115"/>
      <c r="BI6" s="115"/>
      <c r="BJ6"/>
      <c r="BK6" s="114" t="s">
        <v>111</v>
      </c>
      <c r="BL6" s="115"/>
      <c r="BM6" s="115"/>
      <c r="BN6" s="115"/>
      <c r="BO6"/>
      <c r="BP6" s="114" t="s">
        <v>111</v>
      </c>
      <c r="BQ6" s="115"/>
      <c r="BR6" s="115"/>
      <c r="BS6" s="115"/>
      <c r="BT6"/>
      <c r="BU6" s="114" t="s">
        <v>111</v>
      </c>
      <c r="BV6" s="115"/>
      <c r="BW6" s="115"/>
      <c r="BX6" s="115"/>
      <c r="BY6"/>
      <c r="BZ6" s="114" t="s">
        <v>111</v>
      </c>
      <c r="CA6" s="115"/>
      <c r="CB6" s="115"/>
      <c r="CC6" s="115"/>
    </row>
    <row r="7" spans="1:81" ht="14.25" customHeight="1">
      <c r="B7" s="6"/>
      <c r="C7" s="31">
        <v>50000</v>
      </c>
      <c r="D7" s="32">
        <v>100000</v>
      </c>
      <c r="E7" s="32">
        <f>$C7+D7</f>
        <v>150000</v>
      </c>
      <c r="F7" s="32">
        <f>$C7+E7</f>
        <v>200000</v>
      </c>
      <c r="G7"/>
      <c r="H7" s="31">
        <v>57000</v>
      </c>
      <c r="I7" s="32">
        <v>57000</v>
      </c>
      <c r="J7" s="32">
        <f>$C7+I7</f>
        <v>107000</v>
      </c>
      <c r="K7" s="32">
        <f>$C7+J7</f>
        <v>157000</v>
      </c>
      <c r="M7" s="31">
        <v>50000</v>
      </c>
      <c r="N7" s="32">
        <v>100000</v>
      </c>
      <c r="O7" s="32">
        <f>$C7+N7</f>
        <v>150000</v>
      </c>
      <c r="P7" s="32">
        <f>$C7+O7</f>
        <v>200000</v>
      </c>
      <c r="R7" s="31">
        <v>50000</v>
      </c>
      <c r="S7" s="32">
        <v>100000</v>
      </c>
      <c r="T7" s="32">
        <f>$C7+S7</f>
        <v>150000</v>
      </c>
      <c r="U7" s="32">
        <f>$C7+T7</f>
        <v>200000</v>
      </c>
      <c r="W7" s="31">
        <v>50000</v>
      </c>
      <c r="X7" s="32">
        <v>100000</v>
      </c>
      <c r="Y7" s="32">
        <f>$C7+X7</f>
        <v>150000</v>
      </c>
      <c r="Z7" s="32">
        <f>$C7+Y7</f>
        <v>200000</v>
      </c>
      <c r="AB7" s="31">
        <v>50000</v>
      </c>
      <c r="AC7" s="32">
        <v>100000</v>
      </c>
      <c r="AD7" s="32">
        <f>$C7+AC7</f>
        <v>150000</v>
      </c>
      <c r="AE7" s="32">
        <f>$C7+AD7</f>
        <v>200000</v>
      </c>
      <c r="AG7" s="31">
        <v>50000</v>
      </c>
      <c r="AH7" s="32">
        <v>100000</v>
      </c>
      <c r="AI7" s="32">
        <f>$C7+AH7</f>
        <v>150000</v>
      </c>
      <c r="AJ7" s="32">
        <f>$C7+AI7</f>
        <v>200000</v>
      </c>
      <c r="AL7" s="31">
        <v>50000</v>
      </c>
      <c r="AM7" s="32">
        <v>100000</v>
      </c>
      <c r="AN7" s="32">
        <f>$C7+AM7</f>
        <v>150000</v>
      </c>
      <c r="AO7" s="32">
        <f>$C7+AN7</f>
        <v>200000</v>
      </c>
      <c r="AQ7" s="31">
        <v>50000</v>
      </c>
      <c r="AR7" s="32">
        <v>100000</v>
      </c>
      <c r="AS7" s="32">
        <f>$C7+AR7</f>
        <v>150000</v>
      </c>
      <c r="AT7" s="32">
        <f>$C7+AS7</f>
        <v>200000</v>
      </c>
      <c r="AU7"/>
      <c r="AV7" s="31">
        <v>50000</v>
      </c>
      <c r="AW7" s="32">
        <v>100000</v>
      </c>
      <c r="AX7" s="32">
        <f>$C7+AW7</f>
        <v>150000</v>
      </c>
      <c r="AY7" s="32">
        <f>$C7+AX7</f>
        <v>200000</v>
      </c>
      <c r="AZ7"/>
      <c r="BA7" s="31">
        <v>50000</v>
      </c>
      <c r="BB7" s="32">
        <v>100000</v>
      </c>
      <c r="BC7" s="32">
        <f>$C7+BB7</f>
        <v>150000</v>
      </c>
      <c r="BD7" s="32">
        <f>$C7+BC7</f>
        <v>200000</v>
      </c>
      <c r="BE7"/>
      <c r="BF7" s="31">
        <v>50000</v>
      </c>
      <c r="BG7" s="32">
        <v>100000</v>
      </c>
      <c r="BH7" s="32">
        <f>$C7+BG7</f>
        <v>150000</v>
      </c>
      <c r="BI7" s="32">
        <f>$C7+BH7</f>
        <v>200000</v>
      </c>
      <c r="BJ7"/>
      <c r="BK7" s="31">
        <v>50000</v>
      </c>
      <c r="BL7" s="32">
        <v>100000</v>
      </c>
      <c r="BM7" s="32">
        <f>$C7+BL7</f>
        <v>150000</v>
      </c>
      <c r="BN7" s="32">
        <f>$C7+BM7</f>
        <v>200000</v>
      </c>
      <c r="BO7"/>
      <c r="BP7" s="31">
        <v>50000</v>
      </c>
      <c r="BQ7" s="32">
        <v>100000</v>
      </c>
      <c r="BR7" s="32">
        <f>$C7+BQ7</f>
        <v>150000</v>
      </c>
      <c r="BS7" s="32">
        <f>$C7+BR7</f>
        <v>200000</v>
      </c>
      <c r="BT7"/>
      <c r="BU7" s="31">
        <v>50000</v>
      </c>
      <c r="BV7" s="32">
        <v>100000</v>
      </c>
      <c r="BW7" s="32">
        <f>$C7+BV7</f>
        <v>150000</v>
      </c>
      <c r="BX7" s="32">
        <f>$C7+BW7</f>
        <v>200000</v>
      </c>
      <c r="BY7"/>
      <c r="BZ7" s="31">
        <v>50000</v>
      </c>
      <c r="CA7" s="32">
        <v>100000</v>
      </c>
      <c r="CB7" s="32">
        <f>$C7+CA7</f>
        <v>150000</v>
      </c>
      <c r="CC7" s="32">
        <f>$C7+CB7</f>
        <v>200000</v>
      </c>
    </row>
    <row r="8" spans="1:81" ht="14.25" customHeight="1">
      <c r="B8" s="6" t="s">
        <v>112</v>
      </c>
      <c r="C8" s="70"/>
      <c r="D8" s="70"/>
      <c r="E8" s="70"/>
      <c r="F8" s="70"/>
      <c r="G8" s="95" t="s">
        <v>112</v>
      </c>
      <c r="H8" s="70"/>
      <c r="I8" s="70"/>
      <c r="J8" s="70"/>
      <c r="K8" s="70"/>
      <c r="L8" s="95" t="s">
        <v>112</v>
      </c>
      <c r="M8" s="70"/>
      <c r="N8" s="70"/>
      <c r="O8" s="70"/>
      <c r="P8" s="70"/>
      <c r="Q8" s="95" t="s">
        <v>112</v>
      </c>
      <c r="R8" s="70"/>
      <c r="S8" s="70"/>
      <c r="T8" s="70"/>
      <c r="U8" s="70"/>
      <c r="V8" s="95" t="s">
        <v>112</v>
      </c>
      <c r="W8" s="70"/>
      <c r="X8" s="70"/>
      <c r="Y8" s="70"/>
      <c r="Z8" s="70"/>
      <c r="AA8" s="95" t="s">
        <v>112</v>
      </c>
      <c r="AB8" s="70"/>
      <c r="AC8" s="70"/>
      <c r="AD8" s="70"/>
      <c r="AE8" s="70"/>
      <c r="AF8" s="95" t="s">
        <v>112</v>
      </c>
      <c r="AG8" s="70"/>
      <c r="AH8" s="70"/>
      <c r="AI8" s="70"/>
      <c r="AJ8" s="70"/>
      <c r="AK8" s="95" t="s">
        <v>112</v>
      </c>
      <c r="AL8" s="70"/>
      <c r="AM8" s="70"/>
      <c r="AN8" s="70"/>
      <c r="AO8" s="70"/>
      <c r="AP8" s="95" t="s">
        <v>112</v>
      </c>
      <c r="AQ8" s="70"/>
      <c r="AR8" s="70"/>
      <c r="AS8" s="70"/>
      <c r="AT8" s="70"/>
      <c r="AU8" s="95" t="s">
        <v>112</v>
      </c>
      <c r="AV8" s="70"/>
      <c r="AW8" s="70"/>
      <c r="AX8" s="70"/>
      <c r="AY8" s="70"/>
      <c r="AZ8" s="95" t="s">
        <v>112</v>
      </c>
      <c r="BA8" s="70"/>
      <c r="BB8" s="70"/>
      <c r="BC8" s="70"/>
      <c r="BD8" s="70"/>
      <c r="BE8" s="95" t="s">
        <v>112</v>
      </c>
      <c r="BF8" s="70"/>
      <c r="BG8" s="70"/>
      <c r="BH8" s="70"/>
      <c r="BI8" s="70"/>
      <c r="BJ8" s="95" t="s">
        <v>112</v>
      </c>
      <c r="BK8" s="70"/>
      <c r="BL8" s="70"/>
      <c r="BM8" s="70"/>
      <c r="BN8" s="70"/>
      <c r="BO8" s="95" t="s">
        <v>112</v>
      </c>
      <c r="BP8" s="70"/>
      <c r="BQ8" s="70"/>
      <c r="BR8" s="70"/>
      <c r="BS8" s="70"/>
      <c r="BT8" s="95" t="s">
        <v>112</v>
      </c>
      <c r="BU8" s="70"/>
      <c r="BV8" s="70"/>
      <c r="BW8" s="70"/>
      <c r="BX8" s="70"/>
      <c r="BY8" s="95" t="s">
        <v>112</v>
      </c>
      <c r="BZ8" s="70"/>
      <c r="CA8" s="70"/>
      <c r="CB8" s="70"/>
      <c r="CC8" s="70"/>
    </row>
    <row r="9" spans="1:81">
      <c r="B9" s="5" t="s">
        <v>113</v>
      </c>
      <c r="C9" s="73">
        <f>'Target Segments &amp; Revenue (TN)'!H10</f>
        <v>122.77529284164861</v>
      </c>
      <c r="D9" s="73">
        <f>'Target Segments &amp; Revenue (TN)'!H10</f>
        <v>122.77529284164861</v>
      </c>
      <c r="E9" s="73">
        <f>'Target Segments &amp; Revenue (TN)'!H10</f>
        <v>122.77529284164861</v>
      </c>
      <c r="F9" s="73">
        <f>'Target Segments &amp; Revenue (TN)'!H10</f>
        <v>122.77529284164861</v>
      </c>
      <c r="G9" s="70" t="s">
        <v>113</v>
      </c>
      <c r="H9" s="96">
        <f>'Target Segments &amp; Revenue (TN)'!H11</f>
        <v>163.31451612903226</v>
      </c>
      <c r="I9" s="96">
        <f>'Target Segments &amp; Revenue (TN)'!H11</f>
        <v>163.31451612903226</v>
      </c>
      <c r="J9" s="96">
        <f>'Target Segments &amp; Revenue (TN)'!H11</f>
        <v>163.31451612903226</v>
      </c>
      <c r="K9" s="96">
        <f>'Target Segments &amp; Revenue (TN)'!H11</f>
        <v>163.31451612903226</v>
      </c>
      <c r="L9" s="70" t="s">
        <v>113</v>
      </c>
      <c r="M9" s="97">
        <f>'Target Segments &amp; Revenue (TN)'!H10</f>
        <v>122.77529284164861</v>
      </c>
      <c r="N9" s="97">
        <f>'Target Segments &amp; Revenue (TN)'!H10</f>
        <v>122.77529284164861</v>
      </c>
      <c r="O9" s="97">
        <f>'Target Segments &amp; Revenue (TN)'!H10</f>
        <v>122.77529284164861</v>
      </c>
      <c r="P9" s="97">
        <f>'Target Segments &amp; Revenue (TN)'!H10</f>
        <v>122.77529284164861</v>
      </c>
      <c r="Q9" s="70" t="s">
        <v>113</v>
      </c>
      <c r="R9" s="97">
        <f>'Target Segments &amp; Revenue (TN)'!H10</f>
        <v>122.77529284164861</v>
      </c>
      <c r="S9" s="97">
        <f>'Target Segments &amp; Revenue (TN)'!H10</f>
        <v>122.77529284164861</v>
      </c>
      <c r="T9" s="97">
        <f>'Target Segments &amp; Revenue (TN)'!H10</f>
        <v>122.77529284164861</v>
      </c>
      <c r="U9" s="97">
        <f>'Target Segments &amp; Revenue (TN)'!H10</f>
        <v>122.77529284164861</v>
      </c>
      <c r="V9" s="70" t="s">
        <v>113</v>
      </c>
      <c r="W9" s="97">
        <f>'Target Segments &amp; Revenue (TN)'!H10</f>
        <v>122.77529284164861</v>
      </c>
      <c r="X9" s="97">
        <f>'Target Segments &amp; Revenue (TN)'!H10</f>
        <v>122.77529284164861</v>
      </c>
      <c r="Y9" s="97">
        <f>'Target Segments &amp; Revenue (TN)'!H10</f>
        <v>122.77529284164861</v>
      </c>
      <c r="Z9" s="97">
        <f>'Target Segments &amp; Revenue (TN)'!H10</f>
        <v>122.77529284164861</v>
      </c>
      <c r="AA9" s="70" t="s">
        <v>113</v>
      </c>
      <c r="AB9" s="97">
        <f>'Target Segments &amp; Revenue (TN)'!H10</f>
        <v>122.77529284164861</v>
      </c>
      <c r="AC9" s="97">
        <f>'Target Segments &amp; Revenue (TN)'!H10</f>
        <v>122.77529284164861</v>
      </c>
      <c r="AD9" s="97">
        <f>'Target Segments &amp; Revenue (TN)'!H10</f>
        <v>122.77529284164861</v>
      </c>
      <c r="AE9" s="97">
        <f>'Target Segments &amp; Revenue (TN)'!H10</f>
        <v>122.77529284164861</v>
      </c>
      <c r="AF9" s="70" t="s">
        <v>113</v>
      </c>
      <c r="AG9" s="97">
        <f>'Target Segments &amp; Revenue (TN)'!H10</f>
        <v>122.77529284164861</v>
      </c>
      <c r="AH9" s="97">
        <f>'Target Segments &amp; Revenue (TN)'!H10</f>
        <v>122.77529284164861</v>
      </c>
      <c r="AI9" s="97">
        <f>'Target Segments &amp; Revenue (TN)'!H10</f>
        <v>122.77529284164861</v>
      </c>
      <c r="AJ9" s="97">
        <f>'Target Segments &amp; Revenue (TN)'!H10</f>
        <v>122.77529284164861</v>
      </c>
      <c r="AK9" s="70" t="s">
        <v>113</v>
      </c>
      <c r="AL9" s="97">
        <f>'Target Segments &amp; Revenue (TN)'!H10</f>
        <v>122.77529284164861</v>
      </c>
      <c r="AM9" s="97">
        <f>'Target Segments &amp; Revenue (TN)'!H10</f>
        <v>122.77529284164861</v>
      </c>
      <c r="AN9" s="97">
        <f>'Target Segments &amp; Revenue (TN)'!H10</f>
        <v>122.77529284164861</v>
      </c>
      <c r="AO9" s="97">
        <f>'Target Segments &amp; Revenue (TN)'!H10</f>
        <v>122.77529284164861</v>
      </c>
      <c r="AP9" s="70" t="s">
        <v>113</v>
      </c>
      <c r="AQ9" s="97">
        <f>'Target Segments &amp; Revenue (TN)'!H10</f>
        <v>122.77529284164861</v>
      </c>
      <c r="AR9" s="97">
        <f>'Target Segments &amp; Revenue (TN)'!H10</f>
        <v>122.77529284164861</v>
      </c>
      <c r="AS9" s="97">
        <f>'Target Segments &amp; Revenue (TN)'!H10</f>
        <v>122.77529284164861</v>
      </c>
      <c r="AT9" s="97">
        <f>'Target Segments &amp; Revenue (TN)'!H10</f>
        <v>122.77529284164861</v>
      </c>
      <c r="AU9" s="70" t="s">
        <v>113</v>
      </c>
      <c r="AV9" s="97">
        <f>'Target Segments &amp; Revenue (TN)'!H11</f>
        <v>163.31451612903226</v>
      </c>
      <c r="AW9" s="97">
        <f>'Target Segments &amp; Revenue (TN)'!H11</f>
        <v>163.31451612903226</v>
      </c>
      <c r="AX9" s="97">
        <f>'Target Segments &amp; Revenue (TN)'!H11</f>
        <v>163.31451612903226</v>
      </c>
      <c r="AY9" s="97">
        <f>'Target Segments &amp; Revenue (TN)'!H11</f>
        <v>163.31451612903226</v>
      </c>
      <c r="AZ9" s="70" t="s">
        <v>113</v>
      </c>
      <c r="BA9" s="98">
        <f>'Target Segments &amp; Revenue (TN)'!H11</f>
        <v>163.31451612903226</v>
      </c>
      <c r="BB9" s="98">
        <f>'Target Segments &amp; Revenue (TN)'!H11</f>
        <v>163.31451612903226</v>
      </c>
      <c r="BC9" s="98">
        <f>'Target Segments &amp; Revenue (TN)'!H11</f>
        <v>163.31451612903226</v>
      </c>
      <c r="BD9" s="98">
        <f>'Target Segments &amp; Revenue (TN)'!H11</f>
        <v>163.31451612903226</v>
      </c>
      <c r="BE9" s="70" t="s">
        <v>113</v>
      </c>
      <c r="BF9" s="98">
        <f>'Target Segments &amp; Revenue (TN)'!H11</f>
        <v>163.31451612903226</v>
      </c>
      <c r="BG9" s="98">
        <f>'Target Segments &amp; Revenue (TN)'!H11</f>
        <v>163.31451612903226</v>
      </c>
      <c r="BH9" s="98">
        <f>'Target Segments &amp; Revenue (TN)'!H11</f>
        <v>163.31451612903226</v>
      </c>
      <c r="BI9" s="98">
        <f>'Target Segments &amp; Revenue (TN)'!H11</f>
        <v>163.31451612903226</v>
      </c>
      <c r="BJ9" s="70" t="s">
        <v>113</v>
      </c>
      <c r="BK9" s="98">
        <f>'Target Segments &amp; Revenue (TN)'!H11</f>
        <v>163.31451612903226</v>
      </c>
      <c r="BL9" s="98">
        <f>'Target Segments &amp; Revenue (TN)'!H11</f>
        <v>163.31451612903226</v>
      </c>
      <c r="BM9" s="98">
        <f>'Target Segments &amp; Revenue (TN)'!H11</f>
        <v>163.31451612903226</v>
      </c>
      <c r="BN9" s="98">
        <f>'Target Segments &amp; Revenue (TN)'!H11</f>
        <v>163.31451612903226</v>
      </c>
      <c r="BO9" s="70" t="s">
        <v>113</v>
      </c>
      <c r="BP9" s="98">
        <f>'Target Segments &amp; Revenue (TN)'!H11</f>
        <v>163.31451612903226</v>
      </c>
      <c r="BQ9" s="98">
        <f>'Target Segments &amp; Revenue (TN)'!H11</f>
        <v>163.31451612903226</v>
      </c>
      <c r="BR9" s="98">
        <f>'Target Segments &amp; Revenue (TN)'!H11</f>
        <v>163.31451612903226</v>
      </c>
      <c r="BS9" s="98">
        <f>'Target Segments &amp; Revenue (TN)'!H11</f>
        <v>163.31451612903226</v>
      </c>
      <c r="BT9" s="70" t="s">
        <v>113</v>
      </c>
      <c r="BU9" s="97">
        <f>'Target Segments &amp; Revenue (TN)'!H11</f>
        <v>163.31451612903226</v>
      </c>
      <c r="BV9" s="97">
        <f>'Target Segments &amp; Revenue (TN)'!H11</f>
        <v>163.31451612903226</v>
      </c>
      <c r="BW9" s="97">
        <f>'Target Segments &amp; Revenue (TN)'!H11</f>
        <v>163.31451612903226</v>
      </c>
      <c r="BX9" s="97">
        <f>'Target Segments &amp; Revenue (TN)'!H11</f>
        <v>163.31451612903226</v>
      </c>
      <c r="BY9" s="70" t="s">
        <v>113</v>
      </c>
      <c r="BZ9" s="98">
        <f>'Target Segments &amp; Revenue (TN)'!H11</f>
        <v>163.31451612903226</v>
      </c>
      <c r="CA9" s="98">
        <f>'Target Segments &amp; Revenue (TN)'!H11</f>
        <v>163.31451612903226</v>
      </c>
      <c r="CB9" s="98">
        <f>'Target Segments &amp; Revenue (TN)'!H11</f>
        <v>163.31451612903226</v>
      </c>
      <c r="CC9" s="98">
        <f>'Target Segments &amp; Revenue (TN)'!H11</f>
        <v>163.31451612903226</v>
      </c>
    </row>
    <row r="10" spans="1:81">
      <c r="B10" s="5" t="s">
        <v>114</v>
      </c>
      <c r="C10" s="73">
        <f>'Customer Acquisition (TN)'!$K$11</f>
        <v>15.897435897435898</v>
      </c>
      <c r="D10" s="73">
        <f>'Customer Acquisition (TN)'!$K$11</f>
        <v>15.897435897435898</v>
      </c>
      <c r="E10" s="73">
        <f>'Customer Acquisition (TN)'!$K$11</f>
        <v>15.897435897435898</v>
      </c>
      <c r="F10" s="73">
        <f>'Customer Acquisition (TN)'!$K$11</f>
        <v>15.897435897435898</v>
      </c>
      <c r="G10" s="70" t="s">
        <v>114</v>
      </c>
      <c r="H10" s="96">
        <f>'Customer Acquisition (TN)'!K22</f>
        <v>15.567567567567568</v>
      </c>
      <c r="I10" s="96">
        <f>'Customer Acquisition (TN)'!K22</f>
        <v>15.567567567567568</v>
      </c>
      <c r="J10" s="96">
        <f>'Customer Acquisition (TN)'!K22</f>
        <v>15.567567567567568</v>
      </c>
      <c r="K10" s="96">
        <f>'Customer Acquisition (TN)'!K22</f>
        <v>15.567567567567568</v>
      </c>
      <c r="L10" s="70" t="s">
        <v>114</v>
      </c>
      <c r="M10" s="99">
        <f>'Customer Acquisition (TN)'!K12</f>
        <v>7.309236947791165</v>
      </c>
      <c r="N10" s="99">
        <f>M10</f>
        <v>7.309236947791165</v>
      </c>
      <c r="O10" s="99">
        <f>M10</f>
        <v>7.309236947791165</v>
      </c>
      <c r="P10" s="99">
        <f>M10</f>
        <v>7.309236947791165</v>
      </c>
      <c r="Q10" s="70" t="s">
        <v>114</v>
      </c>
      <c r="R10" s="99">
        <f>'Customer Acquisition (TN)'!K13</f>
        <v>17.717717717717719</v>
      </c>
      <c r="S10" s="73">
        <f>'Customer Acquisition (TN)'!K13</f>
        <v>17.717717717717719</v>
      </c>
      <c r="T10" s="73">
        <f>'Customer Acquisition (TN)'!K13</f>
        <v>17.717717717717719</v>
      </c>
      <c r="U10" s="73">
        <f>'Customer Acquisition (TN)'!K13</f>
        <v>17.717717717717719</v>
      </c>
      <c r="V10" s="70" t="s">
        <v>114</v>
      </c>
      <c r="W10" s="73">
        <f>'Customer Acquisition (TN)'!K6</f>
        <v>27.777777777777779</v>
      </c>
      <c r="X10" s="73">
        <f>'Customer Acquisition (TN)'!K6</f>
        <v>27.777777777777779</v>
      </c>
      <c r="Y10" s="73">
        <f>'Customer Acquisition (TN)'!K6</f>
        <v>27.777777777777779</v>
      </c>
      <c r="Z10" s="73">
        <f>'Customer Acquisition (TN)'!K6</f>
        <v>27.777777777777779</v>
      </c>
      <c r="AA10" s="70" t="s">
        <v>114</v>
      </c>
      <c r="AB10" s="73">
        <f>'Customer Acquisition (TN)'!K7</f>
        <v>13.333333333333334</v>
      </c>
      <c r="AC10" s="73">
        <f>'Customer Acquisition (TN)'!K7</f>
        <v>13.333333333333334</v>
      </c>
      <c r="AD10" s="73">
        <f>'Customer Acquisition (TN)'!K7</f>
        <v>13.333333333333334</v>
      </c>
      <c r="AE10" s="73">
        <f>'Customer Acquisition (TN)'!K7</f>
        <v>13.333333333333334</v>
      </c>
      <c r="AF10" s="70" t="s">
        <v>114</v>
      </c>
      <c r="AG10" s="73">
        <v>11.11</v>
      </c>
      <c r="AH10" s="73">
        <v>11.11</v>
      </c>
      <c r="AI10" s="73">
        <v>11.11</v>
      </c>
      <c r="AJ10" s="73">
        <v>11.11</v>
      </c>
      <c r="AK10" s="70" t="s">
        <v>114</v>
      </c>
      <c r="AL10" s="73">
        <v>3.33</v>
      </c>
      <c r="AM10" s="73">
        <v>3.33</v>
      </c>
      <c r="AN10" s="73">
        <v>3.33</v>
      </c>
      <c r="AO10" s="73">
        <v>3.33</v>
      </c>
      <c r="AP10" s="70" t="s">
        <v>114</v>
      </c>
      <c r="AQ10" s="73">
        <v>2.2200000000000002</v>
      </c>
      <c r="AR10" s="73">
        <v>2.2200000000000002</v>
      </c>
      <c r="AS10" s="73">
        <v>2.2200000000000002</v>
      </c>
      <c r="AT10" s="73">
        <v>2.2200000000000002</v>
      </c>
      <c r="AU10" s="70" t="s">
        <v>114</v>
      </c>
      <c r="AV10" s="97">
        <f>'Customer Acquisition (TN)'!K23</f>
        <v>9.706666666666667</v>
      </c>
      <c r="AW10" s="97">
        <f>'Customer Acquisition (TN)'!K23</f>
        <v>9.706666666666667</v>
      </c>
      <c r="AX10" s="97">
        <f>'Customer Acquisition (TN)'!K23</f>
        <v>9.706666666666667</v>
      </c>
      <c r="AY10" s="97">
        <f>'Customer Acquisition (TN)'!K23</f>
        <v>9.706666666666667</v>
      </c>
      <c r="AZ10" s="70" t="s">
        <v>114</v>
      </c>
      <c r="BA10" s="98">
        <f>'Customer Acquisition (TN)'!K24</f>
        <v>13.055555555555555</v>
      </c>
      <c r="BB10" s="98">
        <f>'Customer Acquisition (TN)'!K24</f>
        <v>13.055555555555555</v>
      </c>
      <c r="BC10" s="98">
        <f>'Customer Acquisition (TN)'!K24</f>
        <v>13.055555555555555</v>
      </c>
      <c r="BD10" s="98">
        <f>'Customer Acquisition (TN)'!K24</f>
        <v>13.055555555555555</v>
      </c>
      <c r="BE10" s="70" t="s">
        <v>114</v>
      </c>
      <c r="BF10" s="98">
        <v>27.78</v>
      </c>
      <c r="BG10" s="98">
        <v>27.78</v>
      </c>
      <c r="BH10" s="98">
        <v>27.78</v>
      </c>
      <c r="BI10" s="98">
        <v>27.78</v>
      </c>
      <c r="BJ10" s="70" t="s">
        <v>114</v>
      </c>
      <c r="BK10" s="98">
        <v>26.67</v>
      </c>
      <c r="BL10" s="98">
        <v>26.67</v>
      </c>
      <c r="BM10" s="98">
        <v>26.67</v>
      </c>
      <c r="BN10" s="98">
        <v>26.67</v>
      </c>
      <c r="BO10" s="70" t="s">
        <v>114</v>
      </c>
      <c r="BP10" s="98">
        <v>22.22</v>
      </c>
      <c r="BQ10" s="98">
        <v>22.22</v>
      </c>
      <c r="BR10" s="98">
        <v>22.22</v>
      </c>
      <c r="BS10" s="98">
        <v>22.22</v>
      </c>
      <c r="BT10" s="70" t="s">
        <v>114</v>
      </c>
      <c r="BU10" s="97">
        <v>3.33</v>
      </c>
      <c r="BV10" s="97">
        <v>3.33</v>
      </c>
      <c r="BW10" s="97">
        <v>3.33</v>
      </c>
      <c r="BX10" s="97">
        <v>3.33</v>
      </c>
      <c r="BY10" s="70" t="s">
        <v>114</v>
      </c>
      <c r="BZ10" s="98">
        <v>2.2200000000000002</v>
      </c>
      <c r="CA10" s="98">
        <v>2.2200000000000002</v>
      </c>
      <c r="CB10" s="98">
        <v>2.2200000000000002</v>
      </c>
      <c r="CC10" s="98">
        <v>2.2200000000000002</v>
      </c>
    </row>
    <row r="11" spans="1:81">
      <c r="B11" s="5" t="s">
        <v>115</v>
      </c>
      <c r="C11" s="73">
        <v>20</v>
      </c>
      <c r="D11" s="73">
        <f>C11-2.5</f>
        <v>17.5</v>
      </c>
      <c r="E11" s="73">
        <f>D11-2.5</f>
        <v>15</v>
      </c>
      <c r="F11" s="73">
        <f>E11-2.5</f>
        <v>12.5</v>
      </c>
      <c r="G11" s="70" t="s">
        <v>115</v>
      </c>
      <c r="H11" s="96">
        <v>20</v>
      </c>
      <c r="I11" s="96">
        <f>H11-2.5</f>
        <v>17.5</v>
      </c>
      <c r="J11" s="96">
        <f>I11-2.5</f>
        <v>15</v>
      </c>
      <c r="K11" s="96">
        <f>J11-2.5</f>
        <v>12.5</v>
      </c>
      <c r="L11" s="70" t="s">
        <v>115</v>
      </c>
      <c r="M11" s="97">
        <v>20</v>
      </c>
      <c r="N11" s="97">
        <f>M11-2.5</f>
        <v>17.5</v>
      </c>
      <c r="O11" s="97">
        <f>N11-2.5</f>
        <v>15</v>
      </c>
      <c r="P11" s="97">
        <f>O11-2.5</f>
        <v>12.5</v>
      </c>
      <c r="Q11" s="70" t="s">
        <v>115</v>
      </c>
      <c r="R11" s="97">
        <v>20</v>
      </c>
      <c r="S11" s="97">
        <f>R11-2.5</f>
        <v>17.5</v>
      </c>
      <c r="T11" s="97">
        <f>S11-2.5</f>
        <v>15</v>
      </c>
      <c r="U11" s="97">
        <f>T11-2.5</f>
        <v>12.5</v>
      </c>
      <c r="V11" s="70" t="s">
        <v>115</v>
      </c>
      <c r="W11" s="97">
        <v>20</v>
      </c>
      <c r="X11" s="97">
        <f>W11-2.5</f>
        <v>17.5</v>
      </c>
      <c r="Y11" s="97">
        <f>X11-2.5</f>
        <v>15</v>
      </c>
      <c r="Z11" s="97">
        <f>Y11-2.5</f>
        <v>12.5</v>
      </c>
      <c r="AA11" s="70" t="s">
        <v>115</v>
      </c>
      <c r="AB11" s="97">
        <v>20</v>
      </c>
      <c r="AC11" s="97">
        <f>AB11-2.5</f>
        <v>17.5</v>
      </c>
      <c r="AD11" s="97">
        <f>AC11-2.5</f>
        <v>15</v>
      </c>
      <c r="AE11" s="97">
        <f>AD11-2.5</f>
        <v>12.5</v>
      </c>
      <c r="AF11" s="70" t="s">
        <v>115</v>
      </c>
      <c r="AG11" s="97">
        <v>20</v>
      </c>
      <c r="AH11" s="97">
        <f>AG11-2.5</f>
        <v>17.5</v>
      </c>
      <c r="AI11" s="97">
        <f>AH11-2.5</f>
        <v>15</v>
      </c>
      <c r="AJ11" s="97">
        <f>AI11-2.5</f>
        <v>12.5</v>
      </c>
      <c r="AK11" s="70" t="s">
        <v>115</v>
      </c>
      <c r="AL11" s="97">
        <v>20</v>
      </c>
      <c r="AM11" s="97">
        <f>AL11-2.5</f>
        <v>17.5</v>
      </c>
      <c r="AN11" s="97">
        <f>AM11-2.5</f>
        <v>15</v>
      </c>
      <c r="AO11" s="97">
        <f>AN11-2.5</f>
        <v>12.5</v>
      </c>
      <c r="AP11" s="70" t="s">
        <v>115</v>
      </c>
      <c r="AQ11" s="97">
        <v>20</v>
      </c>
      <c r="AR11" s="97">
        <f>AQ11-2.5</f>
        <v>17.5</v>
      </c>
      <c r="AS11" s="97">
        <f>AR11-2.5</f>
        <v>15</v>
      </c>
      <c r="AT11" s="97">
        <f>AS11-2.5</f>
        <v>12.5</v>
      </c>
      <c r="AU11" s="70" t="s">
        <v>115</v>
      </c>
      <c r="AV11" s="97">
        <v>20</v>
      </c>
      <c r="AW11" s="97">
        <f>AV11-2.5</f>
        <v>17.5</v>
      </c>
      <c r="AX11" s="97">
        <f>AW11-2.5</f>
        <v>15</v>
      </c>
      <c r="AY11" s="97">
        <f>AX11-2.5</f>
        <v>12.5</v>
      </c>
      <c r="AZ11" s="70" t="s">
        <v>115</v>
      </c>
      <c r="BA11" s="98">
        <v>20</v>
      </c>
      <c r="BB11" s="98">
        <f>BA11-2.5</f>
        <v>17.5</v>
      </c>
      <c r="BC11" s="98">
        <f>BB11-2.5</f>
        <v>15</v>
      </c>
      <c r="BD11" s="98">
        <f>BC11-2.5</f>
        <v>12.5</v>
      </c>
      <c r="BE11" s="70" t="s">
        <v>115</v>
      </c>
      <c r="BF11" s="98">
        <v>20</v>
      </c>
      <c r="BG11" s="98">
        <f>BF11-2.5</f>
        <v>17.5</v>
      </c>
      <c r="BH11" s="98">
        <f>BG11-2.5</f>
        <v>15</v>
      </c>
      <c r="BI11" s="98">
        <f>BH11-2.5</f>
        <v>12.5</v>
      </c>
      <c r="BJ11" s="70" t="s">
        <v>115</v>
      </c>
      <c r="BK11" s="98">
        <v>20</v>
      </c>
      <c r="BL11" s="98">
        <f>BK11-2.5</f>
        <v>17.5</v>
      </c>
      <c r="BM11" s="98">
        <f>BL11-2.5</f>
        <v>15</v>
      </c>
      <c r="BN11" s="98">
        <f>BM11-2.5</f>
        <v>12.5</v>
      </c>
      <c r="BO11" s="70" t="s">
        <v>115</v>
      </c>
      <c r="BP11" s="98">
        <v>20</v>
      </c>
      <c r="BQ11" s="98">
        <f>BP11-2.5</f>
        <v>17.5</v>
      </c>
      <c r="BR11" s="98">
        <f>BQ11-2.5</f>
        <v>15</v>
      </c>
      <c r="BS11" s="98">
        <f>BR11-2.5</f>
        <v>12.5</v>
      </c>
      <c r="BT11" s="70" t="s">
        <v>115</v>
      </c>
      <c r="BU11" s="97">
        <v>20</v>
      </c>
      <c r="BV11" s="97">
        <f>BU11-2.5</f>
        <v>17.5</v>
      </c>
      <c r="BW11" s="97">
        <f>BV11-2.5</f>
        <v>15</v>
      </c>
      <c r="BX11" s="97">
        <f>BW11-2.5</f>
        <v>12.5</v>
      </c>
      <c r="BY11" s="70" t="s">
        <v>115</v>
      </c>
      <c r="BZ11" s="98">
        <v>20</v>
      </c>
      <c r="CA11" s="98">
        <f>BZ11-2.5</f>
        <v>17.5</v>
      </c>
      <c r="CB11" s="98">
        <f>CA11-2.5</f>
        <v>15</v>
      </c>
      <c r="CC11" s="98">
        <f>CB11-2.5</f>
        <v>12.5</v>
      </c>
    </row>
    <row r="12" spans="1:81">
      <c r="C12" s="70"/>
      <c r="D12" s="70"/>
      <c r="E12" s="70"/>
      <c r="F12" s="70"/>
      <c r="G12" s="70"/>
      <c r="H12" s="100"/>
      <c r="I12" s="100"/>
      <c r="J12" s="100"/>
      <c r="K12" s="100"/>
      <c r="L12" s="70"/>
      <c r="M12" s="100"/>
      <c r="N12" s="100"/>
      <c r="O12" s="100"/>
      <c r="P12" s="10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3"/>
      <c r="AC12" s="73"/>
      <c r="AD12" s="73"/>
      <c r="AE12" s="73"/>
      <c r="AF12" s="70"/>
      <c r="AG12" s="73"/>
      <c r="AH12" s="73"/>
      <c r="AI12" s="73"/>
      <c r="AJ12" s="73"/>
      <c r="AK12" s="70"/>
      <c r="AL12" s="73"/>
      <c r="AM12" s="73"/>
      <c r="AN12" s="73"/>
      <c r="AO12" s="73"/>
      <c r="AP12" s="70"/>
      <c r="AQ12" s="73"/>
      <c r="AR12" s="73"/>
      <c r="AS12" s="73"/>
      <c r="AT12" s="73"/>
      <c r="AU12" s="70"/>
      <c r="AV12" s="97"/>
      <c r="AW12" s="97"/>
      <c r="AX12" s="97"/>
      <c r="AY12" s="97"/>
      <c r="AZ12" s="70"/>
      <c r="BA12" s="98"/>
      <c r="BB12" s="98"/>
      <c r="BC12" s="98"/>
      <c r="BD12" s="98"/>
      <c r="BE12" s="70"/>
      <c r="BF12" s="98"/>
      <c r="BG12" s="98"/>
      <c r="BH12" s="98"/>
      <c r="BI12" s="98"/>
      <c r="BJ12" s="70"/>
      <c r="BK12" s="98"/>
      <c r="BL12" s="98"/>
      <c r="BM12" s="98"/>
      <c r="BN12" s="98"/>
      <c r="BO12" s="70"/>
      <c r="BP12" s="98"/>
      <c r="BQ12" s="98"/>
      <c r="BR12" s="98"/>
      <c r="BS12" s="98"/>
      <c r="BT12" s="70"/>
      <c r="BU12" s="97"/>
      <c r="BV12" s="97"/>
      <c r="BW12" s="97"/>
      <c r="BX12" s="97"/>
      <c r="BY12" s="70"/>
      <c r="BZ12" s="98"/>
      <c r="CA12" s="98"/>
      <c r="CB12" s="98"/>
      <c r="CC12" s="98"/>
    </row>
    <row r="13" spans="1:81">
      <c r="B13" s="5" t="s">
        <v>116</v>
      </c>
      <c r="C13" s="73">
        <f>C10+C11</f>
        <v>35.897435897435898</v>
      </c>
      <c r="D13" s="73">
        <f>D10+D11</f>
        <v>33.397435897435898</v>
      </c>
      <c r="E13" s="73">
        <f>E10+E11</f>
        <v>30.897435897435898</v>
      </c>
      <c r="F13" s="73">
        <f>F10+F11</f>
        <v>28.397435897435898</v>
      </c>
      <c r="G13" s="70" t="s">
        <v>116</v>
      </c>
      <c r="H13" s="97">
        <f>H10+H11</f>
        <v>35.567567567567565</v>
      </c>
      <c r="I13" s="97">
        <f t="shared" ref="I13:K13" si="0">I10+I11</f>
        <v>33.067567567567565</v>
      </c>
      <c r="J13" s="97">
        <f t="shared" si="0"/>
        <v>30.567567567567568</v>
      </c>
      <c r="K13" s="97">
        <f t="shared" si="0"/>
        <v>28.067567567567568</v>
      </c>
      <c r="L13" s="70" t="s">
        <v>116</v>
      </c>
      <c r="M13" s="101">
        <f>M10+M11</f>
        <v>27.309236947791163</v>
      </c>
      <c r="N13" s="101">
        <f t="shared" ref="N13:P13" si="1">N10+N11</f>
        <v>24.809236947791163</v>
      </c>
      <c r="O13" s="101">
        <f t="shared" si="1"/>
        <v>22.309236947791163</v>
      </c>
      <c r="P13" s="101">
        <f t="shared" si="1"/>
        <v>19.809236947791163</v>
      </c>
      <c r="Q13" s="70" t="s">
        <v>116</v>
      </c>
      <c r="R13" s="73">
        <f>R10+R11</f>
        <v>37.717717717717719</v>
      </c>
      <c r="S13" s="73">
        <f t="shared" ref="S13:U13" si="2">S10+S11</f>
        <v>35.217717717717719</v>
      </c>
      <c r="T13" s="73">
        <f t="shared" si="2"/>
        <v>32.717717717717719</v>
      </c>
      <c r="U13" s="73">
        <f t="shared" si="2"/>
        <v>30.217717717717719</v>
      </c>
      <c r="V13" s="70" t="s">
        <v>116</v>
      </c>
      <c r="W13" s="73">
        <f>W10+W11</f>
        <v>47.777777777777779</v>
      </c>
      <c r="X13" s="73">
        <f t="shared" ref="X13:Z13" si="3">X10+X11</f>
        <v>45.277777777777779</v>
      </c>
      <c r="Y13" s="73">
        <f t="shared" si="3"/>
        <v>42.777777777777779</v>
      </c>
      <c r="Z13" s="73">
        <f t="shared" si="3"/>
        <v>40.277777777777779</v>
      </c>
      <c r="AA13" s="70" t="s">
        <v>116</v>
      </c>
      <c r="AB13" s="73">
        <f>AB10+AB11</f>
        <v>33.333333333333336</v>
      </c>
      <c r="AC13" s="73">
        <f t="shared" ref="AC13:AE13" si="4">AC10+AC11</f>
        <v>30.833333333333336</v>
      </c>
      <c r="AD13" s="73">
        <f t="shared" si="4"/>
        <v>28.333333333333336</v>
      </c>
      <c r="AE13" s="73">
        <f t="shared" si="4"/>
        <v>25.833333333333336</v>
      </c>
      <c r="AF13" s="70" t="s">
        <v>116</v>
      </c>
      <c r="AG13" s="73">
        <f>AG10+AG11</f>
        <v>31.11</v>
      </c>
      <c r="AH13" s="73">
        <f t="shared" ref="AH13:AJ13" si="5">AH10+AH11</f>
        <v>28.61</v>
      </c>
      <c r="AI13" s="73">
        <f t="shared" si="5"/>
        <v>26.11</v>
      </c>
      <c r="AJ13" s="73">
        <f t="shared" si="5"/>
        <v>23.61</v>
      </c>
      <c r="AK13" s="70" t="s">
        <v>116</v>
      </c>
      <c r="AL13" s="73">
        <f>AL10+AL11</f>
        <v>23.33</v>
      </c>
      <c r="AM13" s="73">
        <f t="shared" ref="AM13:AO13" si="6">AM10+AM11</f>
        <v>20.83</v>
      </c>
      <c r="AN13" s="73">
        <f t="shared" si="6"/>
        <v>18.329999999999998</v>
      </c>
      <c r="AO13" s="73">
        <f t="shared" si="6"/>
        <v>15.83</v>
      </c>
      <c r="AP13" s="70" t="s">
        <v>116</v>
      </c>
      <c r="AQ13" s="73">
        <f>AQ10+AQ11</f>
        <v>22.22</v>
      </c>
      <c r="AR13" s="73">
        <f t="shared" ref="AR13:AT13" si="7">AR10+AR11</f>
        <v>19.72</v>
      </c>
      <c r="AS13" s="73">
        <f t="shared" si="7"/>
        <v>17.22</v>
      </c>
      <c r="AT13" s="73">
        <f t="shared" si="7"/>
        <v>14.72</v>
      </c>
      <c r="AU13" s="70" t="s">
        <v>116</v>
      </c>
      <c r="AV13" s="97">
        <f>AV10+AV11</f>
        <v>29.706666666666667</v>
      </c>
      <c r="AW13" s="97">
        <f t="shared" ref="AW13:AY13" si="8">AW10+AW11</f>
        <v>27.206666666666667</v>
      </c>
      <c r="AX13" s="97">
        <f t="shared" si="8"/>
        <v>24.706666666666667</v>
      </c>
      <c r="AY13" s="97">
        <f t="shared" si="8"/>
        <v>22.206666666666667</v>
      </c>
      <c r="AZ13" s="70" t="s">
        <v>116</v>
      </c>
      <c r="BA13" s="98">
        <f>BA10+BA11</f>
        <v>33.055555555555557</v>
      </c>
      <c r="BB13" s="98">
        <f t="shared" ref="BB13:BD13" si="9">BB10+BB11</f>
        <v>30.555555555555557</v>
      </c>
      <c r="BC13" s="98">
        <f t="shared" si="9"/>
        <v>28.055555555555557</v>
      </c>
      <c r="BD13" s="98">
        <f t="shared" si="9"/>
        <v>25.555555555555557</v>
      </c>
      <c r="BE13" s="70" t="s">
        <v>116</v>
      </c>
      <c r="BF13" s="98">
        <f>BF10+BF11</f>
        <v>47.78</v>
      </c>
      <c r="BG13" s="98">
        <f t="shared" ref="BG13:BI13" si="10">BG10+BG11</f>
        <v>45.28</v>
      </c>
      <c r="BH13" s="98">
        <f t="shared" si="10"/>
        <v>42.78</v>
      </c>
      <c r="BI13" s="98">
        <f t="shared" si="10"/>
        <v>40.28</v>
      </c>
      <c r="BJ13" s="70" t="s">
        <v>116</v>
      </c>
      <c r="BK13" s="98">
        <f>BK10+BK11</f>
        <v>46.67</v>
      </c>
      <c r="BL13" s="98">
        <f t="shared" ref="BL13:BN13" si="11">BL10+BL11</f>
        <v>44.17</v>
      </c>
      <c r="BM13" s="98">
        <f t="shared" si="11"/>
        <v>41.67</v>
      </c>
      <c r="BN13" s="98">
        <f t="shared" si="11"/>
        <v>39.17</v>
      </c>
      <c r="BO13" s="70" t="s">
        <v>116</v>
      </c>
      <c r="BP13" s="98">
        <f>BP10+BP11</f>
        <v>42.22</v>
      </c>
      <c r="BQ13" s="98">
        <f t="shared" ref="BQ13:BS13" si="12">BQ10+BQ11</f>
        <v>39.72</v>
      </c>
      <c r="BR13" s="98">
        <f t="shared" si="12"/>
        <v>37.22</v>
      </c>
      <c r="BS13" s="98">
        <f t="shared" si="12"/>
        <v>34.72</v>
      </c>
      <c r="BT13" s="70" t="s">
        <v>116</v>
      </c>
      <c r="BU13" s="97">
        <f>BU10+BU11</f>
        <v>23.33</v>
      </c>
      <c r="BV13" s="97">
        <f t="shared" ref="BV13:BX13" si="13">BV10+BV11</f>
        <v>20.83</v>
      </c>
      <c r="BW13" s="97">
        <f t="shared" si="13"/>
        <v>18.329999999999998</v>
      </c>
      <c r="BX13" s="97">
        <f t="shared" si="13"/>
        <v>15.83</v>
      </c>
      <c r="BY13" s="70" t="s">
        <v>116</v>
      </c>
      <c r="BZ13" s="98">
        <f>BZ10+BZ11</f>
        <v>22.22</v>
      </c>
      <c r="CA13" s="98">
        <f t="shared" ref="CA13:CC13" si="14">CA10+CA11</f>
        <v>19.72</v>
      </c>
      <c r="CB13" s="98">
        <f t="shared" si="14"/>
        <v>17.22</v>
      </c>
      <c r="CC13" s="98">
        <f t="shared" si="14"/>
        <v>14.72</v>
      </c>
    </row>
    <row r="14" spans="1:81">
      <c r="B14" s="5" t="s">
        <v>117</v>
      </c>
      <c r="C14" s="73">
        <f>C11</f>
        <v>20</v>
      </c>
      <c r="D14" s="73">
        <f>D11</f>
        <v>17.5</v>
      </c>
      <c r="E14" s="73">
        <f>E11</f>
        <v>15</v>
      </c>
      <c r="F14" s="73">
        <f>F11</f>
        <v>12.5</v>
      </c>
      <c r="G14" s="70" t="s">
        <v>117</v>
      </c>
      <c r="H14" s="97">
        <v>20</v>
      </c>
      <c r="I14" s="97">
        <f>H14-2.5</f>
        <v>17.5</v>
      </c>
      <c r="J14" s="97">
        <f>I14-2.5</f>
        <v>15</v>
      </c>
      <c r="K14" s="97">
        <f>J14-2.5</f>
        <v>12.5</v>
      </c>
      <c r="L14" s="70" t="s">
        <v>117</v>
      </c>
      <c r="M14" s="97">
        <v>20</v>
      </c>
      <c r="N14" s="97">
        <f>M14-2.5</f>
        <v>17.5</v>
      </c>
      <c r="O14" s="97">
        <f>N14-2.5</f>
        <v>15</v>
      </c>
      <c r="P14" s="97">
        <f>O14-2.5</f>
        <v>12.5</v>
      </c>
      <c r="Q14" s="70" t="s">
        <v>117</v>
      </c>
      <c r="R14" s="97">
        <v>20</v>
      </c>
      <c r="S14" s="97">
        <f>R14-2.5</f>
        <v>17.5</v>
      </c>
      <c r="T14" s="97">
        <f>S14-2.5</f>
        <v>15</v>
      </c>
      <c r="U14" s="97">
        <f>T14-2.5</f>
        <v>12.5</v>
      </c>
      <c r="V14" s="70" t="s">
        <v>117</v>
      </c>
      <c r="W14" s="97">
        <v>20</v>
      </c>
      <c r="X14" s="97">
        <f>W14-2.5</f>
        <v>17.5</v>
      </c>
      <c r="Y14" s="97">
        <f>X14-2.5</f>
        <v>15</v>
      </c>
      <c r="Z14" s="97">
        <f>Y14-2.5</f>
        <v>12.5</v>
      </c>
      <c r="AA14" s="70" t="s">
        <v>117</v>
      </c>
      <c r="AB14" s="97">
        <v>20</v>
      </c>
      <c r="AC14" s="97">
        <f>AB14-2.5</f>
        <v>17.5</v>
      </c>
      <c r="AD14" s="97">
        <f>AC14-2.5</f>
        <v>15</v>
      </c>
      <c r="AE14" s="97">
        <f>AD14-2.5</f>
        <v>12.5</v>
      </c>
      <c r="AF14" s="70" t="s">
        <v>117</v>
      </c>
      <c r="AG14" s="97">
        <v>20</v>
      </c>
      <c r="AH14" s="97">
        <f>AG14-2.5</f>
        <v>17.5</v>
      </c>
      <c r="AI14" s="97">
        <f>AH14-2.5</f>
        <v>15</v>
      </c>
      <c r="AJ14" s="97">
        <f>AI14-2.5</f>
        <v>12.5</v>
      </c>
      <c r="AK14" s="70" t="s">
        <v>117</v>
      </c>
      <c r="AL14" s="97">
        <v>20</v>
      </c>
      <c r="AM14" s="97">
        <f>AL14-2.5</f>
        <v>17.5</v>
      </c>
      <c r="AN14" s="97">
        <f>AM14-2.5</f>
        <v>15</v>
      </c>
      <c r="AO14" s="97">
        <f>AN14-2.5</f>
        <v>12.5</v>
      </c>
      <c r="AP14" s="70" t="s">
        <v>117</v>
      </c>
      <c r="AQ14" s="97">
        <v>20</v>
      </c>
      <c r="AR14" s="97">
        <f>AQ14-2.5</f>
        <v>17.5</v>
      </c>
      <c r="AS14" s="97">
        <f>AR14-2.5</f>
        <v>15</v>
      </c>
      <c r="AT14" s="97">
        <f>AS14-2.5</f>
        <v>12.5</v>
      </c>
      <c r="AU14" s="70" t="s">
        <v>117</v>
      </c>
      <c r="AV14" s="97">
        <v>20</v>
      </c>
      <c r="AW14" s="97">
        <f>AV14-2.5</f>
        <v>17.5</v>
      </c>
      <c r="AX14" s="97">
        <f>AW14-2.5</f>
        <v>15</v>
      </c>
      <c r="AY14" s="97">
        <f>AX14-2.5</f>
        <v>12.5</v>
      </c>
      <c r="AZ14" s="70" t="s">
        <v>117</v>
      </c>
      <c r="BA14" s="98">
        <v>20</v>
      </c>
      <c r="BB14" s="98">
        <f>BA14-2.5</f>
        <v>17.5</v>
      </c>
      <c r="BC14" s="98">
        <f>BB14-2.5</f>
        <v>15</v>
      </c>
      <c r="BD14" s="98">
        <f>BC14-2.5</f>
        <v>12.5</v>
      </c>
      <c r="BE14" s="70" t="s">
        <v>117</v>
      </c>
      <c r="BF14" s="98">
        <v>20</v>
      </c>
      <c r="BG14" s="98">
        <f>BF14-2.5</f>
        <v>17.5</v>
      </c>
      <c r="BH14" s="98">
        <f>BG14-2.5</f>
        <v>15</v>
      </c>
      <c r="BI14" s="98">
        <f>BH14-2.5</f>
        <v>12.5</v>
      </c>
      <c r="BJ14" s="70" t="s">
        <v>117</v>
      </c>
      <c r="BK14" s="98">
        <v>20</v>
      </c>
      <c r="BL14" s="98">
        <f>BK14-2.5</f>
        <v>17.5</v>
      </c>
      <c r="BM14" s="98">
        <f>BL14-2.5</f>
        <v>15</v>
      </c>
      <c r="BN14" s="98">
        <f>BM14-2.5</f>
        <v>12.5</v>
      </c>
      <c r="BO14" s="70" t="s">
        <v>117</v>
      </c>
      <c r="BP14" s="98">
        <v>20</v>
      </c>
      <c r="BQ14" s="98">
        <f>BP14-2.5</f>
        <v>17.5</v>
      </c>
      <c r="BR14" s="98">
        <f>BQ14-2.5</f>
        <v>15</v>
      </c>
      <c r="BS14" s="98">
        <f>BR14-2.5</f>
        <v>12.5</v>
      </c>
      <c r="BT14" s="70" t="s">
        <v>117</v>
      </c>
      <c r="BU14" s="97">
        <v>20</v>
      </c>
      <c r="BV14" s="97">
        <f>BU14-2.5</f>
        <v>17.5</v>
      </c>
      <c r="BW14" s="97">
        <f>BV14-2.5</f>
        <v>15</v>
      </c>
      <c r="BX14" s="97">
        <f>BW14-2.5</f>
        <v>12.5</v>
      </c>
      <c r="BY14" s="70" t="s">
        <v>117</v>
      </c>
      <c r="BZ14" s="98">
        <v>20</v>
      </c>
      <c r="CA14" s="98">
        <f>BZ14-2.5</f>
        <v>17.5</v>
      </c>
      <c r="CB14" s="98">
        <f>CA14-2.5</f>
        <v>15</v>
      </c>
      <c r="CC14" s="98">
        <f>CB14-2.5</f>
        <v>12.5</v>
      </c>
    </row>
    <row r="15" spans="1:81">
      <c r="C15" s="73"/>
      <c r="D15" s="73"/>
      <c r="E15" s="73"/>
      <c r="F15" s="73"/>
      <c r="G15" s="70"/>
      <c r="H15" s="100"/>
      <c r="I15" s="100"/>
      <c r="J15" s="100"/>
      <c r="K15" s="100"/>
      <c r="L15" s="70"/>
      <c r="M15" s="100"/>
      <c r="N15" s="100"/>
      <c r="O15" s="100"/>
      <c r="P15" s="10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3"/>
      <c r="AC15" s="73"/>
      <c r="AD15" s="73"/>
      <c r="AE15" s="73"/>
      <c r="AF15" s="70"/>
      <c r="AG15" s="73"/>
      <c r="AH15" s="73"/>
      <c r="AI15" s="73"/>
      <c r="AJ15" s="73"/>
      <c r="AK15" s="70"/>
      <c r="AL15" s="73"/>
      <c r="AM15" s="73"/>
      <c r="AN15" s="73"/>
      <c r="AO15" s="73"/>
      <c r="AP15" s="70"/>
      <c r="AQ15" s="73"/>
      <c r="AR15" s="73"/>
      <c r="AS15" s="73"/>
      <c r="AT15" s="73"/>
      <c r="AU15" s="70"/>
      <c r="AV15" s="97"/>
      <c r="AW15" s="97"/>
      <c r="AX15" s="97"/>
      <c r="AY15" s="97"/>
      <c r="AZ15" s="70"/>
      <c r="BA15" s="98"/>
      <c r="BB15" s="98"/>
      <c r="BC15" s="98"/>
      <c r="BD15" s="98"/>
      <c r="BE15" s="70"/>
      <c r="BF15" s="98"/>
      <c r="BG15" s="98"/>
      <c r="BH15" s="98"/>
      <c r="BI15" s="98"/>
      <c r="BJ15" s="70"/>
      <c r="BK15" s="98"/>
      <c r="BL15" s="98"/>
      <c r="BM15" s="98"/>
      <c r="BN15" s="98"/>
      <c r="BO15" s="70"/>
      <c r="BP15" s="98"/>
      <c r="BQ15" s="98"/>
      <c r="BR15" s="98"/>
      <c r="BS15" s="98"/>
      <c r="BT15" s="70"/>
      <c r="BU15" s="97"/>
      <c r="BV15" s="97"/>
      <c r="BW15" s="97"/>
      <c r="BX15" s="97"/>
      <c r="BY15" s="70"/>
      <c r="BZ15" s="98"/>
      <c r="CA15" s="98"/>
      <c r="CB15" s="98"/>
      <c r="CC15" s="98"/>
    </row>
    <row r="16" spans="1:81">
      <c r="B16" s="5" t="s">
        <v>118</v>
      </c>
      <c r="C16" s="73">
        <f>C9-C13</f>
        <v>86.877856944212709</v>
      </c>
      <c r="D16" s="73">
        <f>D9-D13</f>
        <v>89.377856944212709</v>
      </c>
      <c r="E16" s="73">
        <f>E9-E13</f>
        <v>91.877856944212709</v>
      </c>
      <c r="F16" s="73">
        <f>F9-F13</f>
        <v>94.377856944212709</v>
      </c>
      <c r="G16" s="70" t="s">
        <v>118</v>
      </c>
      <c r="H16" s="97">
        <f>H9-H13</f>
        <v>127.74694856146469</v>
      </c>
      <c r="I16" s="97">
        <f t="shared" ref="I16:K16" si="15">I9-I13</f>
        <v>130.24694856146471</v>
      </c>
      <c r="J16" s="97">
        <f t="shared" si="15"/>
        <v>132.74694856146468</v>
      </c>
      <c r="K16" s="97">
        <f t="shared" si="15"/>
        <v>135.24694856146468</v>
      </c>
      <c r="L16" s="70" t="s">
        <v>118</v>
      </c>
      <c r="M16" s="97">
        <f>M9-M13</f>
        <v>95.466055893857444</v>
      </c>
      <c r="N16" s="97">
        <f t="shared" ref="N16:P16" si="16">N9-N13</f>
        <v>97.966055893857444</v>
      </c>
      <c r="O16" s="97">
        <f t="shared" si="16"/>
        <v>100.46605589385744</v>
      </c>
      <c r="P16" s="97">
        <f t="shared" si="16"/>
        <v>102.96605589385744</v>
      </c>
      <c r="Q16" s="70" t="s">
        <v>118</v>
      </c>
      <c r="R16" s="73">
        <f>R9-R13</f>
        <v>85.057575123930889</v>
      </c>
      <c r="S16" s="73">
        <f t="shared" ref="S16:U16" si="17">S9-S13</f>
        <v>87.557575123930889</v>
      </c>
      <c r="T16" s="73">
        <f t="shared" si="17"/>
        <v>90.057575123930889</v>
      </c>
      <c r="U16" s="73">
        <f t="shared" si="17"/>
        <v>92.557575123930889</v>
      </c>
      <c r="V16" s="70" t="s">
        <v>118</v>
      </c>
      <c r="W16" s="73">
        <f>W9-W13</f>
        <v>74.997515063870821</v>
      </c>
      <c r="X16" s="73">
        <f t="shared" ref="X16:Z16" si="18">X9-X13</f>
        <v>77.497515063870821</v>
      </c>
      <c r="Y16" s="73">
        <f t="shared" si="18"/>
        <v>79.997515063870821</v>
      </c>
      <c r="Z16" s="73">
        <f t="shared" si="18"/>
        <v>82.497515063870821</v>
      </c>
      <c r="AA16" s="70" t="s">
        <v>118</v>
      </c>
      <c r="AB16" s="73">
        <f>AB9-AB13</f>
        <v>89.441959508315279</v>
      </c>
      <c r="AC16" s="73">
        <f t="shared" ref="AC16:AE16" si="19">AC9-AC13</f>
        <v>91.941959508315279</v>
      </c>
      <c r="AD16" s="73">
        <f t="shared" si="19"/>
        <v>94.441959508315279</v>
      </c>
      <c r="AE16" s="73">
        <f t="shared" si="19"/>
        <v>96.941959508315279</v>
      </c>
      <c r="AF16" s="70" t="s">
        <v>118</v>
      </c>
      <c r="AG16" s="73">
        <f>AG9-AG13</f>
        <v>91.665292841648608</v>
      </c>
      <c r="AH16" s="73">
        <f t="shared" ref="AH16:AJ16" si="20">AH9-AH13</f>
        <v>94.165292841648608</v>
      </c>
      <c r="AI16" s="73">
        <f t="shared" si="20"/>
        <v>96.665292841648608</v>
      </c>
      <c r="AJ16" s="73">
        <f t="shared" si="20"/>
        <v>99.165292841648608</v>
      </c>
      <c r="AK16" s="70" t="s">
        <v>118</v>
      </c>
      <c r="AL16" s="73">
        <f>AL9-AL13</f>
        <v>99.445292841648609</v>
      </c>
      <c r="AM16" s="73">
        <f t="shared" ref="AM16:AO16" si="21">AM9-AM13</f>
        <v>101.94529284164861</v>
      </c>
      <c r="AN16" s="73">
        <f t="shared" si="21"/>
        <v>104.44529284164861</v>
      </c>
      <c r="AO16" s="73">
        <f t="shared" si="21"/>
        <v>106.94529284164861</v>
      </c>
      <c r="AP16" s="70" t="s">
        <v>118</v>
      </c>
      <c r="AQ16" s="73">
        <f>AQ9-AQ13</f>
        <v>100.55529284164861</v>
      </c>
      <c r="AR16" s="73">
        <f t="shared" ref="AR16:AT16" si="22">AR9-AR13</f>
        <v>103.05529284164861</v>
      </c>
      <c r="AS16" s="73">
        <f t="shared" si="22"/>
        <v>105.55529284164861</v>
      </c>
      <c r="AT16" s="73">
        <f t="shared" si="22"/>
        <v>108.05529284164861</v>
      </c>
      <c r="AU16" s="70" t="s">
        <v>118</v>
      </c>
      <c r="AV16" s="97">
        <f>AV9-AV13</f>
        <v>133.60784946236558</v>
      </c>
      <c r="AW16" s="97">
        <f t="shared" ref="AW16:AY16" si="23">AW9-AW13</f>
        <v>136.10784946236558</v>
      </c>
      <c r="AX16" s="97">
        <f t="shared" si="23"/>
        <v>138.60784946236558</v>
      </c>
      <c r="AY16" s="97">
        <f t="shared" si="23"/>
        <v>141.10784946236558</v>
      </c>
      <c r="AZ16" s="70" t="s">
        <v>118</v>
      </c>
      <c r="BA16" s="98">
        <f>BA9-BA13</f>
        <v>130.25896057347671</v>
      </c>
      <c r="BB16" s="98">
        <f t="shared" ref="BB16:BD16" si="24">BB9-BB13</f>
        <v>132.75896057347671</v>
      </c>
      <c r="BC16" s="98">
        <f t="shared" si="24"/>
        <v>135.25896057347671</v>
      </c>
      <c r="BD16" s="98">
        <f t="shared" si="24"/>
        <v>137.75896057347671</v>
      </c>
      <c r="BE16" s="70" t="s">
        <v>118</v>
      </c>
      <c r="BF16" s="98">
        <f>BF9-BF13</f>
        <v>115.53451612903226</v>
      </c>
      <c r="BG16" s="98">
        <f t="shared" ref="BG16:BI16" si="25">BG9-BG13</f>
        <v>118.03451612903226</v>
      </c>
      <c r="BH16" s="98">
        <f t="shared" si="25"/>
        <v>120.53451612903226</v>
      </c>
      <c r="BI16" s="98">
        <f t="shared" si="25"/>
        <v>123.03451612903226</v>
      </c>
      <c r="BJ16" s="70" t="s">
        <v>118</v>
      </c>
      <c r="BK16" s="98">
        <f>BK9-BK13</f>
        <v>116.64451612903225</v>
      </c>
      <c r="BL16" s="98">
        <f t="shared" ref="BL16:BN16" si="26">BL9-BL13</f>
        <v>119.14451612903225</v>
      </c>
      <c r="BM16" s="98">
        <f t="shared" si="26"/>
        <v>121.64451612903225</v>
      </c>
      <c r="BN16" s="98">
        <f t="shared" si="26"/>
        <v>124.14451612903225</v>
      </c>
      <c r="BO16" s="70" t="s">
        <v>118</v>
      </c>
      <c r="BP16" s="98">
        <f>BP9-BP13</f>
        <v>121.09451612903226</v>
      </c>
      <c r="BQ16" s="98">
        <f t="shared" ref="BQ16:BS16" si="27">BQ9-BQ13</f>
        <v>123.59451612903226</v>
      </c>
      <c r="BR16" s="98">
        <f t="shared" si="27"/>
        <v>126.09451612903226</v>
      </c>
      <c r="BS16" s="98">
        <f t="shared" si="27"/>
        <v>128.59451612903226</v>
      </c>
      <c r="BT16" s="70" t="s">
        <v>118</v>
      </c>
      <c r="BU16" s="97">
        <f>BU9-BU13</f>
        <v>139.98451612903227</v>
      </c>
      <c r="BV16" s="97">
        <f t="shared" ref="BV16:BX16" si="28">BV9-BV13</f>
        <v>142.48451612903227</v>
      </c>
      <c r="BW16" s="97">
        <f t="shared" si="28"/>
        <v>144.98451612903227</v>
      </c>
      <c r="BX16" s="97">
        <f t="shared" si="28"/>
        <v>147.48451612903224</v>
      </c>
      <c r="BY16" s="70" t="s">
        <v>118</v>
      </c>
      <c r="BZ16" s="98">
        <f>BZ9-BZ13</f>
        <v>141.09451612903226</v>
      </c>
      <c r="CA16" s="98">
        <f t="shared" ref="CA16:CC16" si="29">CA9-CA13</f>
        <v>143.59451612903226</v>
      </c>
      <c r="CB16" s="98">
        <f t="shared" si="29"/>
        <v>146.09451612903226</v>
      </c>
      <c r="CC16" s="98">
        <f t="shared" si="29"/>
        <v>148.59451612903226</v>
      </c>
    </row>
    <row r="17" spans="2:81">
      <c r="B17" s="5" t="s">
        <v>119</v>
      </c>
      <c r="C17" s="102">
        <f>C9-C14</f>
        <v>102.77529284164861</v>
      </c>
      <c r="D17" s="102">
        <f>D9-D14</f>
        <v>105.27529284164861</v>
      </c>
      <c r="E17" s="102">
        <f>E9-E14</f>
        <v>107.77529284164861</v>
      </c>
      <c r="F17" s="102">
        <f>F9-F14</f>
        <v>110.27529284164861</v>
      </c>
      <c r="G17" s="70" t="s">
        <v>119</v>
      </c>
      <c r="H17" s="97">
        <f>H9-H14</f>
        <v>143.31451612903226</v>
      </c>
      <c r="I17" s="97">
        <f t="shared" ref="I17:K17" si="30">I9-I14</f>
        <v>145.81451612903226</v>
      </c>
      <c r="J17" s="97">
        <f t="shared" si="30"/>
        <v>148.31451612903226</v>
      </c>
      <c r="K17" s="97">
        <f t="shared" si="30"/>
        <v>150.81451612903226</v>
      </c>
      <c r="L17" s="70" t="s">
        <v>119</v>
      </c>
      <c r="M17" s="97">
        <f>M9-M14</f>
        <v>102.77529284164861</v>
      </c>
      <c r="N17" s="97">
        <f t="shared" ref="N17:P17" si="31">N9-N14</f>
        <v>105.27529284164861</v>
      </c>
      <c r="O17" s="97">
        <f t="shared" si="31"/>
        <v>107.77529284164861</v>
      </c>
      <c r="P17" s="97">
        <f t="shared" si="31"/>
        <v>110.27529284164861</v>
      </c>
      <c r="Q17" s="70" t="s">
        <v>119</v>
      </c>
      <c r="R17" s="73">
        <f>R9-R14</f>
        <v>102.77529284164861</v>
      </c>
      <c r="S17" s="73">
        <f t="shared" ref="S17:U17" si="32">S9-S14</f>
        <v>105.27529284164861</v>
      </c>
      <c r="T17" s="73">
        <f t="shared" si="32"/>
        <v>107.77529284164861</v>
      </c>
      <c r="U17" s="73">
        <f t="shared" si="32"/>
        <v>110.27529284164861</v>
      </c>
      <c r="V17" s="70" t="s">
        <v>119</v>
      </c>
      <c r="W17" s="73">
        <f>W9-W14</f>
        <v>102.77529284164861</v>
      </c>
      <c r="X17" s="73">
        <f t="shared" ref="X17:Z17" si="33">X9-X14</f>
        <v>105.27529284164861</v>
      </c>
      <c r="Y17" s="73">
        <f t="shared" si="33"/>
        <v>107.77529284164861</v>
      </c>
      <c r="Z17" s="73">
        <f t="shared" si="33"/>
        <v>110.27529284164861</v>
      </c>
      <c r="AA17" s="70" t="s">
        <v>119</v>
      </c>
      <c r="AB17" s="73">
        <f>AB9-AB14</f>
        <v>102.77529284164861</v>
      </c>
      <c r="AC17" s="73">
        <f t="shared" ref="AC17:AE17" si="34">AC9-AC14</f>
        <v>105.27529284164861</v>
      </c>
      <c r="AD17" s="73">
        <f t="shared" si="34"/>
        <v>107.77529284164861</v>
      </c>
      <c r="AE17" s="73">
        <f t="shared" si="34"/>
        <v>110.27529284164861</v>
      </c>
      <c r="AF17" s="70" t="s">
        <v>119</v>
      </c>
      <c r="AG17" s="73">
        <f>AG9-AG14</f>
        <v>102.77529284164861</v>
      </c>
      <c r="AH17" s="73">
        <f t="shared" ref="AH17:AJ17" si="35">AH9-AH14</f>
        <v>105.27529284164861</v>
      </c>
      <c r="AI17" s="73">
        <f t="shared" si="35"/>
        <v>107.77529284164861</v>
      </c>
      <c r="AJ17" s="73">
        <f t="shared" si="35"/>
        <v>110.27529284164861</v>
      </c>
      <c r="AK17" s="70" t="s">
        <v>119</v>
      </c>
      <c r="AL17" s="73">
        <f>AL9-AL14</f>
        <v>102.77529284164861</v>
      </c>
      <c r="AM17" s="73">
        <f t="shared" ref="AM17:AO17" si="36">AM9-AM14</f>
        <v>105.27529284164861</v>
      </c>
      <c r="AN17" s="73">
        <f t="shared" si="36"/>
        <v>107.77529284164861</v>
      </c>
      <c r="AO17" s="73">
        <f t="shared" si="36"/>
        <v>110.27529284164861</v>
      </c>
      <c r="AP17" s="70" t="s">
        <v>119</v>
      </c>
      <c r="AQ17" s="73">
        <f>AQ9-AQ14</f>
        <v>102.77529284164861</v>
      </c>
      <c r="AR17" s="73">
        <f t="shared" ref="AR17:AT17" si="37">AR9-AR14</f>
        <v>105.27529284164861</v>
      </c>
      <c r="AS17" s="73">
        <f t="shared" si="37"/>
        <v>107.77529284164861</v>
      </c>
      <c r="AT17" s="73">
        <f t="shared" si="37"/>
        <v>110.27529284164861</v>
      </c>
      <c r="AU17" s="70" t="s">
        <v>119</v>
      </c>
      <c r="AV17" s="97">
        <f>AV9-AV14</f>
        <v>143.31451612903226</v>
      </c>
      <c r="AW17" s="97">
        <f t="shared" ref="AW17:AY17" si="38">AW9-AW14</f>
        <v>145.81451612903226</v>
      </c>
      <c r="AX17" s="97">
        <f t="shared" si="38"/>
        <v>148.31451612903226</v>
      </c>
      <c r="AY17" s="97">
        <f t="shared" si="38"/>
        <v>150.81451612903226</v>
      </c>
      <c r="AZ17" s="70" t="s">
        <v>119</v>
      </c>
      <c r="BA17" s="98">
        <f>BA9-BA14</f>
        <v>143.31451612903226</v>
      </c>
      <c r="BB17" s="98">
        <f t="shared" ref="BB17:BD17" si="39">BB9-BB14</f>
        <v>145.81451612903226</v>
      </c>
      <c r="BC17" s="98">
        <f t="shared" si="39"/>
        <v>148.31451612903226</v>
      </c>
      <c r="BD17" s="98">
        <f t="shared" si="39"/>
        <v>150.81451612903226</v>
      </c>
      <c r="BE17" s="70" t="s">
        <v>119</v>
      </c>
      <c r="BF17" s="98">
        <f>BF9-BF14</f>
        <v>143.31451612903226</v>
      </c>
      <c r="BG17" s="98">
        <f t="shared" ref="BG17:BI17" si="40">BG9-BG14</f>
        <v>145.81451612903226</v>
      </c>
      <c r="BH17" s="98">
        <f t="shared" si="40"/>
        <v>148.31451612903226</v>
      </c>
      <c r="BI17" s="98">
        <f t="shared" si="40"/>
        <v>150.81451612903226</v>
      </c>
      <c r="BJ17" s="70" t="s">
        <v>119</v>
      </c>
      <c r="BK17" s="98">
        <f>BK9-BK14</f>
        <v>143.31451612903226</v>
      </c>
      <c r="BL17" s="98">
        <f t="shared" ref="BL17:BN17" si="41">BL9-BL14</f>
        <v>145.81451612903226</v>
      </c>
      <c r="BM17" s="98">
        <f t="shared" si="41"/>
        <v>148.31451612903226</v>
      </c>
      <c r="BN17" s="98">
        <f t="shared" si="41"/>
        <v>150.81451612903226</v>
      </c>
      <c r="BO17" s="70" t="s">
        <v>119</v>
      </c>
      <c r="BP17" s="98">
        <f>BP9-BP14</f>
        <v>143.31451612903226</v>
      </c>
      <c r="BQ17" s="98">
        <f t="shared" ref="BQ17:BS17" si="42">BQ9-BQ14</f>
        <v>145.81451612903226</v>
      </c>
      <c r="BR17" s="98">
        <f t="shared" si="42"/>
        <v>148.31451612903226</v>
      </c>
      <c r="BS17" s="98">
        <f t="shared" si="42"/>
        <v>150.81451612903226</v>
      </c>
      <c r="BT17" s="70" t="s">
        <v>119</v>
      </c>
      <c r="BU17" s="97">
        <f>BU9-BU14</f>
        <v>143.31451612903226</v>
      </c>
      <c r="BV17" s="97">
        <f t="shared" ref="BV17:BX17" si="43">BV9-BV14</f>
        <v>145.81451612903226</v>
      </c>
      <c r="BW17" s="97">
        <f t="shared" si="43"/>
        <v>148.31451612903226</v>
      </c>
      <c r="BX17" s="97">
        <f t="shared" si="43"/>
        <v>150.81451612903226</v>
      </c>
      <c r="BY17" s="70" t="s">
        <v>119</v>
      </c>
      <c r="BZ17" s="98">
        <f>BZ9-BZ14</f>
        <v>143.31451612903226</v>
      </c>
      <c r="CA17" s="98">
        <f t="shared" ref="CA17:CC17" si="44">CA9-CA14</f>
        <v>145.81451612903226</v>
      </c>
      <c r="CB17" s="98">
        <f t="shared" si="44"/>
        <v>148.31451612903226</v>
      </c>
      <c r="CC17" s="98">
        <f t="shared" si="44"/>
        <v>150.81451612903226</v>
      </c>
    </row>
    <row r="18" spans="2:81" ht="6" customHeight="1">
      <c r="C18" s="70"/>
      <c r="D18" s="70"/>
      <c r="E18" s="70"/>
      <c r="F18" s="70"/>
      <c r="G18" s="70"/>
      <c r="H18" s="100"/>
      <c r="I18" s="100"/>
      <c r="J18" s="100"/>
      <c r="K18" s="100"/>
      <c r="L18" s="70"/>
      <c r="M18" s="100"/>
      <c r="N18" s="100"/>
      <c r="O18" s="100"/>
      <c r="P18" s="10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100"/>
      <c r="AW18" s="100"/>
      <c r="AX18" s="100"/>
      <c r="AY18" s="100"/>
      <c r="AZ18" s="70"/>
      <c r="BA18" s="100"/>
      <c r="BB18" s="100"/>
      <c r="BC18" s="100"/>
      <c r="BD18" s="100"/>
      <c r="BE18" s="70"/>
      <c r="BF18" s="100"/>
      <c r="BG18" s="100"/>
      <c r="BH18" s="100"/>
      <c r="BI18" s="100"/>
      <c r="BJ18" s="70"/>
      <c r="BK18" s="98"/>
      <c r="BL18" s="98"/>
      <c r="BM18" s="98"/>
      <c r="BN18" s="98"/>
      <c r="BO18" s="70"/>
      <c r="BP18" s="100"/>
      <c r="BQ18" s="100"/>
      <c r="BR18" s="100"/>
      <c r="BS18" s="100"/>
      <c r="BT18" s="70"/>
      <c r="BU18" s="100"/>
      <c r="BV18" s="100"/>
      <c r="BW18" s="100"/>
      <c r="BX18" s="100"/>
      <c r="BY18" s="70"/>
      <c r="BZ18" s="100"/>
      <c r="CA18" s="100"/>
      <c r="CB18" s="100"/>
      <c r="CC18" s="100"/>
    </row>
    <row r="19" spans="2:81">
      <c r="B19" s="5" t="s">
        <v>120</v>
      </c>
      <c r="C19" s="103">
        <v>50000</v>
      </c>
      <c r="D19" s="103">
        <v>50000</v>
      </c>
      <c r="E19" s="103">
        <v>50000</v>
      </c>
      <c r="F19" s="103">
        <v>50000</v>
      </c>
      <c r="G19" s="70" t="s">
        <v>120</v>
      </c>
      <c r="H19" s="104">
        <v>82000</v>
      </c>
      <c r="I19" s="104"/>
      <c r="J19" s="104">
        <v>50000</v>
      </c>
      <c r="K19" s="104">
        <v>50000</v>
      </c>
      <c r="L19" s="70" t="s">
        <v>120</v>
      </c>
      <c r="M19" s="104">
        <v>50000</v>
      </c>
      <c r="N19" s="104">
        <v>50000</v>
      </c>
      <c r="O19" s="104">
        <v>50000</v>
      </c>
      <c r="P19" s="104">
        <v>50000</v>
      </c>
      <c r="Q19" s="70" t="s">
        <v>120</v>
      </c>
      <c r="R19" s="104">
        <v>50000</v>
      </c>
      <c r="S19" s="104">
        <v>50000</v>
      </c>
      <c r="T19" s="104">
        <v>50000</v>
      </c>
      <c r="U19" s="104">
        <v>50000</v>
      </c>
      <c r="V19" s="70" t="s">
        <v>120</v>
      </c>
      <c r="W19" s="104">
        <v>50000</v>
      </c>
      <c r="X19" s="104">
        <v>50000</v>
      </c>
      <c r="Y19" s="104">
        <v>50000</v>
      </c>
      <c r="Z19" s="104">
        <v>50000</v>
      </c>
      <c r="AA19" s="70" t="s">
        <v>120</v>
      </c>
      <c r="AB19" s="104">
        <v>50000</v>
      </c>
      <c r="AC19" s="104">
        <v>50000</v>
      </c>
      <c r="AD19" s="104">
        <v>50000</v>
      </c>
      <c r="AE19" s="104">
        <v>50000</v>
      </c>
      <c r="AF19" s="70" t="s">
        <v>120</v>
      </c>
      <c r="AG19" s="104">
        <v>50000</v>
      </c>
      <c r="AH19" s="104">
        <v>50000</v>
      </c>
      <c r="AI19" s="104">
        <v>50000</v>
      </c>
      <c r="AJ19" s="104">
        <v>50000</v>
      </c>
      <c r="AK19" s="70" t="s">
        <v>120</v>
      </c>
      <c r="AL19" s="104">
        <v>50000</v>
      </c>
      <c r="AM19" s="104">
        <v>50000</v>
      </c>
      <c r="AN19" s="104">
        <v>50000</v>
      </c>
      <c r="AO19" s="104">
        <v>50000</v>
      </c>
      <c r="AP19" s="70" t="s">
        <v>120</v>
      </c>
      <c r="AQ19" s="104">
        <v>50000</v>
      </c>
      <c r="AR19" s="104">
        <v>50000</v>
      </c>
      <c r="AS19" s="104">
        <v>50000</v>
      </c>
      <c r="AT19" s="104">
        <v>50000</v>
      </c>
      <c r="AU19" s="70" t="s">
        <v>120</v>
      </c>
      <c r="AV19" s="104">
        <v>50000</v>
      </c>
      <c r="AW19" s="104">
        <v>50000</v>
      </c>
      <c r="AX19" s="104">
        <v>50000</v>
      </c>
      <c r="AY19" s="104">
        <v>50000</v>
      </c>
      <c r="AZ19" s="70" t="s">
        <v>120</v>
      </c>
      <c r="BA19" s="104">
        <v>50000</v>
      </c>
      <c r="BB19" s="104">
        <v>50000</v>
      </c>
      <c r="BC19" s="104">
        <v>50000</v>
      </c>
      <c r="BD19" s="104">
        <v>50000</v>
      </c>
      <c r="BE19" s="70" t="s">
        <v>120</v>
      </c>
      <c r="BF19" s="104">
        <v>50000</v>
      </c>
      <c r="BG19" s="104">
        <v>50000</v>
      </c>
      <c r="BH19" s="104">
        <v>50000</v>
      </c>
      <c r="BI19" s="104">
        <v>50000</v>
      </c>
      <c r="BJ19" s="70" t="s">
        <v>120</v>
      </c>
      <c r="BK19" s="104">
        <v>50000</v>
      </c>
      <c r="BL19" s="104">
        <v>50000</v>
      </c>
      <c r="BM19" s="104">
        <v>50000</v>
      </c>
      <c r="BN19" s="104">
        <v>50000</v>
      </c>
      <c r="BO19" s="70" t="s">
        <v>120</v>
      </c>
      <c r="BP19" s="104">
        <v>50000</v>
      </c>
      <c r="BQ19" s="104">
        <v>50000</v>
      </c>
      <c r="BR19" s="104">
        <v>50000</v>
      </c>
      <c r="BS19" s="104">
        <v>50000</v>
      </c>
      <c r="BT19" s="70" t="s">
        <v>120</v>
      </c>
      <c r="BU19" s="104">
        <v>50000</v>
      </c>
      <c r="BV19" s="104">
        <v>50000</v>
      </c>
      <c r="BW19" s="104">
        <v>50000</v>
      </c>
      <c r="BX19" s="104">
        <v>50000</v>
      </c>
      <c r="BY19" s="70" t="s">
        <v>120</v>
      </c>
      <c r="BZ19" s="104">
        <v>50000</v>
      </c>
      <c r="CA19" s="104">
        <v>50000</v>
      </c>
      <c r="CB19" s="104">
        <v>50000</v>
      </c>
      <c r="CC19" s="104">
        <v>50000</v>
      </c>
    </row>
    <row r="20" spans="2:81">
      <c r="B20" s="5" t="s">
        <v>121</v>
      </c>
      <c r="C20" s="103">
        <v>0</v>
      </c>
      <c r="D20" s="103">
        <v>50000</v>
      </c>
      <c r="E20" s="103">
        <v>100000</v>
      </c>
      <c r="F20" s="103">
        <v>150000</v>
      </c>
      <c r="G20" s="70" t="s">
        <v>121</v>
      </c>
      <c r="H20" s="104">
        <v>0</v>
      </c>
      <c r="I20" s="104">
        <v>82000</v>
      </c>
      <c r="J20" s="104">
        <v>100000</v>
      </c>
      <c r="K20" s="104">
        <v>150000</v>
      </c>
      <c r="L20" s="70" t="s">
        <v>121</v>
      </c>
      <c r="M20" s="104">
        <v>0</v>
      </c>
      <c r="N20" s="104">
        <v>50000</v>
      </c>
      <c r="O20" s="104">
        <v>100000</v>
      </c>
      <c r="P20" s="104">
        <v>150000</v>
      </c>
      <c r="Q20" s="70" t="s">
        <v>121</v>
      </c>
      <c r="R20" s="104">
        <v>0</v>
      </c>
      <c r="S20" s="104">
        <v>50000</v>
      </c>
      <c r="T20" s="104">
        <v>100000</v>
      </c>
      <c r="U20" s="104">
        <v>150000</v>
      </c>
      <c r="V20" s="70" t="s">
        <v>121</v>
      </c>
      <c r="W20" s="104">
        <v>0</v>
      </c>
      <c r="X20" s="104">
        <v>50000</v>
      </c>
      <c r="Y20" s="104">
        <v>100000</v>
      </c>
      <c r="Z20" s="104">
        <v>150000</v>
      </c>
      <c r="AA20" s="70" t="s">
        <v>121</v>
      </c>
      <c r="AB20" s="104">
        <v>0</v>
      </c>
      <c r="AC20" s="104">
        <v>50000</v>
      </c>
      <c r="AD20" s="104">
        <v>100000</v>
      </c>
      <c r="AE20" s="104">
        <v>150000</v>
      </c>
      <c r="AF20" s="70" t="s">
        <v>121</v>
      </c>
      <c r="AG20" s="104">
        <v>0</v>
      </c>
      <c r="AH20" s="104">
        <v>50000</v>
      </c>
      <c r="AI20" s="104">
        <v>100000</v>
      </c>
      <c r="AJ20" s="104">
        <v>150000</v>
      </c>
      <c r="AK20" s="70" t="s">
        <v>121</v>
      </c>
      <c r="AL20" s="104">
        <v>0</v>
      </c>
      <c r="AM20" s="104">
        <v>50000</v>
      </c>
      <c r="AN20" s="104">
        <v>100000</v>
      </c>
      <c r="AO20" s="104">
        <v>150000</v>
      </c>
      <c r="AP20" s="70" t="s">
        <v>121</v>
      </c>
      <c r="AQ20" s="104">
        <v>0</v>
      </c>
      <c r="AR20" s="104">
        <v>50000</v>
      </c>
      <c r="AS20" s="104">
        <v>100000</v>
      </c>
      <c r="AT20" s="104">
        <v>150000</v>
      </c>
      <c r="AU20" s="70" t="s">
        <v>121</v>
      </c>
      <c r="AV20" s="104">
        <v>0</v>
      </c>
      <c r="AW20" s="104">
        <v>50000</v>
      </c>
      <c r="AX20" s="104">
        <v>100000</v>
      </c>
      <c r="AY20" s="104">
        <v>150000</v>
      </c>
      <c r="AZ20" s="70" t="s">
        <v>121</v>
      </c>
      <c r="BA20" s="104">
        <v>0</v>
      </c>
      <c r="BB20" s="104">
        <v>50000</v>
      </c>
      <c r="BC20" s="104">
        <v>100000</v>
      </c>
      <c r="BD20" s="104">
        <v>150000</v>
      </c>
      <c r="BE20" s="70" t="s">
        <v>121</v>
      </c>
      <c r="BF20" s="104">
        <v>0</v>
      </c>
      <c r="BG20" s="104">
        <v>50000</v>
      </c>
      <c r="BH20" s="104">
        <v>100000</v>
      </c>
      <c r="BI20" s="104">
        <v>150000</v>
      </c>
      <c r="BJ20" s="70" t="s">
        <v>121</v>
      </c>
      <c r="BK20" s="104">
        <v>0</v>
      </c>
      <c r="BL20" s="104">
        <v>50000</v>
      </c>
      <c r="BM20" s="104">
        <v>100000</v>
      </c>
      <c r="BN20" s="104">
        <v>150000</v>
      </c>
      <c r="BO20" s="70" t="s">
        <v>121</v>
      </c>
      <c r="BP20" s="104">
        <v>0</v>
      </c>
      <c r="BQ20" s="104">
        <v>50000</v>
      </c>
      <c r="BR20" s="104">
        <v>100000</v>
      </c>
      <c r="BS20" s="104">
        <v>150000</v>
      </c>
      <c r="BT20" s="70" t="s">
        <v>121</v>
      </c>
      <c r="BU20" s="104">
        <v>0</v>
      </c>
      <c r="BV20" s="104">
        <v>50000</v>
      </c>
      <c r="BW20" s="104">
        <v>100000</v>
      </c>
      <c r="BX20" s="104">
        <v>150000</v>
      </c>
      <c r="BY20" s="70" t="s">
        <v>121</v>
      </c>
      <c r="BZ20" s="104">
        <v>0</v>
      </c>
      <c r="CA20" s="104">
        <v>50000</v>
      </c>
      <c r="CB20" s="104">
        <v>100000</v>
      </c>
      <c r="CC20" s="104">
        <v>150000</v>
      </c>
    </row>
    <row r="21" spans="2:81" ht="6" customHeight="1">
      <c r="C21" s="70"/>
      <c r="D21" s="70"/>
      <c r="E21" s="70"/>
      <c r="F21" s="70"/>
      <c r="G21" s="70"/>
      <c r="H21" s="100"/>
      <c r="I21" s="100"/>
      <c r="J21" s="100"/>
      <c r="K21" s="100"/>
      <c r="L21" s="70"/>
      <c r="M21" s="100"/>
      <c r="N21" s="100"/>
      <c r="O21" s="100"/>
      <c r="P21" s="10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100"/>
      <c r="AW21" s="100"/>
      <c r="AX21" s="100"/>
      <c r="AY21" s="100"/>
      <c r="AZ21" s="70"/>
      <c r="BA21" s="100"/>
      <c r="BB21" s="100"/>
      <c r="BC21" s="100"/>
      <c r="BD21" s="100"/>
      <c r="BE21" s="70"/>
      <c r="BF21" s="100"/>
      <c r="BG21" s="100"/>
      <c r="BH21" s="100"/>
      <c r="BI21" s="100"/>
      <c r="BJ21" s="70"/>
      <c r="BK21" s="100"/>
      <c r="BL21" s="100"/>
      <c r="BM21" s="100"/>
      <c r="BN21" s="100"/>
      <c r="BO21" s="70"/>
      <c r="BP21" s="100"/>
      <c r="BQ21" s="100"/>
      <c r="BR21" s="100"/>
      <c r="BS21" s="100"/>
      <c r="BT21" s="70"/>
      <c r="BU21" s="100"/>
      <c r="BV21" s="100"/>
      <c r="BW21" s="100"/>
      <c r="BX21" s="100"/>
      <c r="BY21" s="70"/>
      <c r="BZ21" s="100"/>
      <c r="CA21" s="100"/>
      <c r="CB21" s="100"/>
      <c r="CC21" s="100"/>
    </row>
    <row r="22" spans="2:81">
      <c r="B22" s="6" t="s">
        <v>122</v>
      </c>
      <c r="C22" s="70"/>
      <c r="D22" s="70"/>
      <c r="E22" s="70"/>
      <c r="F22" s="70"/>
      <c r="G22" s="95" t="s">
        <v>122</v>
      </c>
      <c r="H22" s="100"/>
      <c r="I22" s="100"/>
      <c r="J22" s="100"/>
      <c r="K22" s="100"/>
      <c r="L22" s="95" t="s">
        <v>122</v>
      </c>
      <c r="M22" s="100"/>
      <c r="N22" s="100"/>
      <c r="O22" s="100"/>
      <c r="P22" s="100"/>
      <c r="Q22" s="95" t="s">
        <v>122</v>
      </c>
      <c r="R22" s="70"/>
      <c r="S22" s="70"/>
      <c r="T22" s="70"/>
      <c r="U22" s="70"/>
      <c r="V22" s="95" t="s">
        <v>122</v>
      </c>
      <c r="W22" s="70"/>
      <c r="X22" s="70"/>
      <c r="Y22" s="70"/>
      <c r="Z22" s="70"/>
      <c r="AA22" s="95" t="s">
        <v>122</v>
      </c>
      <c r="AB22" s="70"/>
      <c r="AC22" s="70"/>
      <c r="AD22" s="70"/>
      <c r="AE22" s="70"/>
      <c r="AF22" s="95" t="s">
        <v>122</v>
      </c>
      <c r="AG22" s="70"/>
      <c r="AH22" s="70"/>
      <c r="AI22" s="70"/>
      <c r="AJ22" s="70"/>
      <c r="AK22" s="95" t="s">
        <v>122</v>
      </c>
      <c r="AL22" s="70"/>
      <c r="AM22" s="70"/>
      <c r="AN22" s="70"/>
      <c r="AO22" s="70"/>
      <c r="AP22" s="95" t="s">
        <v>122</v>
      </c>
      <c r="AQ22" s="70"/>
      <c r="AR22" s="70"/>
      <c r="AS22" s="70"/>
      <c r="AT22" s="70"/>
      <c r="AU22" s="95" t="s">
        <v>122</v>
      </c>
      <c r="AV22" s="100"/>
      <c r="AW22" s="100"/>
      <c r="AX22" s="100"/>
      <c r="AY22" s="100"/>
      <c r="AZ22" s="95" t="s">
        <v>122</v>
      </c>
      <c r="BA22" s="100"/>
      <c r="BB22" s="100"/>
      <c r="BC22" s="100"/>
      <c r="BD22" s="100"/>
      <c r="BE22" s="95" t="s">
        <v>122</v>
      </c>
      <c r="BF22" s="100"/>
      <c r="BG22" s="100"/>
      <c r="BH22" s="100"/>
      <c r="BI22" s="100"/>
      <c r="BJ22" s="95" t="s">
        <v>122</v>
      </c>
      <c r="BK22" s="100"/>
      <c r="BL22" s="100"/>
      <c r="BM22" s="100"/>
      <c r="BN22" s="100"/>
      <c r="BO22" s="95" t="s">
        <v>122</v>
      </c>
      <c r="BP22" s="100"/>
      <c r="BQ22" s="100"/>
      <c r="BR22" s="100"/>
      <c r="BS22" s="100"/>
      <c r="BT22" s="95" t="s">
        <v>122</v>
      </c>
      <c r="BU22" s="100"/>
      <c r="BV22" s="100"/>
      <c r="BW22" s="100"/>
      <c r="BX22" s="100"/>
      <c r="BY22" s="95" t="s">
        <v>122</v>
      </c>
      <c r="BZ22" s="100"/>
      <c r="CA22" s="100"/>
      <c r="CB22" s="100"/>
      <c r="CC22" s="100"/>
    </row>
    <row r="23" spans="2:81">
      <c r="B23" s="5" t="s">
        <v>123</v>
      </c>
      <c r="C23" s="105">
        <f>C16*C19</f>
        <v>4343892.8472106354</v>
      </c>
      <c r="D23" s="105">
        <f>D16*D19</f>
        <v>4468892.8472106354</v>
      </c>
      <c r="E23" s="105">
        <f>E16*E19</f>
        <v>4593892.8472106354</v>
      </c>
      <c r="F23" s="105">
        <f>F16*F19</f>
        <v>4718892.8472106354</v>
      </c>
      <c r="G23" s="70" t="s">
        <v>123</v>
      </c>
      <c r="H23" s="106">
        <f>H16*H19</f>
        <v>10475249.782040104</v>
      </c>
      <c r="I23" s="106">
        <f t="shared" ref="I23:K23" si="45">I16*I19</f>
        <v>0</v>
      </c>
      <c r="J23" s="106">
        <f t="shared" si="45"/>
        <v>6637347.4280732339</v>
      </c>
      <c r="K23" s="106">
        <f t="shared" si="45"/>
        <v>6762347.4280732339</v>
      </c>
      <c r="L23" s="70" t="s">
        <v>123</v>
      </c>
      <c r="M23" s="106">
        <f>M16*M19</f>
        <v>4773302.7946928721</v>
      </c>
      <c r="N23" s="106">
        <f t="shared" ref="N23:P23" si="46">N16*N19</f>
        <v>4898302.7946928721</v>
      </c>
      <c r="O23" s="106">
        <f t="shared" si="46"/>
        <v>5023302.7946928721</v>
      </c>
      <c r="P23" s="106">
        <f t="shared" si="46"/>
        <v>5148302.7946928721</v>
      </c>
      <c r="Q23" s="70" t="s">
        <v>123</v>
      </c>
      <c r="R23" s="107">
        <f>R16*R19</f>
        <v>4252878.7561965445</v>
      </c>
      <c r="S23" s="107">
        <f t="shared" ref="S23:U23" si="47">S16*S19</f>
        <v>4377878.7561965445</v>
      </c>
      <c r="T23" s="107">
        <f t="shared" si="47"/>
        <v>4502878.7561965445</v>
      </c>
      <c r="U23" s="107">
        <f t="shared" si="47"/>
        <v>4627878.7561965445</v>
      </c>
      <c r="V23" s="70" t="s">
        <v>123</v>
      </c>
      <c r="W23" s="107">
        <f>W16*W19</f>
        <v>3749875.753193541</v>
      </c>
      <c r="X23" s="107">
        <f t="shared" ref="X23:Z23" si="48">X16*X19</f>
        <v>3874875.753193541</v>
      </c>
      <c r="Y23" s="107">
        <f t="shared" si="48"/>
        <v>3999875.753193541</v>
      </c>
      <c r="Z23" s="107">
        <f t="shared" si="48"/>
        <v>4124875.753193541</v>
      </c>
      <c r="AA23" s="70" t="s">
        <v>123</v>
      </c>
      <c r="AB23" s="107">
        <f>AB16*AB19</f>
        <v>4472097.9754157644</v>
      </c>
      <c r="AC23" s="107">
        <f t="shared" ref="AC23:AE23" si="49">AC16*AC19</f>
        <v>4597097.9754157644</v>
      </c>
      <c r="AD23" s="107">
        <f t="shared" si="49"/>
        <v>4722097.9754157644</v>
      </c>
      <c r="AE23" s="107">
        <f t="shared" si="49"/>
        <v>4847097.9754157644</v>
      </c>
      <c r="AF23" s="70" t="s">
        <v>123</v>
      </c>
      <c r="AG23" s="107">
        <f>AG16*AG19</f>
        <v>4583264.6420824304</v>
      </c>
      <c r="AH23" s="107">
        <f t="shared" ref="AH23:AJ23" si="50">AH16*AH19</f>
        <v>4708264.6420824304</v>
      </c>
      <c r="AI23" s="107">
        <f t="shared" si="50"/>
        <v>4833264.6420824304</v>
      </c>
      <c r="AJ23" s="107">
        <f t="shared" si="50"/>
        <v>4958264.6420824304</v>
      </c>
      <c r="AK23" s="70" t="s">
        <v>123</v>
      </c>
      <c r="AL23" s="107">
        <f>AL16*AL19</f>
        <v>4972264.6420824304</v>
      </c>
      <c r="AM23" s="107">
        <f t="shared" ref="AM23:AO23" si="51">AM16*AM19</f>
        <v>5097264.6420824304</v>
      </c>
      <c r="AN23" s="107">
        <f t="shared" si="51"/>
        <v>5222264.6420824304</v>
      </c>
      <c r="AO23" s="107">
        <f t="shared" si="51"/>
        <v>5347264.6420824304</v>
      </c>
      <c r="AP23" s="70" t="s">
        <v>123</v>
      </c>
      <c r="AQ23" s="107">
        <f>AQ16*AQ19</f>
        <v>5027764.6420824304</v>
      </c>
      <c r="AR23" s="107">
        <f t="shared" ref="AR23:AT23" si="52">AR16*AR19</f>
        <v>5152764.6420824304</v>
      </c>
      <c r="AS23" s="107">
        <f t="shared" si="52"/>
        <v>5277764.6420824304</v>
      </c>
      <c r="AT23" s="107">
        <f t="shared" si="52"/>
        <v>5402764.6420824304</v>
      </c>
      <c r="AU23" s="70" t="s">
        <v>123</v>
      </c>
      <c r="AV23" s="106">
        <f>AV16*AV19</f>
        <v>6680392.4731182791</v>
      </c>
      <c r="AW23" s="106">
        <f t="shared" ref="AW23:AY23" si="53">AW16*AW19</f>
        <v>6805392.4731182791</v>
      </c>
      <c r="AX23" s="106">
        <f t="shared" si="53"/>
        <v>6930392.4731182791</v>
      </c>
      <c r="AY23" s="106">
        <f t="shared" si="53"/>
        <v>7055392.4731182791</v>
      </c>
      <c r="AZ23" s="70" t="s">
        <v>123</v>
      </c>
      <c r="BA23" s="106">
        <f>BA16*BA19</f>
        <v>6512948.028673836</v>
      </c>
      <c r="BB23" s="106">
        <f t="shared" ref="BB23:BD23" si="54">BB16*BB19</f>
        <v>6637948.028673836</v>
      </c>
      <c r="BC23" s="106">
        <f t="shared" si="54"/>
        <v>6762948.028673836</v>
      </c>
      <c r="BD23" s="106">
        <f t="shared" si="54"/>
        <v>6887948.028673836</v>
      </c>
      <c r="BE23" s="70" t="s">
        <v>123</v>
      </c>
      <c r="BF23" s="106">
        <f>BF16*BF19</f>
        <v>5776725.8064516131</v>
      </c>
      <c r="BG23" s="106">
        <f t="shared" ref="BG23:BI23" si="55">BG16*BG19</f>
        <v>5901725.8064516131</v>
      </c>
      <c r="BH23" s="106">
        <f t="shared" si="55"/>
        <v>6026725.8064516131</v>
      </c>
      <c r="BI23" s="106">
        <f t="shared" si="55"/>
        <v>6151725.8064516131</v>
      </c>
      <c r="BJ23" s="70" t="s">
        <v>123</v>
      </c>
      <c r="BK23" s="106">
        <f>BK16*BK19</f>
        <v>5832225.8064516131</v>
      </c>
      <c r="BL23" s="106">
        <f t="shared" ref="BL23:BN23" si="56">BL16*BL19</f>
        <v>5957225.8064516131</v>
      </c>
      <c r="BM23" s="106">
        <f t="shared" si="56"/>
        <v>6082225.8064516131</v>
      </c>
      <c r="BN23" s="106">
        <f t="shared" si="56"/>
        <v>6207225.8064516131</v>
      </c>
      <c r="BO23" s="70" t="s">
        <v>123</v>
      </c>
      <c r="BP23" s="106">
        <f>BP16*BP19</f>
        <v>6054725.8064516131</v>
      </c>
      <c r="BQ23" s="106">
        <f t="shared" ref="BQ23:BS23" si="57">BQ16*BQ19</f>
        <v>6179725.8064516131</v>
      </c>
      <c r="BR23" s="106">
        <f t="shared" si="57"/>
        <v>6304725.8064516131</v>
      </c>
      <c r="BS23" s="106">
        <f t="shared" si="57"/>
        <v>6429725.8064516131</v>
      </c>
      <c r="BT23" s="70" t="s">
        <v>123</v>
      </c>
      <c r="BU23" s="106">
        <f>BU16*BU19</f>
        <v>6999225.806451614</v>
      </c>
      <c r="BV23" s="106">
        <f t="shared" ref="BV23:BX23" si="58">BV16*BV19</f>
        <v>7124225.806451614</v>
      </c>
      <c r="BW23" s="106">
        <f t="shared" si="58"/>
        <v>7249225.806451614</v>
      </c>
      <c r="BX23" s="106">
        <f t="shared" si="58"/>
        <v>7374225.8064516122</v>
      </c>
      <c r="BY23" s="70" t="s">
        <v>123</v>
      </c>
      <c r="BZ23" s="106">
        <f>BZ16*BZ19</f>
        <v>7054725.8064516131</v>
      </c>
      <c r="CA23" s="106">
        <f t="shared" ref="CA23:CC23" si="59">CA16*CA19</f>
        <v>7179725.8064516131</v>
      </c>
      <c r="CB23" s="106">
        <f t="shared" si="59"/>
        <v>7304725.8064516131</v>
      </c>
      <c r="CC23" s="106">
        <f t="shared" si="59"/>
        <v>7429725.8064516131</v>
      </c>
    </row>
    <row r="24" spans="2:81">
      <c r="B24" s="33" t="s">
        <v>124</v>
      </c>
      <c r="C24" s="108">
        <f>C17*C20</f>
        <v>0</v>
      </c>
      <c r="D24" s="108">
        <f>D17*D20</f>
        <v>5263764.6420824304</v>
      </c>
      <c r="E24" s="108">
        <f>E17*E20</f>
        <v>10777529.284164861</v>
      </c>
      <c r="F24" s="108">
        <f>F17*F20</f>
        <v>16541293.926247291</v>
      </c>
      <c r="G24" s="109" t="s">
        <v>124</v>
      </c>
      <c r="H24" s="106"/>
      <c r="I24" s="106">
        <f>I20*I17</f>
        <v>11956790.322580645</v>
      </c>
      <c r="J24" s="106">
        <f t="shared" ref="J24:K24" si="60">J20*J17</f>
        <v>14831451.612903226</v>
      </c>
      <c r="K24" s="106">
        <f t="shared" si="60"/>
        <v>22622177.419354837</v>
      </c>
      <c r="L24" s="109" t="s">
        <v>124</v>
      </c>
      <c r="M24" s="106"/>
      <c r="N24" s="106">
        <f>N17*N20</f>
        <v>5263764.6420824304</v>
      </c>
      <c r="O24" s="106">
        <f t="shared" ref="O24:P24" si="61">O17*O20</f>
        <v>10777529.284164861</v>
      </c>
      <c r="P24" s="106">
        <f t="shared" si="61"/>
        <v>16541293.926247291</v>
      </c>
      <c r="Q24" s="109" t="s">
        <v>124</v>
      </c>
      <c r="R24" s="107"/>
      <c r="S24" s="107">
        <f>S17*S20</f>
        <v>5263764.6420824304</v>
      </c>
      <c r="T24" s="107">
        <f t="shared" ref="T24:U24" si="62">T17*T20</f>
        <v>10777529.284164861</v>
      </c>
      <c r="U24" s="107">
        <f t="shared" si="62"/>
        <v>16541293.926247291</v>
      </c>
      <c r="V24" s="109" t="s">
        <v>124</v>
      </c>
      <c r="W24" s="107"/>
      <c r="X24" s="107">
        <f>X17*X20</f>
        <v>5263764.6420824304</v>
      </c>
      <c r="Y24" s="107">
        <f t="shared" ref="Y24:Z24" si="63">Y17*Y20</f>
        <v>10777529.284164861</v>
      </c>
      <c r="Z24" s="107">
        <f t="shared" si="63"/>
        <v>16541293.926247291</v>
      </c>
      <c r="AA24" s="109" t="s">
        <v>124</v>
      </c>
      <c r="AB24" s="107"/>
      <c r="AC24" s="107">
        <f>AC17*AC20</f>
        <v>5263764.6420824304</v>
      </c>
      <c r="AD24" s="107">
        <f t="shared" ref="AD24:AE24" si="64">AD17*AD20</f>
        <v>10777529.284164861</v>
      </c>
      <c r="AE24" s="107">
        <f t="shared" si="64"/>
        <v>16541293.926247291</v>
      </c>
      <c r="AF24" s="109" t="s">
        <v>124</v>
      </c>
      <c r="AG24" s="107"/>
      <c r="AH24" s="107">
        <f>AH17*AH20</f>
        <v>5263764.6420824304</v>
      </c>
      <c r="AI24" s="107">
        <f t="shared" ref="AI24:AJ24" si="65">AI17*AI20</f>
        <v>10777529.284164861</v>
      </c>
      <c r="AJ24" s="107">
        <f t="shared" si="65"/>
        <v>16541293.926247291</v>
      </c>
      <c r="AK24" s="109" t="s">
        <v>124</v>
      </c>
      <c r="AL24" s="107"/>
      <c r="AM24" s="107">
        <f>AM17*AM20</f>
        <v>5263764.6420824304</v>
      </c>
      <c r="AN24" s="107">
        <f t="shared" ref="AN24:AO24" si="66">AN17*AN20</f>
        <v>10777529.284164861</v>
      </c>
      <c r="AO24" s="107">
        <f t="shared" si="66"/>
        <v>16541293.926247291</v>
      </c>
      <c r="AP24" s="109" t="s">
        <v>124</v>
      </c>
      <c r="AQ24" s="107"/>
      <c r="AR24" s="107">
        <f>AR17*AR20</f>
        <v>5263764.6420824304</v>
      </c>
      <c r="AS24" s="107">
        <f t="shared" ref="AS24:AT24" si="67">AS17*AS20</f>
        <v>10777529.284164861</v>
      </c>
      <c r="AT24" s="107">
        <f t="shared" si="67"/>
        <v>16541293.926247291</v>
      </c>
      <c r="AU24" s="109" t="s">
        <v>124</v>
      </c>
      <c r="AV24" s="106"/>
      <c r="AW24" s="106">
        <f>AW20*AW17</f>
        <v>7290725.8064516131</v>
      </c>
      <c r="AX24" s="106">
        <f t="shared" ref="AX24:AY24" si="68">AX20*AX17</f>
        <v>14831451.612903226</v>
      </c>
      <c r="AY24" s="106">
        <f t="shared" si="68"/>
        <v>22622177.419354837</v>
      </c>
      <c r="AZ24" s="109" t="s">
        <v>124</v>
      </c>
      <c r="BA24" s="106"/>
      <c r="BB24" s="106">
        <f>BB20*BB17</f>
        <v>7290725.8064516131</v>
      </c>
      <c r="BC24" s="106">
        <f t="shared" ref="BC24:BD24" si="69">BC20*BC17</f>
        <v>14831451.612903226</v>
      </c>
      <c r="BD24" s="106">
        <f t="shared" si="69"/>
        <v>22622177.419354837</v>
      </c>
      <c r="BE24" s="109" t="s">
        <v>124</v>
      </c>
      <c r="BF24" s="106"/>
      <c r="BG24" s="106">
        <f>BG20*BG17</f>
        <v>7290725.8064516131</v>
      </c>
      <c r="BH24" s="106">
        <f t="shared" ref="BH24:BI24" si="70">BH20*BH17</f>
        <v>14831451.612903226</v>
      </c>
      <c r="BI24" s="106">
        <f t="shared" si="70"/>
        <v>22622177.419354837</v>
      </c>
      <c r="BJ24" s="109" t="s">
        <v>124</v>
      </c>
      <c r="BK24" s="106"/>
      <c r="BL24" s="106">
        <f>BL20*BL17</f>
        <v>7290725.8064516131</v>
      </c>
      <c r="BM24" s="106">
        <f t="shared" ref="BM24:BN24" si="71">BM20*BM17</f>
        <v>14831451.612903226</v>
      </c>
      <c r="BN24" s="106">
        <f t="shared" si="71"/>
        <v>22622177.419354837</v>
      </c>
      <c r="BO24" s="109" t="s">
        <v>124</v>
      </c>
      <c r="BP24" s="106"/>
      <c r="BQ24" s="106">
        <f>BQ20*BQ17</f>
        <v>7290725.8064516131</v>
      </c>
      <c r="BR24" s="106">
        <f t="shared" ref="BR24:BS24" si="72">BR20*BR17</f>
        <v>14831451.612903226</v>
      </c>
      <c r="BS24" s="106">
        <f t="shared" si="72"/>
        <v>22622177.419354837</v>
      </c>
      <c r="BT24" s="109" t="s">
        <v>124</v>
      </c>
      <c r="BU24" s="106"/>
      <c r="BV24" s="106">
        <f>BV20*BV17</f>
        <v>7290725.8064516131</v>
      </c>
      <c r="BW24" s="106">
        <f t="shared" ref="BW24:BX24" si="73">BW20*BW17</f>
        <v>14831451.612903226</v>
      </c>
      <c r="BX24" s="106">
        <f t="shared" si="73"/>
        <v>22622177.419354837</v>
      </c>
      <c r="BY24" s="109" t="s">
        <v>124</v>
      </c>
      <c r="BZ24" s="106"/>
      <c r="CA24" s="106">
        <f>CA20*CA17</f>
        <v>7290725.8064516131</v>
      </c>
      <c r="CB24" s="106">
        <f t="shared" ref="CB24:CC24" si="74">CB20*CB17</f>
        <v>14831451.612903226</v>
      </c>
      <c r="CC24" s="106">
        <f t="shared" si="74"/>
        <v>22622177.419354837</v>
      </c>
    </row>
    <row r="25" spans="2:81">
      <c r="B25" s="5" t="s">
        <v>125</v>
      </c>
      <c r="C25" s="103">
        <f>C23+C24</f>
        <v>4343892.8472106354</v>
      </c>
      <c r="D25" s="103">
        <f>D23+D24</f>
        <v>9732657.4892930649</v>
      </c>
      <c r="E25" s="103">
        <f>E23+E24</f>
        <v>15371422.131375495</v>
      </c>
      <c r="F25" s="103">
        <f>F23+F24</f>
        <v>21260186.773457926</v>
      </c>
      <c r="G25" s="70" t="s">
        <v>125</v>
      </c>
      <c r="H25" s="106">
        <f>H23+H24</f>
        <v>10475249.782040104</v>
      </c>
      <c r="I25" s="106">
        <f t="shared" ref="I25:K25" si="75">I23+I24</f>
        <v>11956790.322580645</v>
      </c>
      <c r="J25" s="106">
        <f t="shared" si="75"/>
        <v>21468799.040976461</v>
      </c>
      <c r="K25" s="106">
        <f t="shared" si="75"/>
        <v>29384524.847428072</v>
      </c>
      <c r="L25" s="70" t="s">
        <v>125</v>
      </c>
      <c r="M25" s="106">
        <f>M23+M24</f>
        <v>4773302.7946928721</v>
      </c>
      <c r="N25" s="106">
        <f t="shared" ref="N25:P25" si="76">N23+N24</f>
        <v>10162067.436775303</v>
      </c>
      <c r="O25" s="106">
        <f t="shared" si="76"/>
        <v>15800832.078857733</v>
      </c>
      <c r="P25" s="106">
        <f t="shared" si="76"/>
        <v>21689596.720940165</v>
      </c>
      <c r="Q25" s="70" t="s">
        <v>125</v>
      </c>
      <c r="R25" s="107">
        <f>R23+R24</f>
        <v>4252878.7561965445</v>
      </c>
      <c r="S25" s="107">
        <f t="shared" ref="S25:U25" si="77">S23+S24</f>
        <v>9641643.398278974</v>
      </c>
      <c r="T25" s="107">
        <f t="shared" si="77"/>
        <v>15280408.040361404</v>
      </c>
      <c r="U25" s="107">
        <f t="shared" si="77"/>
        <v>21169172.682443835</v>
      </c>
      <c r="V25" s="70" t="s">
        <v>125</v>
      </c>
      <c r="W25" s="107">
        <f>W23+W24</f>
        <v>3749875.753193541</v>
      </c>
      <c r="X25" s="107">
        <f t="shared" ref="X25" si="78">X23+X24</f>
        <v>9138640.3952759709</v>
      </c>
      <c r="Y25" s="107">
        <f t="shared" ref="Y25" si="79">Y23+Y24</f>
        <v>14777405.037358401</v>
      </c>
      <c r="Z25" s="107">
        <f t="shared" ref="Z25" si="80">Z23+Z24</f>
        <v>20666169.679440834</v>
      </c>
      <c r="AA25" s="70" t="s">
        <v>125</v>
      </c>
      <c r="AB25" s="107">
        <f>AB23+AB24</f>
        <v>4472097.9754157644</v>
      </c>
      <c r="AC25" s="107">
        <f t="shared" ref="AC25" si="81">AC23+AC24</f>
        <v>9860862.6174981948</v>
      </c>
      <c r="AD25" s="107">
        <f t="shared" ref="AD25" si="82">AD23+AD24</f>
        <v>15499627.259580625</v>
      </c>
      <c r="AE25" s="107">
        <f t="shared" ref="AE25" si="83">AE23+AE24</f>
        <v>21388391.901663058</v>
      </c>
      <c r="AF25" s="70" t="s">
        <v>125</v>
      </c>
      <c r="AG25" s="107">
        <f>AG23+AG24</f>
        <v>4583264.6420824304</v>
      </c>
      <c r="AH25" s="107">
        <f t="shared" ref="AH25" si="84">AH23+AH24</f>
        <v>9972029.2841648608</v>
      </c>
      <c r="AI25" s="107">
        <f t="shared" ref="AI25" si="85">AI23+AI24</f>
        <v>15610793.926247291</v>
      </c>
      <c r="AJ25" s="107">
        <f t="shared" ref="AJ25" si="86">AJ23+AJ24</f>
        <v>21499558.568329722</v>
      </c>
      <c r="AK25" s="70" t="s">
        <v>125</v>
      </c>
      <c r="AL25" s="107">
        <f>AL23+AL24</f>
        <v>4972264.6420824304</v>
      </c>
      <c r="AM25" s="107">
        <f t="shared" ref="AM25" si="87">AM23+AM24</f>
        <v>10361029.284164861</v>
      </c>
      <c r="AN25" s="107">
        <f t="shared" ref="AN25" si="88">AN23+AN24</f>
        <v>15999793.926247291</v>
      </c>
      <c r="AO25" s="107">
        <f t="shared" ref="AO25" si="89">AO23+AO24</f>
        <v>21888558.568329722</v>
      </c>
      <c r="AP25" s="70" t="s">
        <v>125</v>
      </c>
      <c r="AQ25" s="107">
        <f>AQ23+AQ24</f>
        <v>5027764.6420824304</v>
      </c>
      <c r="AR25" s="107">
        <f t="shared" ref="AR25" si="90">AR23+AR24</f>
        <v>10416529.284164861</v>
      </c>
      <c r="AS25" s="107">
        <f t="shared" ref="AS25" si="91">AS23+AS24</f>
        <v>16055293.926247291</v>
      </c>
      <c r="AT25" s="107">
        <f t="shared" ref="AT25" si="92">AT23+AT24</f>
        <v>21944058.568329722</v>
      </c>
      <c r="AU25" s="70" t="s">
        <v>125</v>
      </c>
      <c r="AV25" s="106">
        <f>AV23+AV24</f>
        <v>6680392.4731182791</v>
      </c>
      <c r="AW25" s="106">
        <f t="shared" ref="AW25" si="93">AW23+AW24</f>
        <v>14096118.279569892</v>
      </c>
      <c r="AX25" s="106">
        <f t="shared" ref="AX25" si="94">AX23+AX24</f>
        <v>21761844.086021505</v>
      </c>
      <c r="AY25" s="106">
        <f t="shared" ref="AY25" si="95">AY23+AY24</f>
        <v>29677569.892473117</v>
      </c>
      <c r="AZ25" s="70" t="s">
        <v>125</v>
      </c>
      <c r="BA25" s="106">
        <f>BA23+BA24</f>
        <v>6512948.028673836</v>
      </c>
      <c r="BB25" s="106">
        <f t="shared" ref="BB25" si="96">BB23+BB24</f>
        <v>13928673.83512545</v>
      </c>
      <c r="BC25" s="106">
        <f t="shared" ref="BC25" si="97">BC23+BC24</f>
        <v>21594399.641577061</v>
      </c>
      <c r="BD25" s="106">
        <f t="shared" ref="BD25" si="98">BD23+BD24</f>
        <v>29510125.448028672</v>
      </c>
      <c r="BE25" s="70" t="s">
        <v>125</v>
      </c>
      <c r="BF25" s="106">
        <f>BF23+BF24</f>
        <v>5776725.8064516131</v>
      </c>
      <c r="BG25" s="106">
        <f t="shared" ref="BG25" si="99">BG23+BG24</f>
        <v>13192451.612903226</v>
      </c>
      <c r="BH25" s="106">
        <f t="shared" ref="BH25" si="100">BH23+BH24</f>
        <v>20858177.419354841</v>
      </c>
      <c r="BI25" s="106">
        <f t="shared" ref="BI25" si="101">BI23+BI24</f>
        <v>28773903.225806452</v>
      </c>
      <c r="BJ25" s="70" t="s">
        <v>125</v>
      </c>
      <c r="BK25" s="106">
        <f>BK23+BK24</f>
        <v>5832225.8064516131</v>
      </c>
      <c r="BL25" s="106">
        <f t="shared" ref="BL25" si="102">BL23+BL24</f>
        <v>13247951.612903226</v>
      </c>
      <c r="BM25" s="106">
        <f t="shared" ref="BM25" si="103">BM23+BM24</f>
        <v>20913677.419354841</v>
      </c>
      <c r="BN25" s="106">
        <f t="shared" ref="BN25" si="104">BN23+BN24</f>
        <v>28829403.225806452</v>
      </c>
      <c r="BO25" s="70" t="s">
        <v>125</v>
      </c>
      <c r="BP25" s="106">
        <f>BP23+BP24</f>
        <v>6054725.8064516131</v>
      </c>
      <c r="BQ25" s="106">
        <f t="shared" ref="BQ25" si="105">BQ23+BQ24</f>
        <v>13470451.612903226</v>
      </c>
      <c r="BR25" s="106">
        <f t="shared" ref="BR25" si="106">BR23+BR24</f>
        <v>21136177.419354841</v>
      </c>
      <c r="BS25" s="106">
        <f t="shared" ref="BS25" si="107">BS23+BS24</f>
        <v>29051903.225806452</v>
      </c>
      <c r="BT25" s="70" t="s">
        <v>125</v>
      </c>
      <c r="BU25" s="106">
        <f>BU23+BU24</f>
        <v>6999225.806451614</v>
      </c>
      <c r="BV25" s="106">
        <f t="shared" ref="BV25" si="108">BV23+BV24</f>
        <v>14414951.612903226</v>
      </c>
      <c r="BW25" s="106">
        <f t="shared" ref="BW25" si="109">BW23+BW24</f>
        <v>22080677.419354841</v>
      </c>
      <c r="BX25" s="106">
        <f t="shared" ref="BX25" si="110">BX23+BX24</f>
        <v>29996403.225806449</v>
      </c>
      <c r="BY25" s="70" t="s">
        <v>125</v>
      </c>
      <c r="BZ25" s="106">
        <f>BZ23+BZ24</f>
        <v>7054725.8064516131</v>
      </c>
      <c r="CA25" s="106">
        <f t="shared" ref="CA25" si="111">CA23+CA24</f>
        <v>14470451.612903226</v>
      </c>
      <c r="CB25" s="106">
        <f t="shared" ref="CB25" si="112">CB23+CB24</f>
        <v>22136177.419354841</v>
      </c>
      <c r="CC25" s="106">
        <f t="shared" ref="CC25" si="113">CC23+CC24</f>
        <v>30051903.225806452</v>
      </c>
    </row>
    <row r="26" spans="2:81">
      <c r="B26" s="5" t="s">
        <v>126</v>
      </c>
      <c r="C26" s="103">
        <v>5000000</v>
      </c>
      <c r="D26" s="103">
        <f>C26+750000</f>
        <v>5750000</v>
      </c>
      <c r="E26" s="103">
        <f>D26+750000</f>
        <v>6500000</v>
      </c>
      <c r="F26" s="103">
        <f>E26+750000</f>
        <v>7250000</v>
      </c>
      <c r="G26" s="70" t="s">
        <v>126</v>
      </c>
      <c r="H26" s="104">
        <v>6500000</v>
      </c>
      <c r="I26" s="104">
        <f>H26+750000</f>
        <v>7250000</v>
      </c>
      <c r="J26" s="104">
        <f>I26+750000</f>
        <v>8000000</v>
      </c>
      <c r="K26" s="104">
        <f>J26+750000</f>
        <v>8750000</v>
      </c>
      <c r="L26" s="70" t="s">
        <v>126</v>
      </c>
      <c r="M26" s="104">
        <v>5000000</v>
      </c>
      <c r="N26" s="104">
        <f>M26+750000</f>
        <v>5750000</v>
      </c>
      <c r="O26" s="104">
        <f>N26+750000</f>
        <v>6500000</v>
      </c>
      <c r="P26" s="104">
        <f>O26+750000</f>
        <v>7250000</v>
      </c>
      <c r="Q26" s="70" t="s">
        <v>126</v>
      </c>
      <c r="R26" s="104">
        <v>5000000</v>
      </c>
      <c r="S26" s="104">
        <f>R26+750000</f>
        <v>5750000</v>
      </c>
      <c r="T26" s="104">
        <f>S26+750000</f>
        <v>6500000</v>
      </c>
      <c r="U26" s="104">
        <f>T26+750000</f>
        <v>7250000</v>
      </c>
      <c r="V26" s="70" t="s">
        <v>126</v>
      </c>
      <c r="W26" s="104">
        <v>5000000</v>
      </c>
      <c r="X26" s="104">
        <f>W26+750000</f>
        <v>5750000</v>
      </c>
      <c r="Y26" s="104">
        <f>X26+750000</f>
        <v>6500000</v>
      </c>
      <c r="Z26" s="104">
        <f>Y26+750000</f>
        <v>7250000</v>
      </c>
      <c r="AA26" s="70" t="s">
        <v>126</v>
      </c>
      <c r="AB26" s="104">
        <v>5000000</v>
      </c>
      <c r="AC26" s="104">
        <f>AB26+750000</f>
        <v>5750000</v>
      </c>
      <c r="AD26" s="104">
        <f>AC26+750000</f>
        <v>6500000</v>
      </c>
      <c r="AE26" s="104">
        <f>AD26+750000</f>
        <v>7250000</v>
      </c>
      <c r="AF26" s="70" t="s">
        <v>126</v>
      </c>
      <c r="AG26" s="104">
        <v>5000000</v>
      </c>
      <c r="AH26" s="104">
        <f>AG26+750000</f>
        <v>5750000</v>
      </c>
      <c r="AI26" s="104">
        <f>AH26+750000</f>
        <v>6500000</v>
      </c>
      <c r="AJ26" s="104">
        <f>AI26+750000</f>
        <v>7250000</v>
      </c>
      <c r="AK26" s="70" t="s">
        <v>126</v>
      </c>
      <c r="AL26" s="104">
        <v>5000000</v>
      </c>
      <c r="AM26" s="104">
        <f>AL26+750000</f>
        <v>5750000</v>
      </c>
      <c r="AN26" s="104">
        <f>AM26+750000</f>
        <v>6500000</v>
      </c>
      <c r="AO26" s="104">
        <f>AN26+750000</f>
        <v>7250000</v>
      </c>
      <c r="AP26" s="70" t="s">
        <v>126</v>
      </c>
      <c r="AQ26" s="104">
        <v>5000000</v>
      </c>
      <c r="AR26" s="104">
        <f>AQ26+750000</f>
        <v>5750000</v>
      </c>
      <c r="AS26" s="104">
        <f>AR26+750000</f>
        <v>6500000</v>
      </c>
      <c r="AT26" s="104">
        <f>AS26+750000</f>
        <v>7250000</v>
      </c>
      <c r="AU26" s="70" t="s">
        <v>126</v>
      </c>
      <c r="AV26" s="104">
        <v>5000000</v>
      </c>
      <c r="AW26" s="104">
        <f>AV26+750000</f>
        <v>5750000</v>
      </c>
      <c r="AX26" s="104">
        <f>AW26+750000</f>
        <v>6500000</v>
      </c>
      <c r="AY26" s="104">
        <f>AX26+750000</f>
        <v>7250000</v>
      </c>
      <c r="AZ26" s="70" t="s">
        <v>126</v>
      </c>
      <c r="BA26" s="104">
        <v>5000000</v>
      </c>
      <c r="BB26" s="104">
        <f>BA26+750000</f>
        <v>5750000</v>
      </c>
      <c r="BC26" s="104">
        <f>BB26+750000</f>
        <v>6500000</v>
      </c>
      <c r="BD26" s="104">
        <f>BC26+750000</f>
        <v>7250000</v>
      </c>
      <c r="BE26" s="70" t="s">
        <v>126</v>
      </c>
      <c r="BF26" s="104">
        <v>5000000</v>
      </c>
      <c r="BG26" s="104">
        <f>BF26+750000</f>
        <v>5750000</v>
      </c>
      <c r="BH26" s="104">
        <f>BG26+750000</f>
        <v>6500000</v>
      </c>
      <c r="BI26" s="104">
        <f>BH26+750000</f>
        <v>7250000</v>
      </c>
      <c r="BJ26" s="70" t="s">
        <v>126</v>
      </c>
      <c r="BK26" s="104">
        <v>5000000</v>
      </c>
      <c r="BL26" s="104">
        <f>BK26+750000</f>
        <v>5750000</v>
      </c>
      <c r="BM26" s="104">
        <f>BL26+750000</f>
        <v>6500000</v>
      </c>
      <c r="BN26" s="104">
        <f>BM26+750000</f>
        <v>7250000</v>
      </c>
      <c r="BO26" s="70" t="s">
        <v>126</v>
      </c>
      <c r="BP26" s="104">
        <v>5000000</v>
      </c>
      <c r="BQ26" s="104">
        <f>BP26+750000</f>
        <v>5750000</v>
      </c>
      <c r="BR26" s="104">
        <f>BQ26+750000</f>
        <v>6500000</v>
      </c>
      <c r="BS26" s="104">
        <f>BR26+750000</f>
        <v>7250000</v>
      </c>
      <c r="BT26" s="70" t="s">
        <v>126</v>
      </c>
      <c r="BU26" s="104">
        <v>5000000</v>
      </c>
      <c r="BV26" s="104">
        <f>BU26+750000</f>
        <v>5750000</v>
      </c>
      <c r="BW26" s="104">
        <f>BV26+750000</f>
        <v>6500000</v>
      </c>
      <c r="BX26" s="104">
        <f>BW26+750000</f>
        <v>7250000</v>
      </c>
      <c r="BY26" s="70" t="s">
        <v>126</v>
      </c>
      <c r="BZ26" s="104">
        <v>5000000</v>
      </c>
      <c r="CA26" s="104">
        <f>BZ26+750000</f>
        <v>5750000</v>
      </c>
      <c r="CB26" s="104">
        <f>CA26+750000</f>
        <v>6500000</v>
      </c>
      <c r="CC26" s="104">
        <f>CB26+750000</f>
        <v>7250000</v>
      </c>
    </row>
    <row r="27" spans="2:81">
      <c r="B27" s="33" t="s">
        <v>127</v>
      </c>
      <c r="C27" s="110">
        <v>2000000</v>
      </c>
      <c r="D27" s="110">
        <v>2000000</v>
      </c>
      <c r="E27" s="110">
        <v>2000000</v>
      </c>
      <c r="F27" s="110">
        <v>2000000</v>
      </c>
      <c r="G27" s="109" t="s">
        <v>127</v>
      </c>
      <c r="H27" s="111">
        <v>2000000</v>
      </c>
      <c r="I27" s="111">
        <v>2000000</v>
      </c>
      <c r="J27" s="111">
        <v>2000000</v>
      </c>
      <c r="K27" s="111">
        <v>2000000</v>
      </c>
      <c r="L27" s="109" t="s">
        <v>127</v>
      </c>
      <c r="M27" s="111">
        <v>2000000</v>
      </c>
      <c r="N27" s="111">
        <v>2000000</v>
      </c>
      <c r="O27" s="111">
        <v>2000000</v>
      </c>
      <c r="P27" s="111">
        <v>2000000</v>
      </c>
      <c r="Q27" s="109" t="s">
        <v>127</v>
      </c>
      <c r="R27" s="111">
        <v>2000000</v>
      </c>
      <c r="S27" s="111">
        <v>2000000</v>
      </c>
      <c r="T27" s="111">
        <v>2000000</v>
      </c>
      <c r="U27" s="111">
        <v>2000000</v>
      </c>
      <c r="V27" s="109" t="s">
        <v>127</v>
      </c>
      <c r="W27" s="111">
        <v>2000000</v>
      </c>
      <c r="X27" s="111">
        <v>2000000</v>
      </c>
      <c r="Y27" s="111">
        <v>2000000</v>
      </c>
      <c r="Z27" s="111">
        <v>2000000</v>
      </c>
      <c r="AA27" s="109" t="s">
        <v>127</v>
      </c>
      <c r="AB27" s="111">
        <v>2000000</v>
      </c>
      <c r="AC27" s="111">
        <v>2000000</v>
      </c>
      <c r="AD27" s="111">
        <v>2000000</v>
      </c>
      <c r="AE27" s="111">
        <v>2000000</v>
      </c>
      <c r="AF27" s="109" t="s">
        <v>127</v>
      </c>
      <c r="AG27" s="111">
        <v>2000000</v>
      </c>
      <c r="AH27" s="111">
        <v>2000000</v>
      </c>
      <c r="AI27" s="111">
        <v>2000000</v>
      </c>
      <c r="AJ27" s="111">
        <v>2000000</v>
      </c>
      <c r="AK27" s="109" t="s">
        <v>127</v>
      </c>
      <c r="AL27" s="111">
        <v>2000000</v>
      </c>
      <c r="AM27" s="111">
        <v>2000000</v>
      </c>
      <c r="AN27" s="111">
        <v>2000000</v>
      </c>
      <c r="AO27" s="111">
        <v>2000000</v>
      </c>
      <c r="AP27" s="109" t="s">
        <v>127</v>
      </c>
      <c r="AQ27" s="111">
        <v>2000000</v>
      </c>
      <c r="AR27" s="111">
        <v>2000000</v>
      </c>
      <c r="AS27" s="111">
        <v>2000000</v>
      </c>
      <c r="AT27" s="111">
        <v>2000000</v>
      </c>
      <c r="AU27" s="109" t="s">
        <v>127</v>
      </c>
      <c r="AV27" s="111">
        <v>2000000</v>
      </c>
      <c r="AW27" s="111">
        <v>2000000</v>
      </c>
      <c r="AX27" s="111">
        <v>2000000</v>
      </c>
      <c r="AY27" s="111">
        <v>2000000</v>
      </c>
      <c r="AZ27" s="109" t="s">
        <v>127</v>
      </c>
      <c r="BA27" s="111">
        <v>2000000</v>
      </c>
      <c r="BB27" s="111">
        <v>2000000</v>
      </c>
      <c r="BC27" s="111">
        <v>2000000</v>
      </c>
      <c r="BD27" s="111">
        <v>2000000</v>
      </c>
      <c r="BE27" s="109" t="s">
        <v>127</v>
      </c>
      <c r="BF27" s="111">
        <v>2000000</v>
      </c>
      <c r="BG27" s="111">
        <v>2000000</v>
      </c>
      <c r="BH27" s="111">
        <v>2000000</v>
      </c>
      <c r="BI27" s="111">
        <v>2000000</v>
      </c>
      <c r="BJ27" s="109" t="s">
        <v>127</v>
      </c>
      <c r="BK27" s="111">
        <v>2000000</v>
      </c>
      <c r="BL27" s="111">
        <v>2000000</v>
      </c>
      <c r="BM27" s="111">
        <v>2000000</v>
      </c>
      <c r="BN27" s="111">
        <v>2000000</v>
      </c>
      <c r="BO27" s="109" t="s">
        <v>127</v>
      </c>
      <c r="BP27" s="111">
        <v>2000000</v>
      </c>
      <c r="BQ27" s="111">
        <v>2000000</v>
      </c>
      <c r="BR27" s="111">
        <v>2000000</v>
      </c>
      <c r="BS27" s="111">
        <v>2000000</v>
      </c>
      <c r="BT27" s="109" t="s">
        <v>127</v>
      </c>
      <c r="BU27" s="111">
        <v>2000000</v>
      </c>
      <c r="BV27" s="111">
        <v>2000000</v>
      </c>
      <c r="BW27" s="111">
        <v>2000000</v>
      </c>
      <c r="BX27" s="111">
        <v>2000000</v>
      </c>
      <c r="BY27" s="109" t="s">
        <v>127</v>
      </c>
      <c r="BZ27" s="111">
        <v>2000000</v>
      </c>
      <c r="CA27" s="111">
        <v>2000000</v>
      </c>
      <c r="CB27" s="111">
        <v>2000000</v>
      </c>
      <c r="CC27" s="111">
        <v>2000000</v>
      </c>
    </row>
    <row r="28" spans="2:81">
      <c r="B28" s="5" t="s">
        <v>128</v>
      </c>
      <c r="C28" s="103">
        <f>C25-C27-C26</f>
        <v>-2656107.1527893646</v>
      </c>
      <c r="D28" s="103">
        <f>D25-D27-D26</f>
        <v>1982657.4892930649</v>
      </c>
      <c r="E28" s="103">
        <f>E25-E27-E26</f>
        <v>6871422.1313754953</v>
      </c>
      <c r="F28" s="103">
        <f>F25-F27-F26</f>
        <v>12010186.773457926</v>
      </c>
      <c r="G28" s="70" t="s">
        <v>128</v>
      </c>
      <c r="H28" s="104">
        <f>H25-H27-H26</f>
        <v>1975249.7820401043</v>
      </c>
      <c r="I28" s="104">
        <f t="shared" ref="I28:K28" si="114">I25-I27-I26</f>
        <v>2706790.3225806449</v>
      </c>
      <c r="J28" s="104">
        <f t="shared" si="114"/>
        <v>11468799.040976461</v>
      </c>
      <c r="K28" s="104">
        <f t="shared" si="114"/>
        <v>18634524.847428072</v>
      </c>
      <c r="L28" s="70" t="s">
        <v>128</v>
      </c>
      <c r="M28" s="104">
        <f>M25-M26-M27</f>
        <v>-2226697.2053071279</v>
      </c>
      <c r="N28" s="104">
        <f t="shared" ref="N28:P28" si="115">N25-N26-N27</f>
        <v>2412067.4367753025</v>
      </c>
      <c r="O28" s="104">
        <f t="shared" si="115"/>
        <v>7300832.0788577329</v>
      </c>
      <c r="P28" s="104">
        <f t="shared" si="115"/>
        <v>12439596.720940165</v>
      </c>
      <c r="Q28" s="70" t="s">
        <v>128</v>
      </c>
      <c r="R28" s="103">
        <f>R25-R26-R27</f>
        <v>-2747121.2438034555</v>
      </c>
      <c r="S28" s="103">
        <f t="shared" ref="S28:U28" si="116">S25-S26-S27</f>
        <v>1891643.398278974</v>
      </c>
      <c r="T28" s="103">
        <f t="shared" si="116"/>
        <v>6780408.0403614044</v>
      </c>
      <c r="U28" s="103">
        <f t="shared" si="116"/>
        <v>11919172.682443835</v>
      </c>
      <c r="V28" s="70" t="s">
        <v>128</v>
      </c>
      <c r="W28" s="103">
        <f>W25-W26-W27</f>
        <v>-3250124.246806459</v>
      </c>
      <c r="X28" s="103">
        <f t="shared" ref="X28" si="117">X25-X26-X27</f>
        <v>1388640.3952759709</v>
      </c>
      <c r="Y28" s="103">
        <f t="shared" ref="Y28" si="118">Y25-Y26-Y27</f>
        <v>6277405.0373584013</v>
      </c>
      <c r="Z28" s="103">
        <f t="shared" ref="Z28" si="119">Z25-Z26-Z27</f>
        <v>11416169.679440834</v>
      </c>
      <c r="AA28" s="70" t="s">
        <v>128</v>
      </c>
      <c r="AB28" s="103">
        <f>AB25-AB26-AB27</f>
        <v>-2527902.0245842356</v>
      </c>
      <c r="AC28" s="103">
        <f t="shared" ref="AC28" si="120">AC25-AC26-AC27</f>
        <v>2110862.6174981948</v>
      </c>
      <c r="AD28" s="103">
        <f t="shared" ref="AD28" si="121">AD25-AD26-AD27</f>
        <v>6999627.2595806252</v>
      </c>
      <c r="AE28" s="103">
        <f t="shared" ref="AE28" si="122">AE25-AE26-AE27</f>
        <v>12138391.901663058</v>
      </c>
      <c r="AF28" s="70" t="s">
        <v>128</v>
      </c>
      <c r="AG28" s="103">
        <f>AG25-AG26-AG27</f>
        <v>-2416735.3579175696</v>
      </c>
      <c r="AH28" s="103">
        <f t="shared" ref="AH28" si="123">AH25-AH26-AH27</f>
        <v>2222029.2841648608</v>
      </c>
      <c r="AI28" s="103">
        <f t="shared" ref="AI28" si="124">AI25-AI26-AI27</f>
        <v>7110793.9262472913</v>
      </c>
      <c r="AJ28" s="103">
        <f t="shared" ref="AJ28" si="125">AJ25-AJ26-AJ27</f>
        <v>12249558.568329722</v>
      </c>
      <c r="AK28" s="70" t="s">
        <v>128</v>
      </c>
      <c r="AL28" s="103">
        <f>AL25-AL26-AL27</f>
        <v>-2027735.3579175696</v>
      </c>
      <c r="AM28" s="103">
        <f t="shared" ref="AM28" si="126">AM25-AM26-AM27</f>
        <v>2611029.2841648608</v>
      </c>
      <c r="AN28" s="103">
        <f t="shared" ref="AN28" si="127">AN25-AN26-AN27</f>
        <v>7499793.9262472913</v>
      </c>
      <c r="AO28" s="103">
        <f t="shared" ref="AO28" si="128">AO25-AO26-AO27</f>
        <v>12638558.568329722</v>
      </c>
      <c r="AP28" s="70" t="s">
        <v>128</v>
      </c>
      <c r="AQ28" s="103">
        <f>AQ25-AQ26-AQ27</f>
        <v>-1972235.3579175696</v>
      </c>
      <c r="AR28" s="103">
        <f t="shared" ref="AR28" si="129">AR25-AR26-AR27</f>
        <v>2666529.2841648608</v>
      </c>
      <c r="AS28" s="103">
        <f t="shared" ref="AS28" si="130">AS25-AS26-AS27</f>
        <v>7555293.9262472913</v>
      </c>
      <c r="AT28" s="103">
        <f t="shared" ref="AT28" si="131">AT25-AT26-AT27</f>
        <v>12694058.568329722</v>
      </c>
      <c r="AU28" s="70" t="s">
        <v>128</v>
      </c>
      <c r="AV28" s="104">
        <f>AV25-AV27-AV26</f>
        <v>-319607.52688172087</v>
      </c>
      <c r="AW28" s="104">
        <f t="shared" ref="AW28" si="132">AW25-AW27-AW26</f>
        <v>6346118.2795698922</v>
      </c>
      <c r="AX28" s="104">
        <f t="shared" ref="AX28" si="133">AX25-AX27-AX26</f>
        <v>13261844.086021505</v>
      </c>
      <c r="AY28" s="104">
        <f t="shared" ref="AY28" si="134">AY25-AY27-AY26</f>
        <v>20427569.892473117</v>
      </c>
      <c r="AZ28" s="70" t="s">
        <v>128</v>
      </c>
      <c r="BA28" s="104">
        <f>BA25-BA27-BA26</f>
        <v>-487051.97132616397</v>
      </c>
      <c r="BB28" s="104">
        <f t="shared" ref="BB28" si="135">BB25-BB27-BB26</f>
        <v>6178673.83512545</v>
      </c>
      <c r="BC28" s="104">
        <f t="shared" ref="BC28" si="136">BC25-BC27-BC26</f>
        <v>13094399.641577061</v>
      </c>
      <c r="BD28" s="104">
        <f t="shared" ref="BD28" si="137">BD25-BD27-BD26</f>
        <v>20260125.448028672</v>
      </c>
      <c r="BE28" s="70" t="s">
        <v>128</v>
      </c>
      <c r="BF28" s="104">
        <f>BF25-BF27-BF26</f>
        <v>-1223274.1935483869</v>
      </c>
      <c r="BG28" s="104">
        <f t="shared" ref="BG28" si="138">BG25-BG27-BG26</f>
        <v>5442451.6129032262</v>
      </c>
      <c r="BH28" s="104">
        <f t="shared" ref="BH28" si="139">BH25-BH27-BH26</f>
        <v>12358177.419354841</v>
      </c>
      <c r="BI28" s="104">
        <f t="shared" ref="BI28" si="140">BI25-BI27-BI26</f>
        <v>19523903.225806452</v>
      </c>
      <c r="BJ28" s="70" t="s">
        <v>128</v>
      </c>
      <c r="BK28" s="104">
        <f>BK25-BK27-BK26</f>
        <v>-1167774.1935483869</v>
      </c>
      <c r="BL28" s="104">
        <f t="shared" ref="BL28" si="141">BL25-BL27-BL26</f>
        <v>5497951.6129032262</v>
      </c>
      <c r="BM28" s="104">
        <f t="shared" ref="BM28" si="142">BM25-BM27-BM26</f>
        <v>12413677.419354841</v>
      </c>
      <c r="BN28" s="104">
        <f t="shared" ref="BN28" si="143">BN25-BN27-BN26</f>
        <v>19579403.225806452</v>
      </c>
      <c r="BO28" s="70" t="s">
        <v>128</v>
      </c>
      <c r="BP28" s="104">
        <f>BP25-BP27-BP26</f>
        <v>-945274.19354838692</v>
      </c>
      <c r="BQ28" s="104">
        <f t="shared" ref="BQ28" si="144">BQ25-BQ27-BQ26</f>
        <v>5720451.6129032262</v>
      </c>
      <c r="BR28" s="104">
        <f t="shared" ref="BR28" si="145">BR25-BR27-BR26</f>
        <v>12636177.419354841</v>
      </c>
      <c r="BS28" s="104">
        <f t="shared" ref="BS28" si="146">BS25-BS27-BS26</f>
        <v>19801903.225806452</v>
      </c>
      <c r="BT28" s="70" t="s">
        <v>128</v>
      </c>
      <c r="BU28" s="104">
        <f>BU25-BU27-BU26</f>
        <v>-774.1935483859852</v>
      </c>
      <c r="BV28" s="104">
        <f t="shared" ref="BV28" si="147">BV25-BV27-BV26</f>
        <v>6664951.6129032262</v>
      </c>
      <c r="BW28" s="104">
        <f t="shared" ref="BW28" si="148">BW25-BW27-BW26</f>
        <v>13580677.419354841</v>
      </c>
      <c r="BX28" s="104">
        <f t="shared" ref="BX28" si="149">BX25-BX27-BX26</f>
        <v>20746403.225806449</v>
      </c>
      <c r="BY28" s="70" t="s">
        <v>128</v>
      </c>
      <c r="BZ28" s="104">
        <f>BZ25-BZ27-BZ26</f>
        <v>54725.806451613083</v>
      </c>
      <c r="CA28" s="104">
        <f t="shared" ref="CA28" si="150">CA25-CA27-CA26</f>
        <v>6720451.6129032262</v>
      </c>
      <c r="CB28" s="104">
        <f t="shared" ref="CB28" si="151">CB25-CB27-CB26</f>
        <v>13636177.419354841</v>
      </c>
      <c r="CC28" s="104">
        <f t="shared" ref="CC28" si="152">CC25-CC27-CC26</f>
        <v>20801903.225806452</v>
      </c>
    </row>
    <row r="29" spans="2:81">
      <c r="B29" s="5" t="s">
        <v>129</v>
      </c>
      <c r="C29" s="103">
        <f>C28</f>
        <v>-2656107.1527893646</v>
      </c>
      <c r="D29" s="103">
        <f>D28+C29</f>
        <v>-673449.66349629965</v>
      </c>
      <c r="E29" s="103">
        <f>E28+D29</f>
        <v>6197972.4678791957</v>
      </c>
      <c r="F29" s="103">
        <f>F28+E29</f>
        <v>18208159.241337121</v>
      </c>
      <c r="G29" s="70" t="s">
        <v>129</v>
      </c>
      <c r="H29" s="104">
        <f>H28</f>
        <v>1975249.7820401043</v>
      </c>
      <c r="I29" s="104">
        <f>H28+I28</f>
        <v>4682040.1046207491</v>
      </c>
      <c r="J29" s="104">
        <f t="shared" ref="J29:K29" si="153">I28+J28</f>
        <v>14175589.363557106</v>
      </c>
      <c r="K29" s="104">
        <f t="shared" si="153"/>
        <v>30103323.888404533</v>
      </c>
      <c r="L29" s="70" t="s">
        <v>129</v>
      </c>
      <c r="M29" s="104">
        <f>M28</f>
        <v>-2226697.2053071279</v>
      </c>
      <c r="N29" s="104">
        <f>M28+N28</f>
        <v>185370.23146817461</v>
      </c>
      <c r="O29" s="104">
        <f t="shared" ref="O29:P29" si="154">N28+O28</f>
        <v>9712899.5156330355</v>
      </c>
      <c r="P29" s="104">
        <f t="shared" si="154"/>
        <v>19740428.7997979</v>
      </c>
      <c r="Q29" s="70" t="s">
        <v>129</v>
      </c>
      <c r="R29" s="103">
        <f>R28</f>
        <v>-2747121.2438034555</v>
      </c>
      <c r="S29" s="103">
        <f>R28+S28</f>
        <v>-855477.8455244815</v>
      </c>
      <c r="T29" s="103">
        <f t="shared" ref="T29:U29" si="155">S28+T28</f>
        <v>8672051.4386403784</v>
      </c>
      <c r="U29" s="103">
        <f t="shared" si="155"/>
        <v>18699580.722805239</v>
      </c>
      <c r="V29" s="70" t="s">
        <v>129</v>
      </c>
      <c r="W29" s="103">
        <f>W28</f>
        <v>-3250124.246806459</v>
      </c>
      <c r="X29" s="103">
        <f>W28+X28</f>
        <v>-1861483.8515304881</v>
      </c>
      <c r="Y29" s="103">
        <f t="shared" ref="Y29" si="156">X28+Y28</f>
        <v>7666045.4326343723</v>
      </c>
      <c r="Z29" s="103">
        <f t="shared" ref="Z29" si="157">Y28+Z28</f>
        <v>17693574.716799237</v>
      </c>
      <c r="AA29" s="70" t="s">
        <v>129</v>
      </c>
      <c r="AB29" s="103">
        <f>AB28</f>
        <v>-2527902.0245842356</v>
      </c>
      <c r="AC29" s="103">
        <f>AB28+AC28</f>
        <v>-417039.40708604082</v>
      </c>
      <c r="AD29" s="103">
        <f t="shared" ref="AD29" si="158">AC28+AD28</f>
        <v>9110489.87707882</v>
      </c>
      <c r="AE29" s="103">
        <f t="shared" ref="AE29" si="159">AD28+AE28</f>
        <v>19138019.161243685</v>
      </c>
      <c r="AF29" s="70" t="s">
        <v>129</v>
      </c>
      <c r="AG29" s="103">
        <f>AG28</f>
        <v>-2416735.3579175696</v>
      </c>
      <c r="AH29" s="103">
        <f>AG28+AH28</f>
        <v>-194706.07375270873</v>
      </c>
      <c r="AI29" s="103">
        <f t="shared" ref="AI29" si="160">AH28+AI28</f>
        <v>9332823.2104121521</v>
      </c>
      <c r="AJ29" s="103">
        <f t="shared" ref="AJ29" si="161">AI28+AJ28</f>
        <v>19360352.494577013</v>
      </c>
      <c r="AK29" s="70" t="s">
        <v>129</v>
      </c>
      <c r="AL29" s="103">
        <f>AL28</f>
        <v>-2027735.3579175696</v>
      </c>
      <c r="AM29" s="103">
        <f>AL28+AM28</f>
        <v>583293.92624729127</v>
      </c>
      <c r="AN29" s="103">
        <f t="shared" ref="AN29" si="162">AM28+AN28</f>
        <v>10110823.210412152</v>
      </c>
      <c r="AO29" s="103">
        <f t="shared" ref="AO29" si="163">AN28+AO28</f>
        <v>20138352.494577013</v>
      </c>
      <c r="AP29" s="70" t="s">
        <v>129</v>
      </c>
      <c r="AQ29" s="103">
        <f>AQ28</f>
        <v>-1972235.3579175696</v>
      </c>
      <c r="AR29" s="103">
        <f>AQ28+AR28</f>
        <v>694293.92624729127</v>
      </c>
      <c r="AS29" s="103">
        <f t="shared" ref="AS29" si="164">AR28+AS28</f>
        <v>10221823.210412152</v>
      </c>
      <c r="AT29" s="103">
        <f t="shared" ref="AT29" si="165">AS28+AT28</f>
        <v>20249352.494577013</v>
      </c>
      <c r="AU29" s="70" t="s">
        <v>129</v>
      </c>
      <c r="AV29" s="104">
        <f>AV28</f>
        <v>-319607.52688172087</v>
      </c>
      <c r="AW29" s="104">
        <f>AV28+AW28</f>
        <v>6026510.7526881713</v>
      </c>
      <c r="AX29" s="104">
        <f t="shared" ref="AX29" si="166">AW28+AX28</f>
        <v>19607962.365591399</v>
      </c>
      <c r="AY29" s="104">
        <f t="shared" ref="AY29" si="167">AX28+AY28</f>
        <v>33689413.978494622</v>
      </c>
      <c r="AZ29" s="70" t="s">
        <v>129</v>
      </c>
      <c r="BA29" s="104">
        <f>BA28</f>
        <v>-487051.97132616397</v>
      </c>
      <c r="BB29" s="104">
        <f>BA28+BB28</f>
        <v>5691621.8637992861</v>
      </c>
      <c r="BC29" s="104">
        <f t="shared" ref="BC29" si="168">BB28+BC28</f>
        <v>19273073.476702511</v>
      </c>
      <c r="BD29" s="104">
        <f t="shared" ref="BD29" si="169">BC28+BD28</f>
        <v>33354525.089605734</v>
      </c>
      <c r="BE29" s="70" t="s">
        <v>129</v>
      </c>
      <c r="BF29" s="104">
        <f>BF28</f>
        <v>-1223274.1935483869</v>
      </c>
      <c r="BG29" s="104">
        <f>BF28+BG28</f>
        <v>4219177.4193548393</v>
      </c>
      <c r="BH29" s="104">
        <f t="shared" ref="BH29" si="170">BG28+BH28</f>
        <v>17800629.032258067</v>
      </c>
      <c r="BI29" s="104">
        <f t="shared" ref="BI29" si="171">BH28+BI28</f>
        <v>31882080.645161293</v>
      </c>
      <c r="BJ29" s="70" t="s">
        <v>129</v>
      </c>
      <c r="BK29" s="104">
        <f>BK28</f>
        <v>-1167774.1935483869</v>
      </c>
      <c r="BL29" s="104">
        <f>BK28+BL28</f>
        <v>4330177.4193548393</v>
      </c>
      <c r="BM29" s="104">
        <f t="shared" ref="BM29" si="172">BL28+BM28</f>
        <v>17911629.032258067</v>
      </c>
      <c r="BN29" s="104">
        <f t="shared" ref="BN29" si="173">BM28+BN28</f>
        <v>31993080.645161293</v>
      </c>
      <c r="BO29" s="70" t="s">
        <v>129</v>
      </c>
      <c r="BP29" s="104">
        <f>BP28</f>
        <v>-945274.19354838692</v>
      </c>
      <c r="BQ29" s="104">
        <f>BP28+BQ28</f>
        <v>4775177.4193548393</v>
      </c>
      <c r="BR29" s="104">
        <f t="shared" ref="BR29" si="174">BQ28+BR28</f>
        <v>18356629.032258067</v>
      </c>
      <c r="BS29" s="104">
        <f t="shared" ref="BS29" si="175">BR28+BS28</f>
        <v>32438080.645161293</v>
      </c>
      <c r="BT29" s="70" t="s">
        <v>129</v>
      </c>
      <c r="BU29" s="104">
        <f>BU28</f>
        <v>-774.1935483859852</v>
      </c>
      <c r="BV29" s="104">
        <f>BU28+BV28</f>
        <v>6664177.4193548402</v>
      </c>
      <c r="BW29" s="104">
        <f t="shared" ref="BW29" si="176">BV28+BW28</f>
        <v>20245629.032258067</v>
      </c>
      <c r="BX29" s="104">
        <f t="shared" ref="BX29" si="177">BW28+BX28</f>
        <v>34327080.645161286</v>
      </c>
      <c r="BY29" s="70" t="s">
        <v>129</v>
      </c>
      <c r="BZ29" s="104">
        <f>BZ28</f>
        <v>54725.806451613083</v>
      </c>
      <c r="CA29" s="104">
        <f>BZ28+CA28</f>
        <v>6775177.4193548393</v>
      </c>
      <c r="CB29" s="104">
        <f t="shared" ref="CB29" si="178">CA28+CB28</f>
        <v>20356629.032258067</v>
      </c>
      <c r="CC29" s="104">
        <f t="shared" ref="CC29" si="179">CB28+CC28</f>
        <v>34438080.645161293</v>
      </c>
    </row>
    <row r="30" spans="2:81">
      <c r="C30" s="13"/>
      <c r="D30" s="13"/>
      <c r="E30" s="13"/>
      <c r="F30" s="13"/>
    </row>
    <row r="31" spans="2:81">
      <c r="B31" s="42" t="s">
        <v>130</v>
      </c>
      <c r="C31" s="77">
        <f xml:space="preserve"> C7 + (D24 - D26 - D27) / (D13 - D9 )</f>
        <v>77817.128793649768</v>
      </c>
      <c r="D31" s="74"/>
      <c r="E31" s="74"/>
      <c r="F31" s="74"/>
      <c r="G31" s="42" t="s">
        <v>130</v>
      </c>
      <c r="H31" s="76">
        <f xml:space="preserve"> H7 + (I24 - I26 - I27) / (I13 - I9 )</f>
        <v>36218.013531401186</v>
      </c>
      <c r="L31" s="42" t="s">
        <v>130</v>
      </c>
      <c r="M31" s="76">
        <f xml:space="preserve"> M7 + (N24 - N26 - N27) / (N13 - N9 )</f>
        <v>75378.538874845719</v>
      </c>
      <c r="Q31" s="42" t="s">
        <v>130</v>
      </c>
      <c r="R31" s="76">
        <f xml:space="preserve"> R7 + (S24 - S26 - S27) / (S13 - S9 )</f>
        <v>78395.43414031851</v>
      </c>
      <c r="V31" s="42" t="s">
        <v>130</v>
      </c>
      <c r="W31" s="76">
        <f xml:space="preserve"> W7 + (X24 - X26 - X27) / (X13 - X9 )</f>
        <v>82081.484882044271</v>
      </c>
      <c r="AA31" s="42" t="s">
        <v>130</v>
      </c>
      <c r="AB31" s="76">
        <f xml:space="preserve"> AB7 + (AC24 - AC26 - AC27) / (AC13 - AC9 )</f>
        <v>77041.357082374481</v>
      </c>
      <c r="AF31" s="42" t="s">
        <v>130</v>
      </c>
      <c r="AG31" s="76">
        <f xml:space="preserve"> AG7 + (AH24 - AH26 - AH27) / (AH13 - AH9 )</f>
        <v>76402.884575514501</v>
      </c>
      <c r="AK31" s="42" t="s">
        <v>130</v>
      </c>
      <c r="AL31" s="76">
        <f xml:space="preserve"> AL7 + (AM24 - AM26 - AM27) / (AM13 - AM9 )</f>
        <v>74387.936790563079</v>
      </c>
      <c r="AP31" s="42" t="s">
        <v>130</v>
      </c>
      <c r="AQ31" s="76">
        <f xml:space="preserve"> AQ7 + (AR24 - AR26 - AR27) / (AR13 - AR9 )</f>
        <v>74125.256348917828</v>
      </c>
      <c r="AU31" s="42" t="s">
        <v>130</v>
      </c>
      <c r="AV31" s="76">
        <f xml:space="preserve"> AV7 + (AW24 - AW26 - AW27) / (AW13 - AW9 )</f>
        <v>53374.340240937963</v>
      </c>
      <c r="AZ31" s="42" t="s">
        <v>130</v>
      </c>
      <c r="BA31" s="76">
        <f xml:space="preserve"> BA7 + (BB24 - BB26 - BB27) / (BB13 - BB9 )</f>
        <v>53459.459094621314</v>
      </c>
      <c r="BE31" s="42" t="s">
        <v>130</v>
      </c>
      <c r="BF31" s="76">
        <f xml:space="preserve"> BF7 + (BG24 - BG26 - BG27) / (BG13 - BG9 )</f>
        <v>53891.016023197153</v>
      </c>
      <c r="BJ31" s="42" t="s">
        <v>130</v>
      </c>
      <c r="BK31" s="76">
        <f xml:space="preserve"> BK7 + (BL24 - BL26 - BL27) / (BL13 - BL9 )</f>
        <v>53854.765695225098</v>
      </c>
      <c r="BO31" s="42" t="s">
        <v>130</v>
      </c>
      <c r="BP31" s="75">
        <f>5000000*150000/BR28</f>
        <v>59353.392652688184</v>
      </c>
      <c r="BT31" s="42" t="s">
        <v>130</v>
      </c>
      <c r="BU31" s="76">
        <f xml:space="preserve"> BU7 + (BV24 - BV26 - BV27) / (BV13 - BV9 )</f>
        <v>53223.327039497213</v>
      </c>
      <c r="BY31" s="42" t="s">
        <v>130</v>
      </c>
      <c r="BZ31" s="76">
        <f xml:space="preserve"> BZ7 + (CA24 - CA26 - CA27) / (CA13 - CA9 )</f>
        <v>53198.410398456224</v>
      </c>
    </row>
    <row r="32" spans="2:81" ht="15">
      <c r="B32" s="43" t="s">
        <v>131</v>
      </c>
      <c r="C32" s="79">
        <f xml:space="preserve"> 12 + (C31 - C7) * (24 - 12) / (D7 - C7)</f>
        <v>18.676110910475945</v>
      </c>
      <c r="G32" s="43" t="s">
        <v>131</v>
      </c>
      <c r="H32" s="44"/>
      <c r="L32" s="43" t="s">
        <v>131</v>
      </c>
      <c r="M32" s="44"/>
      <c r="Q32" s="43" t="s">
        <v>131</v>
      </c>
      <c r="R32" s="44"/>
      <c r="V32" s="43" t="s">
        <v>131</v>
      </c>
      <c r="W32" s="44"/>
      <c r="AA32" s="43" t="s">
        <v>131</v>
      </c>
      <c r="AB32" s="44"/>
      <c r="AF32" s="43" t="s">
        <v>131</v>
      </c>
      <c r="AG32" s="44"/>
      <c r="AK32" s="43" t="s">
        <v>131</v>
      </c>
      <c r="AL32" s="44"/>
      <c r="AP32" s="43" t="s">
        <v>131</v>
      </c>
      <c r="AQ32" s="44"/>
      <c r="AU32" s="43" t="s">
        <v>131</v>
      </c>
      <c r="AV32" s="44"/>
      <c r="AZ32" s="43" t="s">
        <v>131</v>
      </c>
      <c r="BA32" s="44"/>
      <c r="BE32" s="43" t="s">
        <v>131</v>
      </c>
      <c r="BF32" s="44"/>
      <c r="BJ32" s="43" t="s">
        <v>131</v>
      </c>
      <c r="BK32" s="44"/>
      <c r="BO32" s="43" t="s">
        <v>131</v>
      </c>
      <c r="BP32" s="44"/>
      <c r="BT32" s="43" t="s">
        <v>131</v>
      </c>
      <c r="BU32" s="44"/>
      <c r="BY32" s="43" t="s">
        <v>131</v>
      </c>
      <c r="BZ32" s="44"/>
    </row>
    <row r="33" spans="2:70">
      <c r="D33" s="13"/>
      <c r="E33" s="13"/>
    </row>
    <row r="34" spans="2:70" ht="15">
      <c r="B34" s="42" t="s">
        <v>132</v>
      </c>
      <c r="C34" s="84">
        <f>D7 + (0 - D29) * (E7 - D7) / (E29 - D29)</f>
        <v>104900.36596952232</v>
      </c>
    </row>
    <row r="35" spans="2:70" ht="14.25" customHeight="1">
      <c r="B35" s="43" t="s">
        <v>131</v>
      </c>
      <c r="C35" s="79">
        <f xml:space="preserve"> 12 + (C34 - C7) * (36 - 12) / (E7 - C7)</f>
        <v>25.176087832685354</v>
      </c>
      <c r="BC35" s="17"/>
    </row>
    <row r="37" spans="2:70">
      <c r="C37" s="78"/>
    </row>
    <row r="38" spans="2:70">
      <c r="D38" s="70"/>
      <c r="E38" s="70"/>
      <c r="F38" s="70"/>
      <c r="BR38" s="17"/>
    </row>
    <row r="39" spans="2:70">
      <c r="B39" s="5" t="s">
        <v>133</v>
      </c>
      <c r="D39" s="70"/>
      <c r="E39" s="70"/>
      <c r="F39" s="70"/>
    </row>
    <row r="40" spans="2:70" ht="15">
      <c r="B40" s="5" t="s">
        <v>134</v>
      </c>
      <c r="C40" s="79">
        <f>(D7 - C7) / (D28 - C28)</f>
        <v>1.0778731808551953E-2</v>
      </c>
      <c r="D40" s="70"/>
      <c r="E40" s="70"/>
      <c r="F40" s="70"/>
    </row>
    <row r="41" spans="2:70" ht="15">
      <c r="B41" s="5" t="s">
        <v>135</v>
      </c>
      <c r="C41" s="5">
        <f>(E7 - D7) / (E28 - D28)</f>
        <v>1.022753265100974E-2</v>
      </c>
      <c r="D41" s="79">
        <f>C41-C40</f>
        <v>-5.511991575422124E-4</v>
      </c>
    </row>
    <row r="42" spans="2:70" ht="15">
      <c r="B42" s="5" t="s">
        <v>136</v>
      </c>
      <c r="C42" s="79">
        <f>(F7 - E7) / (F28 - E28)</f>
        <v>9.7299649784579403E-3</v>
      </c>
      <c r="D42" s="5">
        <f>C42-C41</f>
        <v>-4.9756767255179982E-4</v>
      </c>
      <c r="E42" s="5">
        <f>D42-D41</f>
        <v>5.3631484990412578E-5</v>
      </c>
      <c r="F42" s="23"/>
    </row>
    <row r="43" spans="2:70">
      <c r="B43" s="5" t="s">
        <v>137</v>
      </c>
      <c r="C43" s="5">
        <f>(250000 - F7) / (F61 - F28)</f>
        <v>-4.1631325926169754E-3</v>
      </c>
      <c r="D43" s="5">
        <f>C43-C42</f>
        <v>-1.3893097571074917E-2</v>
      </c>
      <c r="E43" s="5">
        <f>D43-D42</f>
        <v>-1.3395529898523117E-2</v>
      </c>
      <c r="F43" s="23"/>
    </row>
    <row r="44" spans="2:70">
      <c r="C44" s="41"/>
      <c r="D44" s="41" t="s">
        <v>109</v>
      </c>
      <c r="F44" s="23"/>
    </row>
    <row r="45" spans="2:70" ht="15" customHeight="1">
      <c r="C45" s="41" t="s">
        <v>104</v>
      </c>
      <c r="D45" s="85"/>
    </row>
    <row r="46" spans="2:70">
      <c r="C46" s="41"/>
      <c r="D46" s="85"/>
      <c r="F46" s="23"/>
    </row>
    <row r="47" spans="2:70">
      <c r="D47" s="85"/>
      <c r="F47" s="23"/>
    </row>
    <row r="48" spans="2:70">
      <c r="D48" s="85"/>
      <c r="F48" s="23"/>
    </row>
    <row r="49" spans="4:6">
      <c r="D49" s="85"/>
      <c r="F49" s="23"/>
    </row>
    <row r="50" spans="4:6">
      <c r="D50" s="85"/>
      <c r="F50" s="60"/>
    </row>
    <row r="51" spans="4:6">
      <c r="D51" s="85"/>
    </row>
    <row r="52" spans="4:6">
      <c r="D52" s="85"/>
      <c r="F52" s="13"/>
    </row>
    <row r="53" spans="4:6">
      <c r="D53" s="85"/>
      <c r="F53" s="13"/>
    </row>
    <row r="54" spans="4:6">
      <c r="D54" s="85"/>
    </row>
    <row r="55" spans="4:6" ht="14.25" customHeight="1">
      <c r="D55" s="85"/>
    </row>
    <row r="56" spans="4:6">
      <c r="D56" s="85"/>
      <c r="F56" s="71"/>
    </row>
    <row r="57" spans="4:6">
      <c r="D57" s="85"/>
      <c r="F57" s="112"/>
    </row>
    <row r="58" spans="4:6">
      <c r="D58" s="85"/>
      <c r="F58" s="13"/>
    </row>
    <row r="59" spans="4:6">
      <c r="D59" s="85"/>
      <c r="F59" s="13"/>
    </row>
    <row r="60" spans="4:6">
      <c r="D60" s="85"/>
      <c r="F60" s="113"/>
    </row>
    <row r="61" spans="4:6">
      <c r="D61" s="85"/>
      <c r="F61" s="13"/>
    </row>
    <row r="62" spans="4:6">
      <c r="F62" s="13"/>
    </row>
  </sheetData>
  <mergeCells count="19">
    <mergeCell ref="BK6:BN6"/>
    <mergeCell ref="BP6:BS6"/>
    <mergeCell ref="BU6:BX6"/>
    <mergeCell ref="BZ6:CC6"/>
    <mergeCell ref="AL6:AO6"/>
    <mergeCell ref="AQ6:AT6"/>
    <mergeCell ref="AV6:AY6"/>
    <mergeCell ref="BA6:BD6"/>
    <mergeCell ref="BF6:BI6"/>
    <mergeCell ref="M6:P6"/>
    <mergeCell ref="R6:U6"/>
    <mergeCell ref="W6:Z6"/>
    <mergeCell ref="AB6:AE6"/>
    <mergeCell ref="AG6:AJ6"/>
    <mergeCell ref="C4:D4"/>
    <mergeCell ref="C5:D5"/>
    <mergeCell ref="C3:D3"/>
    <mergeCell ref="C6:F6"/>
    <mergeCell ref="H6:K6"/>
  </mergeCells>
  <phoneticPr fontId="9" type="noConversion"/>
  <dataValidations count="2">
    <dataValidation type="list" allowBlank="1" showInputMessage="1" showErrorMessage="1" sqref="C4" xr:uid="{00000000-0002-0000-0300-000000000000}">
      <formula1>$C$44:$C$45</formula1>
    </dataValidation>
    <dataValidation type="list" allowBlank="1" showInputMessage="1" showErrorMessage="1" sqref="C5" xr:uid="{00000000-0002-0000-0300-000001000000}">
      <formula1>$D$44:$D$47</formula1>
    </dataValidation>
  </dataValidations>
  <pageMargins left="0.3" right="0.3" top="0.5" bottom="0.5" header="0.1" footer="0.1"/>
  <pageSetup scale="74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 </Manager>
  <Company> 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 </dc:creator>
  <cp:keywords> </cp:keywords>
  <dc:description> </dc:description>
  <cp:lastModifiedBy/>
  <cp:revision/>
  <dcterms:created xsi:type="dcterms:W3CDTF">2010-05-04T15:33:14Z</dcterms:created>
  <dcterms:modified xsi:type="dcterms:W3CDTF">2023-05-24T14:59:37Z</dcterms:modified>
  <cp:category> </cp:category>
  <cp:contentStatus/>
</cp:coreProperties>
</file>