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DESC\ThermoPhase - 2024\Testes de Consistência\consistency_tests_2024-01\"/>
    </mc:Choice>
  </mc:AlternateContent>
  <xr:revisionPtr revIDLastSave="0" documentId="13_ncr:1_{C5A59FDE-F0D5-4745-B68C-EBB5F32D3004}" xr6:coauthVersionLast="45" xr6:coauthVersionMax="45" xr10:uidLastSave="{00000000-0000-0000-0000-000000000000}"/>
  <bookViews>
    <workbookView xWindow="1950" yWindow="1950" windowWidth="10245" windowHeight="8715" firstSheet="6" activeTab="7" xr2:uid="{67C29459-63CB-41CA-A6FD-9ED81C58BA0A}"/>
  </bookViews>
  <sheets>
    <sheet name="teacl_10_25_kazemi" sheetId="1" r:id="rId1"/>
    <sheet name="teabr_1_qasim" sheetId="2" r:id="rId2"/>
    <sheet name="teabr_5_qasim" sheetId="3" r:id="rId3"/>
    <sheet name="teabr_10_qasim" sheetId="4" r:id="rId4"/>
    <sheet name="teai_1_qasim" sheetId="5" r:id="rId5"/>
    <sheet name="teai_5_qasim" sheetId="6" r:id="rId6"/>
    <sheet name="teai_10_nashed" sheetId="7" r:id="rId7"/>
    <sheet name="teai_10_qasim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6" i="8" l="1"/>
  <c r="P6" i="8"/>
  <c r="O6" i="8"/>
  <c r="K6" i="8"/>
  <c r="J6" i="8"/>
  <c r="I6" i="8"/>
  <c r="Q5" i="8"/>
  <c r="P5" i="8"/>
  <c r="O5" i="8"/>
  <c r="K5" i="8"/>
  <c r="J5" i="8"/>
  <c r="I5" i="8"/>
  <c r="Q4" i="8"/>
  <c r="P4" i="8"/>
  <c r="O4" i="8"/>
  <c r="K4" i="8"/>
  <c r="J4" i="8"/>
  <c r="I4" i="8"/>
  <c r="Q3" i="8"/>
  <c r="P3" i="8"/>
  <c r="O3" i="8"/>
  <c r="K3" i="8"/>
  <c r="J3" i="8"/>
  <c r="I3" i="8"/>
  <c r="S2" i="8"/>
  <c r="Q2" i="8"/>
  <c r="P2" i="8"/>
  <c r="R2" i="8" s="1"/>
  <c r="O2" i="8"/>
  <c r="K2" i="8"/>
  <c r="L2" i="8" s="1"/>
  <c r="J2" i="8"/>
  <c r="I2" i="8"/>
  <c r="Q5" i="7"/>
  <c r="P5" i="7"/>
  <c r="O5" i="7"/>
  <c r="K5" i="7"/>
  <c r="J5" i="7"/>
  <c r="I5" i="7"/>
  <c r="C5" i="7"/>
  <c r="Q4" i="7"/>
  <c r="P4" i="7"/>
  <c r="O4" i="7"/>
  <c r="K4" i="7"/>
  <c r="J4" i="7"/>
  <c r="I4" i="7"/>
  <c r="C4" i="7"/>
  <c r="Q3" i="7"/>
  <c r="P3" i="7"/>
  <c r="O3" i="7"/>
  <c r="K3" i="7"/>
  <c r="J3" i="7"/>
  <c r="I3" i="7"/>
  <c r="C3" i="7"/>
  <c r="S2" i="7"/>
  <c r="T2" i="7" s="1"/>
  <c r="R2" i="7"/>
  <c r="Q2" i="7"/>
  <c r="P2" i="7"/>
  <c r="O2" i="7"/>
  <c r="K2" i="7"/>
  <c r="M2" i="7" s="1"/>
  <c r="J2" i="7"/>
  <c r="I2" i="7"/>
  <c r="C2" i="7"/>
  <c r="P6" i="6"/>
  <c r="O6" i="6"/>
  <c r="N6" i="6"/>
  <c r="J6" i="6"/>
  <c r="I6" i="6"/>
  <c r="H6" i="6"/>
  <c r="F6" i="6"/>
  <c r="D6" i="6"/>
  <c r="B6" i="6"/>
  <c r="P5" i="6"/>
  <c r="O5" i="6"/>
  <c r="N5" i="6"/>
  <c r="J5" i="6"/>
  <c r="I5" i="6"/>
  <c r="H5" i="6"/>
  <c r="F5" i="6"/>
  <c r="D5" i="6"/>
  <c r="B5" i="6"/>
  <c r="P4" i="6"/>
  <c r="O4" i="6"/>
  <c r="Q2" i="6" s="1"/>
  <c r="N4" i="6"/>
  <c r="J4" i="6"/>
  <c r="I4" i="6"/>
  <c r="H4" i="6"/>
  <c r="F4" i="6"/>
  <c r="D4" i="6"/>
  <c r="B4" i="6"/>
  <c r="P3" i="6"/>
  <c r="O3" i="6"/>
  <c r="N3" i="6"/>
  <c r="J3" i="6"/>
  <c r="I3" i="6"/>
  <c r="H3" i="6"/>
  <c r="F3" i="6"/>
  <c r="D3" i="6"/>
  <c r="B3" i="6"/>
  <c r="P2" i="6"/>
  <c r="R2" i="6" s="1"/>
  <c r="O2" i="6"/>
  <c r="N2" i="6"/>
  <c r="L2" i="6"/>
  <c r="J2" i="6"/>
  <c r="K2" i="6" s="1"/>
  <c r="M2" i="6" s="1"/>
  <c r="I2" i="6"/>
  <c r="H2" i="6"/>
  <c r="F2" i="6"/>
  <c r="D2" i="6"/>
  <c r="B2" i="6"/>
  <c r="P6" i="5"/>
  <c r="O6" i="5"/>
  <c r="N6" i="5"/>
  <c r="J6" i="5"/>
  <c r="I6" i="5"/>
  <c r="H6" i="5"/>
  <c r="F6" i="5"/>
  <c r="D6" i="5"/>
  <c r="B6" i="5"/>
  <c r="P5" i="5"/>
  <c r="O5" i="5"/>
  <c r="N5" i="5"/>
  <c r="J5" i="5"/>
  <c r="I5" i="5"/>
  <c r="H5" i="5"/>
  <c r="F5" i="5"/>
  <c r="D5" i="5"/>
  <c r="B5" i="5"/>
  <c r="P4" i="5"/>
  <c r="O4" i="5"/>
  <c r="Q2" i="5" s="1"/>
  <c r="N4" i="5"/>
  <c r="J4" i="5"/>
  <c r="I4" i="5"/>
  <c r="H4" i="5"/>
  <c r="F4" i="5"/>
  <c r="D4" i="5"/>
  <c r="B4" i="5"/>
  <c r="P3" i="5"/>
  <c r="O3" i="5"/>
  <c r="N3" i="5"/>
  <c r="J3" i="5"/>
  <c r="I3" i="5"/>
  <c r="H3" i="5"/>
  <c r="F3" i="5"/>
  <c r="D3" i="5"/>
  <c r="B3" i="5"/>
  <c r="P2" i="5"/>
  <c r="O2" i="5"/>
  <c r="N2" i="5"/>
  <c r="R2" i="5" s="1"/>
  <c r="L2" i="5"/>
  <c r="J2" i="5"/>
  <c r="K2" i="5" s="1"/>
  <c r="M2" i="5" s="1"/>
  <c r="I2" i="5"/>
  <c r="H2" i="5"/>
  <c r="F2" i="5"/>
  <c r="D2" i="5"/>
  <c r="B2" i="5"/>
  <c r="Q6" i="4"/>
  <c r="P6" i="4"/>
  <c r="O6" i="4"/>
  <c r="K6" i="4"/>
  <c r="J6" i="4"/>
  <c r="I6" i="4"/>
  <c r="G6" i="4"/>
  <c r="C6" i="4"/>
  <c r="Q5" i="4"/>
  <c r="P5" i="4"/>
  <c r="O5" i="4"/>
  <c r="K5" i="4"/>
  <c r="J5" i="4"/>
  <c r="I5" i="4"/>
  <c r="C5" i="4"/>
  <c r="Q4" i="4"/>
  <c r="P4" i="4"/>
  <c r="O4" i="4"/>
  <c r="K4" i="4"/>
  <c r="J4" i="4"/>
  <c r="I4" i="4"/>
  <c r="C4" i="4"/>
  <c r="Q3" i="4"/>
  <c r="P3" i="4"/>
  <c r="O3" i="4"/>
  <c r="K3" i="4"/>
  <c r="J3" i="4"/>
  <c r="I3" i="4"/>
  <c r="C3" i="4"/>
  <c r="R2" i="4"/>
  <c r="Q2" i="4"/>
  <c r="P2" i="4"/>
  <c r="O2" i="4"/>
  <c r="S2" i="4" s="1"/>
  <c r="T2" i="4" s="1"/>
  <c r="K2" i="4"/>
  <c r="M2" i="4" s="1"/>
  <c r="J2" i="4"/>
  <c r="I2" i="4"/>
  <c r="C2" i="4"/>
  <c r="Q6" i="3"/>
  <c r="P6" i="3"/>
  <c r="O6" i="3"/>
  <c r="K6" i="3"/>
  <c r="J6" i="3"/>
  <c r="I6" i="3"/>
  <c r="G6" i="3"/>
  <c r="E6" i="3"/>
  <c r="C6" i="3"/>
  <c r="Q5" i="3"/>
  <c r="P5" i="3"/>
  <c r="O5" i="3"/>
  <c r="K5" i="3"/>
  <c r="J5" i="3"/>
  <c r="I5" i="3"/>
  <c r="G5" i="3"/>
  <c r="E5" i="3"/>
  <c r="C5" i="3"/>
  <c r="Q4" i="3"/>
  <c r="P4" i="3"/>
  <c r="O4" i="3"/>
  <c r="K4" i="3"/>
  <c r="J4" i="3"/>
  <c r="I4" i="3"/>
  <c r="G4" i="3"/>
  <c r="E4" i="3"/>
  <c r="C4" i="3"/>
  <c r="Q3" i="3"/>
  <c r="P3" i="3"/>
  <c r="O3" i="3"/>
  <c r="K3" i="3"/>
  <c r="J3" i="3"/>
  <c r="I3" i="3"/>
  <c r="G3" i="3"/>
  <c r="E3" i="3"/>
  <c r="C3" i="3"/>
  <c r="Q2" i="3"/>
  <c r="P2" i="3"/>
  <c r="O2" i="3"/>
  <c r="S2" i="3" s="1"/>
  <c r="M2" i="3"/>
  <c r="K2" i="3"/>
  <c r="L2" i="3" s="1"/>
  <c r="N2" i="3" s="1"/>
  <c r="J2" i="3"/>
  <c r="I2" i="3"/>
  <c r="G2" i="3"/>
  <c r="E2" i="3"/>
  <c r="C2" i="3"/>
  <c r="Q6" i="2"/>
  <c r="P6" i="2"/>
  <c r="O6" i="2"/>
  <c r="K6" i="2"/>
  <c r="J6" i="2"/>
  <c r="I6" i="2"/>
  <c r="G6" i="2"/>
  <c r="E6" i="2"/>
  <c r="C6" i="2"/>
  <c r="Q5" i="2"/>
  <c r="P5" i="2"/>
  <c r="O5" i="2"/>
  <c r="K5" i="2"/>
  <c r="J5" i="2"/>
  <c r="I5" i="2"/>
  <c r="G5" i="2"/>
  <c r="E5" i="2"/>
  <c r="C5" i="2"/>
  <c r="Q4" i="2"/>
  <c r="P4" i="2"/>
  <c r="O4" i="2"/>
  <c r="K4" i="2"/>
  <c r="J4" i="2"/>
  <c r="I4" i="2"/>
  <c r="G4" i="2"/>
  <c r="E4" i="2"/>
  <c r="C4" i="2"/>
  <c r="Q3" i="2"/>
  <c r="P3" i="2"/>
  <c r="O3" i="2"/>
  <c r="K3" i="2"/>
  <c r="J3" i="2"/>
  <c r="I3" i="2"/>
  <c r="G3" i="2"/>
  <c r="E3" i="2"/>
  <c r="C3" i="2"/>
  <c r="Q2" i="2"/>
  <c r="P2" i="2"/>
  <c r="O2" i="2"/>
  <c r="S2" i="2" s="1"/>
  <c r="K2" i="2"/>
  <c r="L2" i="2" s="1"/>
  <c r="J2" i="2"/>
  <c r="I2" i="2"/>
  <c r="G2" i="2"/>
  <c r="E2" i="2"/>
  <c r="C2" i="2"/>
  <c r="N2" i="8" l="1"/>
  <c r="T2" i="8"/>
  <c r="M2" i="8"/>
  <c r="L2" i="7"/>
  <c r="N2" i="7" s="1"/>
  <c r="S2" i="6"/>
  <c r="S2" i="5"/>
  <c r="L2" i="4"/>
  <c r="N2" i="4" s="1"/>
  <c r="R2" i="3"/>
  <c r="T2" i="3" s="1"/>
  <c r="N2" i="2"/>
  <c r="M2" i="2"/>
  <c r="R2" i="2"/>
  <c r="T2" i="2" s="1"/>
  <c r="Q11" i="1"/>
  <c r="P11" i="1"/>
  <c r="O11" i="1"/>
  <c r="K11" i="1"/>
  <c r="J11" i="1"/>
  <c r="I11" i="1"/>
  <c r="Q10" i="1"/>
  <c r="P10" i="1"/>
  <c r="O10" i="1"/>
  <c r="K10" i="1"/>
  <c r="J10" i="1"/>
  <c r="I10" i="1"/>
  <c r="Q9" i="1"/>
  <c r="P9" i="1"/>
  <c r="O9" i="1"/>
  <c r="K9" i="1"/>
  <c r="J9" i="1"/>
  <c r="I9" i="1"/>
  <c r="Q8" i="1"/>
  <c r="P8" i="1"/>
  <c r="O8" i="1"/>
  <c r="K8" i="1"/>
  <c r="J8" i="1"/>
  <c r="I8" i="1"/>
  <c r="Q7" i="1"/>
  <c r="P7" i="1"/>
  <c r="O7" i="1"/>
  <c r="K7" i="1"/>
  <c r="J7" i="1"/>
  <c r="I7" i="1"/>
  <c r="Q6" i="1"/>
  <c r="P6" i="1"/>
  <c r="O6" i="1"/>
  <c r="K6" i="1"/>
  <c r="J6" i="1"/>
  <c r="I6" i="1"/>
  <c r="Q5" i="1"/>
  <c r="P5" i="1"/>
  <c r="O5" i="1"/>
  <c r="K5" i="1"/>
  <c r="J5" i="1"/>
  <c r="I5" i="1"/>
  <c r="Q4" i="1"/>
  <c r="P4" i="1"/>
  <c r="O4" i="1"/>
  <c r="K4" i="1"/>
  <c r="J4" i="1"/>
  <c r="I4" i="1"/>
  <c r="Q3" i="1"/>
  <c r="P3" i="1"/>
  <c r="O3" i="1"/>
  <c r="K3" i="1"/>
  <c r="J3" i="1"/>
  <c r="I3" i="1"/>
  <c r="S2" i="1"/>
  <c r="Q2" i="1"/>
  <c r="P2" i="1"/>
  <c r="O2" i="1"/>
  <c r="R2" i="1" s="1"/>
  <c r="K2" i="1"/>
  <c r="M2" i="1" s="1"/>
  <c r="J2" i="1"/>
  <c r="I2" i="1"/>
  <c r="T2" i="1" l="1"/>
  <c r="L2" i="1"/>
  <c r="N2" i="1" s="1"/>
</calcChain>
</file>

<file path=xl/sharedStrings.xml><?xml version="1.0" encoding="utf-8"?>
<sst xmlns="http://schemas.openxmlformats.org/spreadsheetml/2006/main" count="172" uniqueCount="31">
  <si>
    <t xml:space="preserve">Author </t>
  </si>
  <si>
    <t xml:space="preserve">System </t>
  </si>
  <si>
    <t>T [°C]</t>
  </si>
  <si>
    <t>T [K]</t>
  </si>
  <si>
    <t>P [bar]</t>
  </si>
  <si>
    <t>P[MPa]</t>
  </si>
  <si>
    <t>P[Pa]</t>
  </si>
  <si>
    <t>T0 [K]</t>
  </si>
  <si>
    <t>f</t>
  </si>
  <si>
    <t>DT</t>
  </si>
  <si>
    <t>DT/T0T</t>
  </si>
  <si>
    <t>Sdev</t>
  </si>
  <si>
    <t>Average</t>
  </si>
  <si>
    <t>Error1</t>
  </si>
  <si>
    <t>ln(P)</t>
  </si>
  <si>
    <t>1/T</t>
  </si>
  <si>
    <t>1/T0</t>
  </si>
  <si>
    <t>Slope</t>
  </si>
  <si>
    <t>Slope0</t>
  </si>
  <si>
    <t>Error2</t>
  </si>
  <si>
    <t>KAZEMI et al. 2019 [5]</t>
  </si>
  <si>
    <t>[TEA][Cl] 10-25 wt%</t>
  </si>
  <si>
    <t>QASIM et al. [36]</t>
  </si>
  <si>
    <t xml:space="preserve"> [TEA][Br] 1 wt% </t>
  </si>
  <si>
    <t xml:space="preserve"> [TEA][Br] 5 wt% </t>
  </si>
  <si>
    <t xml:space="preserve"> [TEA][Br] 10 wt% </t>
  </si>
  <si>
    <t xml:space="preserve"> [TEA][I] 1 wt% </t>
  </si>
  <si>
    <t xml:space="preserve"> [TEA][I] 5 wt% </t>
  </si>
  <si>
    <t>[TEA][I] 10 wt%</t>
  </si>
  <si>
    <t>NASHED et al. [26]</t>
  </si>
  <si>
    <t xml:space="preserve"> [TEA][I] 10 wt%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</si>
</sst>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 Light"/>
      <family val="2"/>
      <scheme val="major"/>
    </font>
    <font>
      <sz val="11"/>
      <color rgb="FF000000"/>
      <name val="Calibri"/>
      <family val="2"/>
    </font>
    <font>
      <sz val="11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/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A96F-754C-4072-8DBA-29E246D0659F}">
  <dimension ref="A1:T11"/>
  <sheetViews>
    <sheetView workbookViewId="0">
      <selection activeCell="E7" sqref="E7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7" t="s">
        <v>20</v>
      </c>
      <c r="B2" s="7" t="s">
        <v>21</v>
      </c>
      <c r="C2" s="3">
        <v>1.45</v>
      </c>
      <c r="D2" s="4">
        <v>274.60000000000002</v>
      </c>
      <c r="E2" s="3">
        <v>31.8</v>
      </c>
      <c r="F2" s="4">
        <v>3.18</v>
      </c>
      <c r="G2" s="4">
        <v>3180000</v>
      </c>
      <c r="H2" s="4">
        <v>274.96947387012835</v>
      </c>
      <c r="I2" s="5">
        <f t="shared" ref="I2:I11" si="0">F2-10^(-4646.471 +5314653/H2 -2271392000/H2^2 +430306500000/H2^3 -30511740000000/H2^4)</f>
        <v>3.3423548373434642E-9</v>
      </c>
      <c r="J2" s="5">
        <f t="shared" ref="J2:J11" si="1">H2-D2</f>
        <v>0.36947387012833133</v>
      </c>
      <c r="K2">
        <f t="shared" ref="K2:K11" si="2">(H2-D2)/(H2*D2)</f>
        <v>4.8932647526858869E-6</v>
      </c>
      <c r="L2">
        <f>_xlfn.STDEV.S(K2:K11)</f>
        <v>1.1312699441319551E-6</v>
      </c>
      <c r="M2">
        <f>AVERAGE(K2:K11)</f>
        <v>6.0421850689813444E-6</v>
      </c>
      <c r="N2">
        <f t="shared" ref="N2" si="3">100*L2/M2</f>
        <v>18.72286153463811</v>
      </c>
      <c r="O2" s="6">
        <f t="shared" ref="O2:O11" si="4">LN(F2)</f>
        <v>1.1568811967920856</v>
      </c>
      <c r="P2" s="6">
        <f t="shared" ref="P2:P11" si="5">1/D2</f>
        <v>3.6416605972323375E-3</v>
      </c>
      <c r="Q2" s="6">
        <f t="shared" ref="Q2:Q11" si="6">1/H2</f>
        <v>3.6367673324796518E-3</v>
      </c>
      <c r="R2">
        <f>SLOPE(O2:O11,P2:P11)</f>
        <v>-8075.3896415788195</v>
      </c>
      <c r="S2">
        <f>SLOPE(O2:O11,Q2:Q11)</f>
        <v>-7948.8078545612452</v>
      </c>
      <c r="T2">
        <f t="shared" ref="T2" si="7">100*ABS(S2-R2)/ABS(S2)</f>
        <v>1.5924625344282051</v>
      </c>
    </row>
    <row r="3" spans="1:20" x14ac:dyDescent="0.25">
      <c r="A3" s="8"/>
      <c r="B3" s="8"/>
      <c r="C3" s="3">
        <v>2.35</v>
      </c>
      <c r="D3" s="4">
        <v>275.5</v>
      </c>
      <c r="E3" s="3">
        <v>34.4</v>
      </c>
      <c r="F3" s="4">
        <v>3.44</v>
      </c>
      <c r="G3" s="4">
        <v>3440000</v>
      </c>
      <c r="H3" s="4">
        <v>275.80487857477232</v>
      </c>
      <c r="I3" s="5">
        <f t="shared" si="0"/>
        <v>2.9232318787819622E-9</v>
      </c>
      <c r="J3" s="5">
        <f t="shared" si="1"/>
        <v>0.30487857477231728</v>
      </c>
      <c r="K3">
        <f t="shared" si="2"/>
        <v>4.0123920240929345E-6</v>
      </c>
      <c r="O3" s="6">
        <f t="shared" si="4"/>
        <v>1.235471471385307</v>
      </c>
      <c r="P3" s="6">
        <f t="shared" si="5"/>
        <v>3.629764065335753E-3</v>
      </c>
      <c r="Q3" s="6">
        <f t="shared" si="6"/>
        <v>3.6257516733116603E-3</v>
      </c>
    </row>
    <row r="4" spans="1:20" x14ac:dyDescent="0.25">
      <c r="A4" s="8"/>
      <c r="B4" s="8"/>
      <c r="C4" s="3">
        <v>4.3499999999999996</v>
      </c>
      <c r="D4" s="4">
        <v>277.5</v>
      </c>
      <c r="E4" s="3">
        <v>42.2</v>
      </c>
      <c r="F4" s="4">
        <v>4.22</v>
      </c>
      <c r="G4" s="4">
        <v>4220000</v>
      </c>
      <c r="H4" s="4">
        <v>277.92920105241092</v>
      </c>
      <c r="I4" s="5">
        <f t="shared" si="0"/>
        <v>1.7186252421197423E-9</v>
      </c>
      <c r="J4" s="5">
        <f t="shared" si="1"/>
        <v>0.42920105241091733</v>
      </c>
      <c r="K4">
        <f t="shared" si="2"/>
        <v>5.5649800498896658E-6</v>
      </c>
      <c r="O4" s="6">
        <f t="shared" si="4"/>
        <v>1.4398351280479205</v>
      </c>
      <c r="P4" s="6">
        <f t="shared" si="5"/>
        <v>3.6036036036036037E-3</v>
      </c>
      <c r="Q4" s="6">
        <f t="shared" si="6"/>
        <v>3.5980386235537139E-3</v>
      </c>
    </row>
    <row r="5" spans="1:20" x14ac:dyDescent="0.25">
      <c r="A5" s="8"/>
      <c r="B5" s="8"/>
      <c r="C5" s="3">
        <v>5.45</v>
      </c>
      <c r="D5" s="4">
        <v>278.60000000000002</v>
      </c>
      <c r="E5" s="3">
        <v>47.9</v>
      </c>
      <c r="F5" s="4">
        <v>4.79</v>
      </c>
      <c r="G5" s="4">
        <v>4790000</v>
      </c>
      <c r="H5" s="4">
        <v>279.20505452672217</v>
      </c>
      <c r="I5" s="5">
        <f t="shared" si="0"/>
        <v>1.2465424248375712E-9</v>
      </c>
      <c r="J5" s="5">
        <f t="shared" si="1"/>
        <v>0.60505452672214233</v>
      </c>
      <c r="K5">
        <f t="shared" si="2"/>
        <v>7.7783973753828185E-6</v>
      </c>
      <c r="O5" s="6">
        <f t="shared" si="4"/>
        <v>1.5665304114228238</v>
      </c>
      <c r="P5" s="6">
        <f t="shared" si="5"/>
        <v>3.5893754486719309E-3</v>
      </c>
      <c r="Q5" s="6">
        <f t="shared" si="6"/>
        <v>3.5815970512965479E-3</v>
      </c>
    </row>
    <row r="6" spans="1:20" x14ac:dyDescent="0.25">
      <c r="A6" s="8"/>
      <c r="B6" s="8"/>
      <c r="C6" s="3">
        <v>6.65</v>
      </c>
      <c r="D6" s="4">
        <v>279.8</v>
      </c>
      <c r="E6" s="3">
        <v>53.7</v>
      </c>
      <c r="F6" s="4">
        <v>5.37</v>
      </c>
      <c r="G6" s="4">
        <v>5370000</v>
      </c>
      <c r="H6" s="4">
        <v>280.3273638518487</v>
      </c>
      <c r="I6" s="5">
        <f t="shared" si="0"/>
        <v>8.9000540270944839E-10</v>
      </c>
      <c r="J6" s="5">
        <f t="shared" si="1"/>
        <v>0.5273638518486905</v>
      </c>
      <c r="K6">
        <f t="shared" si="2"/>
        <v>6.7235270210815733E-6</v>
      </c>
      <c r="O6" s="6">
        <f t="shared" si="4"/>
        <v>1.6808279085207734</v>
      </c>
      <c r="P6" s="6">
        <f t="shared" si="5"/>
        <v>3.5739814152966403E-3</v>
      </c>
      <c r="Q6" s="6">
        <f t="shared" si="6"/>
        <v>3.5672578882755589E-3</v>
      </c>
    </row>
    <row r="7" spans="1:20" x14ac:dyDescent="0.25">
      <c r="A7" s="8"/>
      <c r="B7" s="8"/>
      <c r="C7" s="3">
        <v>7.75</v>
      </c>
      <c r="D7" s="4">
        <v>280.89999999999998</v>
      </c>
      <c r="E7" s="3">
        <v>60</v>
      </c>
      <c r="F7" s="3">
        <v>6</v>
      </c>
      <c r="G7" s="4">
        <v>6000000</v>
      </c>
      <c r="H7" s="4">
        <v>281.39088397389725</v>
      </c>
      <c r="I7" s="5">
        <f t="shared" si="0"/>
        <v>6.3139360406694323E-10</v>
      </c>
      <c r="J7" s="5">
        <f t="shared" si="1"/>
        <v>0.49088397389726879</v>
      </c>
      <c r="K7">
        <f t="shared" si="2"/>
        <v>6.2103645016323869E-6</v>
      </c>
      <c r="O7" s="6">
        <f t="shared" si="4"/>
        <v>1.791759469228055</v>
      </c>
      <c r="P7" s="6">
        <f t="shared" si="5"/>
        <v>3.55998576005696E-3</v>
      </c>
      <c r="Q7" s="6">
        <f t="shared" si="6"/>
        <v>3.5537753955553275E-3</v>
      </c>
    </row>
    <row r="8" spans="1:20" x14ac:dyDescent="0.25">
      <c r="A8" s="8"/>
      <c r="B8" s="8"/>
      <c r="C8" s="3">
        <v>8.5500000000000007</v>
      </c>
      <c r="D8" s="4">
        <v>281.7</v>
      </c>
      <c r="E8" s="3">
        <v>65.400000000000006</v>
      </c>
      <c r="F8" s="4">
        <v>6.54</v>
      </c>
      <c r="G8" s="4">
        <v>6540000</v>
      </c>
      <c r="H8" s="4">
        <v>282.20021686647647</v>
      </c>
      <c r="I8" s="5">
        <f t="shared" si="0"/>
        <v>3.9581316002568201E-10</v>
      </c>
      <c r="J8" s="5">
        <f t="shared" si="1"/>
        <v>0.50021686647647812</v>
      </c>
      <c r="K8">
        <f t="shared" si="2"/>
        <v>6.2923683969430079E-6</v>
      </c>
      <c r="O8" s="6">
        <f t="shared" si="4"/>
        <v>1.8779371654691073</v>
      </c>
      <c r="P8" s="6">
        <f t="shared" si="5"/>
        <v>3.549875754348598E-3</v>
      </c>
      <c r="Q8" s="6">
        <f t="shared" si="6"/>
        <v>3.5435833859516551E-3</v>
      </c>
    </row>
    <row r="9" spans="1:20" x14ac:dyDescent="0.25">
      <c r="A9" s="8"/>
      <c r="B9" s="8"/>
      <c r="C9" s="3">
        <v>9.5500000000000007</v>
      </c>
      <c r="D9" s="4">
        <v>282.7</v>
      </c>
      <c r="E9" s="3">
        <v>72.2</v>
      </c>
      <c r="F9" s="4">
        <v>7.22</v>
      </c>
      <c r="G9" s="4">
        <v>7220000</v>
      </c>
      <c r="H9" s="4">
        <v>283.11194636906356</v>
      </c>
      <c r="I9" s="5">
        <f t="shared" si="0"/>
        <v>3.3323210857361119E-10</v>
      </c>
      <c r="J9" s="5">
        <f t="shared" si="1"/>
        <v>0.41194636906357118</v>
      </c>
      <c r="K9">
        <f t="shared" si="2"/>
        <v>5.1470297120588902E-6</v>
      </c>
      <c r="O9" s="6">
        <f t="shared" si="4"/>
        <v>1.9768549529047348</v>
      </c>
      <c r="P9" s="6">
        <f t="shared" si="5"/>
        <v>3.5373187124159888E-3</v>
      </c>
      <c r="Q9" s="6">
        <f t="shared" si="6"/>
        <v>3.53217168270393E-3</v>
      </c>
    </row>
    <row r="10" spans="1:20" x14ac:dyDescent="0.25">
      <c r="A10" s="8"/>
      <c r="B10" s="8"/>
      <c r="C10" s="3">
        <v>9.9499999999999993</v>
      </c>
      <c r="D10" s="4">
        <v>283.10000000000002</v>
      </c>
      <c r="E10" s="3">
        <v>76.599999999999994</v>
      </c>
      <c r="F10" s="4">
        <v>7.66</v>
      </c>
      <c r="G10" s="4">
        <v>7660000</v>
      </c>
      <c r="H10" s="4">
        <v>283.64884678917895</v>
      </c>
      <c r="I10" s="5">
        <f t="shared" si="0"/>
        <v>1.7828583054324554E-10</v>
      </c>
      <c r="J10" s="5">
        <f t="shared" si="1"/>
        <v>0.54884678917892415</v>
      </c>
      <c r="K10">
        <f t="shared" si="2"/>
        <v>6.8348696479758075E-6</v>
      </c>
      <c r="O10" s="6">
        <f t="shared" si="4"/>
        <v>2.0360119837525001</v>
      </c>
      <c r="P10" s="6">
        <f t="shared" si="5"/>
        <v>3.5323207347227126E-3</v>
      </c>
      <c r="Q10" s="6">
        <f t="shared" si="6"/>
        <v>3.5254858650747367E-3</v>
      </c>
    </row>
    <row r="11" spans="1:20" x14ac:dyDescent="0.25">
      <c r="A11" s="8"/>
      <c r="B11" s="8"/>
      <c r="C11" s="3">
        <v>10.25</v>
      </c>
      <c r="D11" s="4">
        <v>283.39999999999998</v>
      </c>
      <c r="E11" s="3">
        <v>79.3</v>
      </c>
      <c r="F11" s="4">
        <v>7.93</v>
      </c>
      <c r="G11" s="4">
        <v>7930000</v>
      </c>
      <c r="H11" s="4">
        <v>283.96047660354412</v>
      </c>
      <c r="I11" s="5">
        <f t="shared" si="0"/>
        <v>1.9745982626773184E-10</v>
      </c>
      <c r="J11" s="5">
        <f t="shared" si="1"/>
        <v>0.56047660354414575</v>
      </c>
      <c r="K11">
        <f t="shared" si="2"/>
        <v>6.9646572080704742E-6</v>
      </c>
      <c r="O11" s="6">
        <f t="shared" si="4"/>
        <v>2.0706530356467567</v>
      </c>
      <c r="P11" s="6">
        <f t="shared" si="5"/>
        <v>3.5285815102328866E-3</v>
      </c>
      <c r="Q11" s="6">
        <f t="shared" si="6"/>
        <v>3.5216168530248161E-3</v>
      </c>
    </row>
  </sheetData>
  <mergeCells count="2">
    <mergeCell ref="A2:A11"/>
    <mergeCell ref="B2:B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7928-BC2E-4D2E-9D9E-CFBE36F77C96}">
  <dimension ref="A1:T6"/>
  <sheetViews>
    <sheetView workbookViewId="0">
      <selection activeCell="D7" sqref="D7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7" t="s">
        <v>22</v>
      </c>
      <c r="B2" s="7" t="s">
        <v>23</v>
      </c>
      <c r="C2" s="9">
        <f>D2-273.15</f>
        <v>2.75</v>
      </c>
      <c r="D2" s="1">
        <v>275.89999999999998</v>
      </c>
      <c r="E2" s="9">
        <f>F2*10</f>
        <v>35</v>
      </c>
      <c r="F2" s="9">
        <v>3.5</v>
      </c>
      <c r="G2" s="1">
        <f>F2*10^6</f>
        <v>3500000</v>
      </c>
      <c r="H2" s="1">
        <v>275.98747179067249</v>
      </c>
      <c r="I2" s="5">
        <f t="shared" ref="I2:I6" si="0">F2-10^(-4646.471 +5314653/H2 -2271392000/H2^2 +430306500000/H2^3 -30511740000000/H2^4)</f>
        <v>-1.8496315590255108E-11</v>
      </c>
      <c r="J2" s="5">
        <f t="shared" ref="J2:J6" si="1">H2-D2</f>
        <v>8.7471790672509542E-2</v>
      </c>
      <c r="K2">
        <f t="shared" ref="K2:K6" si="2">(H2-D2)/(H2*D2)</f>
        <v>1.1487537673511435E-6</v>
      </c>
      <c r="L2">
        <f>_xlfn.STDEV.S(K2:K6)</f>
        <v>1.2981634543067993E-6</v>
      </c>
      <c r="M2">
        <f>AVERAGE(K2:K6)</f>
        <v>9.6819079968689171E-7</v>
      </c>
      <c r="N2">
        <f>100*L2/M2</f>
        <v>134.08136647514303</v>
      </c>
      <c r="O2" s="6">
        <f t="shared" ref="O2:O6" si="3">LN(F2)</f>
        <v>1.2527629684953681</v>
      </c>
      <c r="P2" s="6">
        <f t="shared" ref="P2:P6" si="4">1/D2</f>
        <v>3.6245016310257343E-3</v>
      </c>
      <c r="Q2" s="6">
        <f t="shared" ref="Q2:Q6" si="5">1/H2</f>
        <v>3.6233528772583829E-3</v>
      </c>
      <c r="R2">
        <f>SLOPE(O2:O6,P2:P6)</f>
        <v>-7966.6024062867355</v>
      </c>
      <c r="S2">
        <f>SLOPE(O2:O6,Q2:Q6)</f>
        <v>-8068.9475745070549</v>
      </c>
      <c r="T2">
        <f t="shared" ref="T2" si="6">100*ABS(S2-R2)/ABS(S2)</f>
        <v>1.2683831103782068</v>
      </c>
    </row>
    <row r="3" spans="1:20" x14ac:dyDescent="0.25">
      <c r="A3" s="8"/>
      <c r="B3" s="8"/>
      <c r="C3" s="9">
        <f t="shared" ref="C3:C6" si="7">D3-273.15</f>
        <v>5.4500000000000455</v>
      </c>
      <c r="D3" s="1">
        <v>278.60000000000002</v>
      </c>
      <c r="E3" s="9">
        <f t="shared" ref="E3:E6" si="8">F3*10</f>
        <v>46</v>
      </c>
      <c r="F3" s="9">
        <v>4.5999999999999996</v>
      </c>
      <c r="G3" s="1">
        <f t="shared" ref="G3:G6" si="9">F3*10^6</f>
        <v>4600000</v>
      </c>
      <c r="H3" s="1">
        <v>278.80108720555177</v>
      </c>
      <c r="I3" s="5">
        <f t="shared" si="0"/>
        <v>-1.4453327423780138E-11</v>
      </c>
      <c r="J3" s="5">
        <f t="shared" si="1"/>
        <v>0.20108720555174386</v>
      </c>
      <c r="K3">
        <f t="shared" si="2"/>
        <v>2.588861779141235E-6</v>
      </c>
      <c r="O3" s="6">
        <f t="shared" si="3"/>
        <v>1.5260563034950492</v>
      </c>
      <c r="P3" s="6">
        <f t="shared" si="4"/>
        <v>3.5893754486719309E-3</v>
      </c>
      <c r="Q3" s="6">
        <f t="shared" si="5"/>
        <v>3.5867865868927894E-3</v>
      </c>
    </row>
    <row r="4" spans="1:20" x14ac:dyDescent="0.25">
      <c r="A4" s="8"/>
      <c r="B4" s="8"/>
      <c r="C4" s="9">
        <f t="shared" si="7"/>
        <v>9.0500000000000114</v>
      </c>
      <c r="D4" s="1">
        <v>282.2</v>
      </c>
      <c r="E4" s="9">
        <f t="shared" si="8"/>
        <v>65</v>
      </c>
      <c r="F4" s="9">
        <v>6.5</v>
      </c>
      <c r="G4" s="1">
        <f t="shared" si="9"/>
        <v>6500000</v>
      </c>
      <c r="H4" s="1">
        <v>282.14307294960298</v>
      </c>
      <c r="I4" s="5">
        <f t="shared" si="0"/>
        <v>3.240963053485757E-12</v>
      </c>
      <c r="J4" s="5">
        <f t="shared" si="1"/>
        <v>-5.6927050397007406E-2</v>
      </c>
      <c r="K4">
        <f t="shared" si="2"/>
        <v>-7.1497734433948161E-7</v>
      </c>
      <c r="O4" s="6">
        <f t="shared" si="3"/>
        <v>1.8718021769015913</v>
      </c>
      <c r="P4" s="6">
        <f t="shared" si="4"/>
        <v>3.5435861091424525E-3</v>
      </c>
      <c r="Q4" s="6">
        <f t="shared" si="5"/>
        <v>3.5443010864867918E-3</v>
      </c>
    </row>
    <row r="5" spans="1:20" x14ac:dyDescent="0.25">
      <c r="A5" s="8"/>
      <c r="B5" s="8"/>
      <c r="C5" s="9">
        <f t="shared" si="7"/>
        <v>10.050000000000011</v>
      </c>
      <c r="D5" s="1">
        <v>283.2</v>
      </c>
      <c r="E5" s="9">
        <f t="shared" si="8"/>
        <v>74</v>
      </c>
      <c r="F5" s="9">
        <v>7.4</v>
      </c>
      <c r="G5" s="1">
        <f t="shared" si="9"/>
        <v>7400000</v>
      </c>
      <c r="H5" s="1">
        <v>283.33617681645228</v>
      </c>
      <c r="I5" s="5">
        <f t="shared" si="0"/>
        <v>-4.7461590213515592E-11</v>
      </c>
      <c r="J5" s="5">
        <f t="shared" si="1"/>
        <v>0.1361768164522914</v>
      </c>
      <c r="K5">
        <f t="shared" si="2"/>
        <v>1.697101817293258E-6</v>
      </c>
      <c r="O5" s="6">
        <f t="shared" si="3"/>
        <v>2.0014800002101243</v>
      </c>
      <c r="P5" s="6">
        <f t="shared" si="4"/>
        <v>3.5310734463276836E-3</v>
      </c>
      <c r="Q5" s="6">
        <f t="shared" si="5"/>
        <v>3.5293763445103906E-3</v>
      </c>
    </row>
    <row r="6" spans="1:20" x14ac:dyDescent="0.25">
      <c r="A6" s="8"/>
      <c r="B6" s="8"/>
      <c r="C6" s="9">
        <f t="shared" si="7"/>
        <v>11.100000000000023</v>
      </c>
      <c r="D6" s="1">
        <v>284.25</v>
      </c>
      <c r="E6" s="9">
        <f t="shared" si="8"/>
        <v>82</v>
      </c>
      <c r="F6" s="9">
        <v>8.1999999999999993</v>
      </c>
      <c r="G6" s="1">
        <f t="shared" si="9"/>
        <v>8199999.9999999991</v>
      </c>
      <c r="H6" s="1">
        <v>284.25979419210978</v>
      </c>
      <c r="I6" s="5">
        <f t="shared" si="0"/>
        <v>1.3184120462028659E-10</v>
      </c>
      <c r="J6" s="5">
        <f t="shared" si="1"/>
        <v>9.7941921097799423E-3</v>
      </c>
      <c r="K6">
        <f t="shared" si="2"/>
        <v>1.2121397898830379E-7</v>
      </c>
      <c r="O6" s="6">
        <f t="shared" si="3"/>
        <v>2.1041341542702074</v>
      </c>
      <c r="P6" s="6">
        <f t="shared" si="4"/>
        <v>3.5180299032541778E-3</v>
      </c>
      <c r="Q6" s="6">
        <f t="shared" si="5"/>
        <v>3.5179086892751892E-3</v>
      </c>
    </row>
  </sheetData>
  <mergeCells count="2">
    <mergeCell ref="A2:A6"/>
    <mergeCell ref="B2:B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2FC6-5241-4009-AFE5-BD568B6DBB40}">
  <dimension ref="A1:T6"/>
  <sheetViews>
    <sheetView workbookViewId="0">
      <selection activeCell="D13" sqref="D1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7" t="s">
        <v>22</v>
      </c>
      <c r="B2" s="7" t="s">
        <v>24</v>
      </c>
      <c r="C2" s="9">
        <f t="shared" ref="C2:C6" si="0">D2-273.15</f>
        <v>2.5</v>
      </c>
      <c r="D2" s="1">
        <v>275.64999999999998</v>
      </c>
      <c r="E2" s="9">
        <f t="shared" ref="E2:E6" si="1">F2*10</f>
        <v>35</v>
      </c>
      <c r="F2" s="9">
        <v>3.5</v>
      </c>
      <c r="G2" s="1">
        <f t="shared" ref="G2:G6" si="2">F2*10^6</f>
        <v>3500000</v>
      </c>
      <c r="H2" s="1">
        <v>275.98747179061019</v>
      </c>
      <c r="I2" s="5">
        <f t="shared" ref="I2:I6" si="3">F2-10^(-4646.471 +5314653/H2 -2271392000/H2^2 +430306500000/H2^3 -30511740000000/H2^4)</f>
        <v>-1.8496315590255108E-11</v>
      </c>
      <c r="J2" s="5">
        <f t="shared" ref="J2:J6" si="4">H2-D2</f>
        <v>0.33747179061020915</v>
      </c>
      <c r="K2">
        <f t="shared" ref="K2:K6" si="5">(H2-D2)/(H2*D2)</f>
        <v>4.4359854289908071E-6</v>
      </c>
      <c r="L2">
        <f>_xlfn.STDEV.S(K2:K6)</f>
        <v>1.5285229825523811E-6</v>
      </c>
      <c r="M2">
        <f>AVERAGE(K2:K6)</f>
        <v>3.5145720464400402E-6</v>
      </c>
      <c r="N2">
        <f t="shared" ref="N2" si="6">100*L2/M2</f>
        <v>43.491012912956037</v>
      </c>
      <c r="O2" s="6">
        <f t="shared" ref="O2:O6" si="7">LN(F2)</f>
        <v>1.2527629684953681</v>
      </c>
      <c r="P2" s="6">
        <f t="shared" ref="P2:P6" si="8">1/D2</f>
        <v>3.627788862688192E-3</v>
      </c>
      <c r="Q2" s="6">
        <f t="shared" ref="Q2:Q6" si="9">1/H2</f>
        <v>3.6233528772592009E-3</v>
      </c>
      <c r="R2">
        <f>SLOPE(O2:O6,P2:P6)</f>
        <v>-7886.8931164537116</v>
      </c>
      <c r="S2">
        <f>SLOPE(O2:O6,Q2:Q6)</f>
        <v>-8068.947574446157</v>
      </c>
      <c r="T2">
        <f t="shared" ref="T2" si="10">100*ABS(S2-R2)/ABS(S2)</f>
        <v>2.2562354794446828</v>
      </c>
    </row>
    <row r="3" spans="1:20" x14ac:dyDescent="0.25">
      <c r="A3" s="8"/>
      <c r="B3" s="8"/>
      <c r="C3" s="9">
        <f t="shared" si="0"/>
        <v>5.25</v>
      </c>
      <c r="D3" s="1">
        <v>278.39999999999998</v>
      </c>
      <c r="E3" s="9">
        <f t="shared" si="1"/>
        <v>46</v>
      </c>
      <c r="F3" s="9">
        <v>4.5999999999999996</v>
      </c>
      <c r="G3" s="1">
        <f t="shared" si="2"/>
        <v>4600000</v>
      </c>
      <c r="H3" s="1">
        <v>278.80108720563538</v>
      </c>
      <c r="I3" s="5">
        <f t="shared" si="3"/>
        <v>-3.3720581882334955E-11</v>
      </c>
      <c r="J3" s="5">
        <f t="shared" si="4"/>
        <v>0.40108720563540601</v>
      </c>
      <c r="K3">
        <f t="shared" si="5"/>
        <v>5.1674360967922159E-6</v>
      </c>
      <c r="O3" s="6">
        <f t="shared" si="7"/>
        <v>1.5260563034950492</v>
      </c>
      <c r="P3" s="6">
        <f t="shared" si="8"/>
        <v>3.5919540229885061E-3</v>
      </c>
      <c r="Q3" s="6">
        <f t="shared" si="9"/>
        <v>3.5867865868917138E-3</v>
      </c>
    </row>
    <row r="4" spans="1:20" x14ac:dyDescent="0.25">
      <c r="A4" s="8"/>
      <c r="B4" s="8"/>
      <c r="C4" s="9">
        <f t="shared" si="0"/>
        <v>8.8500000000000227</v>
      </c>
      <c r="D4" s="1">
        <v>282</v>
      </c>
      <c r="E4" s="9">
        <f t="shared" si="1"/>
        <v>65</v>
      </c>
      <c r="F4" s="9">
        <v>6.5</v>
      </c>
      <c r="G4" s="1">
        <f t="shared" si="2"/>
        <v>6500000</v>
      </c>
      <c r="H4" s="1">
        <v>282.14307294955125</v>
      </c>
      <c r="I4" s="5">
        <f t="shared" si="3"/>
        <v>1.6852297335390176E-11</v>
      </c>
      <c r="J4" s="5">
        <f t="shared" si="4"/>
        <v>0.14307294955125371</v>
      </c>
      <c r="K4">
        <f t="shared" si="5"/>
        <v>1.7982042927002535E-6</v>
      </c>
      <c r="O4" s="6">
        <f t="shared" si="7"/>
        <v>1.8718021769015913</v>
      </c>
      <c r="P4" s="6">
        <f t="shared" si="8"/>
        <v>3.5460992907801418E-3</v>
      </c>
      <c r="Q4" s="6">
        <f t="shared" si="9"/>
        <v>3.5443010864874415E-3</v>
      </c>
    </row>
    <row r="5" spans="1:20" x14ac:dyDescent="0.25">
      <c r="A5" s="8"/>
      <c r="B5" s="8"/>
      <c r="C5" s="9">
        <f t="shared" si="0"/>
        <v>9.8500000000000227</v>
      </c>
      <c r="D5" s="1">
        <v>283</v>
      </c>
      <c r="E5" s="9">
        <f t="shared" si="1"/>
        <v>74</v>
      </c>
      <c r="F5" s="9">
        <v>7.4</v>
      </c>
      <c r="G5" s="1">
        <f t="shared" si="2"/>
        <v>7400000</v>
      </c>
      <c r="H5" s="1">
        <v>283.33617681652862</v>
      </c>
      <c r="I5" s="5">
        <f t="shared" si="3"/>
        <v>-9.7077901273223688E-13</v>
      </c>
      <c r="J5" s="5">
        <f t="shared" si="4"/>
        <v>0.33617681652862075</v>
      </c>
      <c r="K5">
        <f t="shared" si="5"/>
        <v>4.1925600842000141E-6</v>
      </c>
      <c r="O5" s="6">
        <f t="shared" si="7"/>
        <v>2.0014800002101243</v>
      </c>
      <c r="P5" s="6">
        <f t="shared" si="8"/>
        <v>3.5335689045936395E-3</v>
      </c>
      <c r="Q5" s="6">
        <f t="shared" si="9"/>
        <v>3.5293763445094395E-3</v>
      </c>
    </row>
    <row r="6" spans="1:20" x14ac:dyDescent="0.25">
      <c r="A6" s="8"/>
      <c r="B6" s="8"/>
      <c r="C6" s="9">
        <f t="shared" si="0"/>
        <v>10.950000000000045</v>
      </c>
      <c r="D6" s="1">
        <v>284.10000000000002</v>
      </c>
      <c r="E6" s="9">
        <f t="shared" si="1"/>
        <v>82</v>
      </c>
      <c r="F6" s="9">
        <v>8.1999999999999993</v>
      </c>
      <c r="G6" s="1">
        <f t="shared" si="2"/>
        <v>8199999.9999999991</v>
      </c>
      <c r="H6" s="1">
        <v>284.25979419213741</v>
      </c>
      <c r="I6" s="5">
        <f t="shared" si="3"/>
        <v>-3.9882763758214423E-11</v>
      </c>
      <c r="J6" s="5">
        <f t="shared" si="4"/>
        <v>0.15979419213738311</v>
      </c>
      <c r="K6">
        <f t="shared" si="5"/>
        <v>1.9786743295169113E-6</v>
      </c>
      <c r="O6" s="6">
        <f t="shared" si="7"/>
        <v>2.1041341542702074</v>
      </c>
      <c r="P6" s="6">
        <f t="shared" si="8"/>
        <v>3.5198873636043643E-3</v>
      </c>
      <c r="Q6" s="6">
        <f t="shared" si="9"/>
        <v>3.5179086892748474E-3</v>
      </c>
    </row>
  </sheetData>
  <mergeCells count="2">
    <mergeCell ref="A2:A6"/>
    <mergeCell ref="B2:B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8203-F95B-4395-B0BD-6343788B63AA}">
  <dimension ref="A1:T6"/>
  <sheetViews>
    <sheetView workbookViewId="0">
      <selection activeCell="F10" sqref="F10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7" t="s">
        <v>22</v>
      </c>
      <c r="B2" s="7" t="s">
        <v>25</v>
      </c>
      <c r="C2" s="9">
        <f>D2-273.15</f>
        <v>1.9000000000000341</v>
      </c>
      <c r="D2" s="1">
        <v>275.05</v>
      </c>
      <c r="E2" s="9">
        <v>35</v>
      </c>
      <c r="F2" s="9">
        <v>3.5</v>
      </c>
      <c r="G2" s="1">
        <v>3500000</v>
      </c>
      <c r="H2" s="1">
        <v>275.98747179068999</v>
      </c>
      <c r="I2" s="5">
        <f t="shared" ref="I2:I6" si="0">F2-10^(-4646.471 +5314653/H2 -2271392000/H2^2 +430306500000/H2^3 -30511740000000/H2^4)</f>
        <v>-1.8496315590255108E-11</v>
      </c>
      <c r="J2" s="5">
        <f t="shared" ref="J2:J6" si="1">H2-D2</f>
        <v>0.93747179068998321</v>
      </c>
      <c r="K2">
        <f t="shared" ref="K2:K6" si="2">(H2-D2)/(H2*D2)</f>
        <v>1.234972226920525E-5</v>
      </c>
      <c r="L2">
        <f>_xlfn.STDEV.S(K2:K6)</f>
        <v>1.5569433668326303E-6</v>
      </c>
      <c r="M2">
        <f>AVERAGE(K2:K6)</f>
        <v>1.0131411069608364E-5</v>
      </c>
      <c r="N2">
        <f t="shared" ref="N2" si="3">100*L2/M2</f>
        <v>15.36748786655258</v>
      </c>
      <c r="O2" s="6">
        <f t="shared" ref="O2:O6" si="4">LN(F2)</f>
        <v>1.2527629684953681</v>
      </c>
      <c r="P2" s="6">
        <f t="shared" ref="P2:P6" si="5">1/D2</f>
        <v>3.6357025995273585E-3</v>
      </c>
      <c r="Q2" s="6">
        <f t="shared" ref="Q2:Q6" si="6">1/H2</f>
        <v>3.6233528772581531E-3</v>
      </c>
      <c r="R2">
        <f>SLOPE(O2:O6,P2:P6)</f>
        <v>-7858.1811920462251</v>
      </c>
      <c r="S2">
        <f>SLOPE(O2:O6,Q2:Q6)</f>
        <v>-8068.9475743194525</v>
      </c>
      <c r="T2">
        <f t="shared" ref="T2" si="7">100*ABS(S2-R2)/ABS(S2)</f>
        <v>2.6120678109747644</v>
      </c>
    </row>
    <row r="3" spans="1:20" x14ac:dyDescent="0.25">
      <c r="A3" s="8"/>
      <c r="B3" s="8"/>
      <c r="C3" s="9">
        <f t="shared" ref="C3:C6" si="8">D3-273.15</f>
        <v>4.8500000000000227</v>
      </c>
      <c r="D3" s="1">
        <v>278</v>
      </c>
      <c r="E3" s="9">
        <v>46</v>
      </c>
      <c r="F3" s="9">
        <v>4.5999999999999996</v>
      </c>
      <c r="G3" s="1">
        <v>4600000</v>
      </c>
      <c r="H3" s="1">
        <v>278.80108720550709</v>
      </c>
      <c r="I3" s="5">
        <f t="shared" si="0"/>
        <v>1.4446221996422537E-11</v>
      </c>
      <c r="J3" s="5">
        <f t="shared" si="1"/>
        <v>0.80108720550708767</v>
      </c>
      <c r="K3">
        <f t="shared" si="2"/>
        <v>1.0335715264909028E-5</v>
      </c>
      <c r="O3" s="6">
        <f t="shared" si="4"/>
        <v>1.5260563034950492</v>
      </c>
      <c r="P3" s="6">
        <f t="shared" si="5"/>
        <v>3.5971223021582736E-3</v>
      </c>
      <c r="Q3" s="6">
        <f t="shared" si="6"/>
        <v>3.5867865868933644E-3</v>
      </c>
    </row>
    <row r="4" spans="1:20" x14ac:dyDescent="0.25">
      <c r="A4" s="8"/>
      <c r="B4" s="8"/>
      <c r="C4" s="9">
        <f t="shared" si="8"/>
        <v>8.3500000000000227</v>
      </c>
      <c r="D4" s="1">
        <v>281.5</v>
      </c>
      <c r="E4" s="9">
        <v>65</v>
      </c>
      <c r="F4" s="9">
        <v>6.5</v>
      </c>
      <c r="G4" s="1">
        <v>6500000</v>
      </c>
      <c r="H4" s="1">
        <v>282.14307294964749</v>
      </c>
      <c r="I4" s="5">
        <f t="shared" si="0"/>
        <v>-1.0371259406838362E-11</v>
      </c>
      <c r="J4" s="5">
        <f t="shared" si="1"/>
        <v>0.64307294964748962</v>
      </c>
      <c r="K4">
        <f t="shared" si="2"/>
        <v>8.0967820750461951E-6</v>
      </c>
      <c r="O4" s="6">
        <f t="shared" si="4"/>
        <v>1.8718021769015913</v>
      </c>
      <c r="P4" s="6">
        <f t="shared" si="5"/>
        <v>3.552397868561279E-3</v>
      </c>
      <c r="Q4" s="6">
        <f t="shared" si="6"/>
        <v>3.5443010864862328E-3</v>
      </c>
    </row>
    <row r="5" spans="1:20" x14ac:dyDescent="0.25">
      <c r="A5" s="8"/>
      <c r="B5" s="8"/>
      <c r="C5" s="9">
        <f t="shared" si="8"/>
        <v>9.3500000000000227</v>
      </c>
      <c r="D5" s="1">
        <v>282.5</v>
      </c>
      <c r="E5" s="9">
        <v>74</v>
      </c>
      <c r="F5" s="9">
        <v>7.4</v>
      </c>
      <c r="G5" s="1">
        <v>7400000</v>
      </c>
      <c r="H5" s="1">
        <v>283.33617681664259</v>
      </c>
      <c r="I5" s="5">
        <f t="shared" si="0"/>
        <v>-1.404432126150823E-10</v>
      </c>
      <c r="J5" s="5">
        <f t="shared" si="1"/>
        <v>0.8361768166425918</v>
      </c>
      <c r="K5">
        <f t="shared" si="2"/>
        <v>1.0446664341537641E-5</v>
      </c>
      <c r="O5" s="6">
        <f t="shared" si="4"/>
        <v>2.0014800002101243</v>
      </c>
      <c r="P5" s="6">
        <f t="shared" si="5"/>
        <v>3.5398230088495575E-3</v>
      </c>
      <c r="Q5" s="6">
        <f t="shared" si="6"/>
        <v>3.5293763445080201E-3</v>
      </c>
    </row>
    <row r="6" spans="1:20" x14ac:dyDescent="0.25">
      <c r="A6" s="8"/>
      <c r="B6" s="8"/>
      <c r="C6" s="9">
        <f t="shared" si="8"/>
        <v>10.350000000000023</v>
      </c>
      <c r="D6" s="1">
        <v>283.5</v>
      </c>
      <c r="E6" s="9">
        <v>82</v>
      </c>
      <c r="F6" s="9">
        <v>8.1999999999999993</v>
      </c>
      <c r="G6" s="1">
        <f>F6*10^6</f>
        <v>8199999.9999999991</v>
      </c>
      <c r="H6" s="1">
        <v>284.25979419229878</v>
      </c>
      <c r="I6" s="5">
        <f t="shared" si="0"/>
        <v>-1.9443291421339381E-10</v>
      </c>
      <c r="J6" s="5">
        <f t="shared" si="1"/>
        <v>0.75979419229878431</v>
      </c>
      <c r="K6">
        <f t="shared" si="2"/>
        <v>9.4281713973437058E-6</v>
      </c>
      <c r="O6" s="6">
        <f t="shared" si="4"/>
        <v>2.1041341542702074</v>
      </c>
      <c r="P6" s="6">
        <f t="shared" si="5"/>
        <v>3.5273368606701938E-3</v>
      </c>
      <c r="Q6" s="6">
        <f t="shared" si="6"/>
        <v>3.5179086892728503E-3</v>
      </c>
    </row>
  </sheetData>
  <mergeCells count="2">
    <mergeCell ref="A2:A6"/>
    <mergeCell ref="B2:B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5F10-A547-4ADF-AA94-73DA885E8747}">
  <dimension ref="A1:S6"/>
  <sheetViews>
    <sheetView workbookViewId="0">
      <selection activeCell="E10" sqref="E10"/>
    </sheetView>
  </sheetViews>
  <sheetFormatPr defaultRowHeight="15" x14ac:dyDescent="0.25"/>
  <sheetData>
    <row r="1" spans="1:19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</row>
    <row r="2" spans="1:19" x14ac:dyDescent="0.25">
      <c r="A2" s="7" t="s">
        <v>26</v>
      </c>
      <c r="B2" s="9">
        <f t="shared" ref="B2:B6" si="0">C2-273.15</f>
        <v>2.8500000000000227</v>
      </c>
      <c r="C2" s="1">
        <v>276</v>
      </c>
      <c r="D2" s="9">
        <f>10*E2</f>
        <v>35</v>
      </c>
      <c r="E2" s="9">
        <v>3.5</v>
      </c>
      <c r="F2" s="1">
        <f t="shared" ref="F2:F6" si="1">E2*10^6</f>
        <v>3500000</v>
      </c>
      <c r="G2" s="1">
        <v>275.98747179055164</v>
      </c>
      <c r="H2" s="5">
        <f t="shared" ref="H2:H6" si="2">E2-10^(-4646.471 +5314653/G2 -2271392000/G2^2 +430306500000/G2^3 -30511740000000/G2^4)</f>
        <v>4.014077958913731E-11</v>
      </c>
      <c r="I2" s="5">
        <f t="shared" ref="I2:I6" si="3">G2-C2</f>
        <v>-1.2528209448362304E-2</v>
      </c>
      <c r="J2">
        <f t="shared" ref="J2:J6" si="4">(G2-C2)/(G2*C2)</f>
        <v>-1.6447146286825758E-7</v>
      </c>
      <c r="K2">
        <f>_xlfn.STDEV.S(J2:J6)</f>
        <v>1.3218022751126862E-6</v>
      </c>
      <c r="L2">
        <f>AVERAGE(J2:J6)</f>
        <v>-5.1491566024903149E-8</v>
      </c>
      <c r="M2">
        <f>100*ABS(K2/L2)</f>
        <v>2567.0267524460523</v>
      </c>
      <c r="N2" s="6">
        <f t="shared" ref="N2:N6" si="5">LN(E2)</f>
        <v>1.2527629684953681</v>
      </c>
      <c r="O2" s="6">
        <f t="shared" ref="O2:O6" si="6">1/C2</f>
        <v>3.6231884057971015E-3</v>
      </c>
      <c r="P2" s="6">
        <f t="shared" ref="P2:P6" si="7">1/G2</f>
        <v>3.6233528772599698E-3</v>
      </c>
      <c r="Q2">
        <f>SLOPE(N2:N6,O2:O6)</f>
        <v>-8017.137149594897</v>
      </c>
      <c r="R2">
        <f>SLOPE(N2:N6,P2:P6)</f>
        <v>-8068.9475744217234</v>
      </c>
      <c r="S2">
        <f t="shared" ref="S2" si="8">100*ABS(R2-Q2)/ABS(R2)</f>
        <v>0.6420964363563797</v>
      </c>
    </row>
    <row r="3" spans="1:19" x14ac:dyDescent="0.25">
      <c r="A3" s="8"/>
      <c r="B3" s="9">
        <f t="shared" si="0"/>
        <v>5.5500000000000114</v>
      </c>
      <c r="C3" s="1">
        <v>278.7</v>
      </c>
      <c r="D3" s="9">
        <f t="shared" ref="D3:D6" si="9">10*E3</f>
        <v>46</v>
      </c>
      <c r="E3" s="9">
        <v>4.5999999999999996</v>
      </c>
      <c r="F3" s="1">
        <f t="shared" si="1"/>
        <v>4600000</v>
      </c>
      <c r="G3" s="1">
        <v>278.80108720561282</v>
      </c>
      <c r="H3" s="5">
        <f t="shared" si="2"/>
        <v>-4.8210324621322798E-12</v>
      </c>
      <c r="I3" s="5">
        <f t="shared" si="3"/>
        <v>0.1010872056128278</v>
      </c>
      <c r="J3">
        <f t="shared" si="4"/>
        <v>1.3009624441998022E-6</v>
      </c>
      <c r="N3" s="6">
        <f t="shared" si="5"/>
        <v>1.5260563034950492</v>
      </c>
      <c r="O3" s="6">
        <f t="shared" si="6"/>
        <v>3.5880875493362039E-3</v>
      </c>
      <c r="P3" s="6">
        <f t="shared" si="7"/>
        <v>3.586786586892004E-3</v>
      </c>
    </row>
    <row r="4" spans="1:19" x14ac:dyDescent="0.25">
      <c r="A4" s="8"/>
      <c r="B4" s="9">
        <f t="shared" si="0"/>
        <v>9.1500000000000341</v>
      </c>
      <c r="C4" s="1">
        <v>282.3</v>
      </c>
      <c r="D4" s="9">
        <f t="shared" si="9"/>
        <v>65</v>
      </c>
      <c r="E4" s="9">
        <v>6.5</v>
      </c>
      <c r="F4" s="1">
        <f t="shared" si="1"/>
        <v>6500000</v>
      </c>
      <c r="G4" s="1">
        <v>282.14307294956831</v>
      </c>
      <c r="H4" s="5">
        <f t="shared" si="2"/>
        <v>1.6852297335390176E-11</v>
      </c>
      <c r="I4" s="5">
        <f t="shared" si="3"/>
        <v>-0.15692705043170463</v>
      </c>
      <c r="J4">
        <f t="shared" si="4"/>
        <v>-1.97023278549177E-6</v>
      </c>
      <c r="N4" s="6">
        <f t="shared" si="5"/>
        <v>1.8718021769015913</v>
      </c>
      <c r="O4" s="6">
        <f t="shared" si="6"/>
        <v>3.5423308537017354E-3</v>
      </c>
      <c r="P4" s="6">
        <f t="shared" si="7"/>
        <v>3.5443010864872272E-3</v>
      </c>
    </row>
    <row r="5" spans="1:19" x14ac:dyDescent="0.25">
      <c r="A5" s="8"/>
      <c r="B5" s="9">
        <f t="shared" si="0"/>
        <v>10.100000000000023</v>
      </c>
      <c r="C5" s="1">
        <v>283.25</v>
      </c>
      <c r="D5" s="9">
        <f t="shared" si="9"/>
        <v>74</v>
      </c>
      <c r="E5" s="9">
        <v>7.4</v>
      </c>
      <c r="F5" s="1">
        <f t="shared" si="1"/>
        <v>7400000</v>
      </c>
      <c r="G5" s="1">
        <v>283.33617681645541</v>
      </c>
      <c r="H5" s="5">
        <f t="shared" si="2"/>
        <v>7.6515682678746089E-11</v>
      </c>
      <c r="I5" s="5">
        <f t="shared" si="3"/>
        <v>8.6176816455406424E-2</v>
      </c>
      <c r="J5">
        <f t="shared" si="4"/>
        <v>1.073787881528409E-6</v>
      </c>
      <c r="N5" s="6">
        <f t="shared" si="5"/>
        <v>2.0014800002101243</v>
      </c>
      <c r="O5" s="6">
        <f t="shared" si="6"/>
        <v>3.5304501323918801E-3</v>
      </c>
      <c r="P5" s="6">
        <f t="shared" si="7"/>
        <v>3.5293763445103515E-3</v>
      </c>
    </row>
    <row r="6" spans="1:19" x14ac:dyDescent="0.25">
      <c r="A6" s="8"/>
      <c r="B6" s="9">
        <f t="shared" si="0"/>
        <v>11.150000000000034</v>
      </c>
      <c r="C6" s="1">
        <v>284.3</v>
      </c>
      <c r="D6" s="9">
        <f t="shared" si="9"/>
        <v>82</v>
      </c>
      <c r="E6" s="9">
        <v>8.1999999999999993</v>
      </c>
      <c r="F6" s="1">
        <f t="shared" si="1"/>
        <v>8199999.9999999991</v>
      </c>
      <c r="G6" s="1">
        <v>284.25979419212007</v>
      </c>
      <c r="H6" s="5">
        <f t="shared" si="2"/>
        <v>-5.5351279115711804E-12</v>
      </c>
      <c r="I6" s="5">
        <f t="shared" si="3"/>
        <v>-4.0205807879942768E-2</v>
      </c>
      <c r="J6">
        <f t="shared" si="4"/>
        <v>-4.9750390749269936E-7</v>
      </c>
      <c r="N6" s="6">
        <f t="shared" si="5"/>
        <v>2.1041341542702074</v>
      </c>
      <c r="O6" s="6">
        <f t="shared" si="6"/>
        <v>3.5174111853675692E-3</v>
      </c>
      <c r="P6" s="6">
        <f t="shared" si="7"/>
        <v>3.5179086892750621E-3</v>
      </c>
    </row>
  </sheetData>
  <mergeCells count="1">
    <mergeCell ref="A2:A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DCD3-D8DA-4155-AB04-EDB5B726CC29}">
  <dimension ref="A1:S6"/>
  <sheetViews>
    <sheetView workbookViewId="0">
      <selection activeCell="F12" sqref="F12"/>
    </sheetView>
  </sheetViews>
  <sheetFormatPr defaultRowHeight="15" x14ac:dyDescent="0.25"/>
  <sheetData>
    <row r="1" spans="1:19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</row>
    <row r="2" spans="1:19" x14ac:dyDescent="0.25">
      <c r="A2" s="7" t="s">
        <v>27</v>
      </c>
      <c r="B2" s="9">
        <f t="shared" ref="B2:B6" si="0">C2-273.15</f>
        <v>2.6500000000000341</v>
      </c>
      <c r="C2" s="1">
        <v>275.8</v>
      </c>
      <c r="D2" s="9">
        <f t="shared" ref="D2:D6" si="1">10*E2</f>
        <v>35</v>
      </c>
      <c r="E2" s="9">
        <v>3.5</v>
      </c>
      <c r="F2" s="1">
        <f t="shared" ref="F2:F6" si="2">E2*10^6</f>
        <v>3500000</v>
      </c>
      <c r="G2" s="1">
        <v>275.98747179067544</v>
      </c>
      <c r="H2" s="5">
        <f t="shared" ref="H2:H6" si="3">E2-10^(-4646.471 +5314653/G2 -2271392000/G2^2 +430306500000/G2^3 -30511740000000/G2^4)</f>
        <v>-1.8496315590255108E-11</v>
      </c>
      <c r="I2" s="5">
        <f t="shared" ref="I2:I6" si="4">G2-C2</f>
        <v>0.18747179067543129</v>
      </c>
      <c r="J2">
        <f t="shared" ref="J2:J6" si="5">(G2-C2)/(G2*C2)</f>
        <v>2.4629312985808486E-6</v>
      </c>
      <c r="K2">
        <f>_xlfn.STDEV.S(J2:J6)</f>
        <v>1.2111651139506739E-6</v>
      </c>
      <c r="L2">
        <f>AVERAGE(J2:J6)</f>
        <v>2.3110643410225242E-6</v>
      </c>
      <c r="M2">
        <f t="shared" ref="M2" si="6">100*K2/L2</f>
        <v>52.407243383574389</v>
      </c>
      <c r="N2" s="6">
        <f t="shared" ref="N2:N6" si="7">LN(E2)</f>
        <v>1.2527629684953681</v>
      </c>
      <c r="O2" s="6">
        <f t="shared" ref="O2:O6" si="8">1/C2</f>
        <v>3.6258158085569251E-3</v>
      </c>
      <c r="P2" s="6">
        <f t="shared" ref="P2:P6" si="9">1/G2</f>
        <v>3.6233528772583443E-3</v>
      </c>
      <c r="Q2">
        <f>SLOPE(N2:N6,O2:O6)</f>
        <v>-7979.683583677328</v>
      </c>
      <c r="R2">
        <f>SLOPE(N2:N6,P2:P6)</f>
        <v>-8068.947574528328</v>
      </c>
      <c r="S2">
        <f t="shared" ref="S2" si="10">100*ABS(R2-Q2)/ABS(R2)</f>
        <v>1.1062655944473399</v>
      </c>
    </row>
    <row r="3" spans="1:19" x14ac:dyDescent="0.25">
      <c r="A3" s="8"/>
      <c r="B3" s="9">
        <f t="shared" si="0"/>
        <v>5.3500000000000227</v>
      </c>
      <c r="C3" s="1">
        <v>278.5</v>
      </c>
      <c r="D3" s="9">
        <f t="shared" si="1"/>
        <v>46</v>
      </c>
      <c r="E3" s="9">
        <v>4.5999999999999996</v>
      </c>
      <c r="F3" s="1">
        <f t="shared" si="2"/>
        <v>4600000</v>
      </c>
      <c r="G3" s="1">
        <v>278.80108720566875</v>
      </c>
      <c r="H3" s="5">
        <f t="shared" si="3"/>
        <v>-3.3720581882334955E-11</v>
      </c>
      <c r="I3" s="5">
        <f t="shared" si="4"/>
        <v>0.30108720566875036</v>
      </c>
      <c r="J3">
        <f t="shared" si="5"/>
        <v>3.8776859992001843E-6</v>
      </c>
      <c r="N3" s="6">
        <f t="shared" si="7"/>
        <v>1.5260563034950492</v>
      </c>
      <c r="O3" s="6">
        <f t="shared" si="8"/>
        <v>3.5906642728904849E-3</v>
      </c>
      <c r="P3" s="6">
        <f t="shared" si="9"/>
        <v>3.5867865868912845E-3</v>
      </c>
    </row>
    <row r="4" spans="1:19" x14ac:dyDescent="0.25">
      <c r="A4" s="8"/>
      <c r="B4" s="9">
        <f t="shared" si="0"/>
        <v>8.9500000000000455</v>
      </c>
      <c r="C4" s="1">
        <v>282.10000000000002</v>
      </c>
      <c r="D4" s="9">
        <f t="shared" si="1"/>
        <v>65</v>
      </c>
      <c r="E4" s="9">
        <v>6.5</v>
      </c>
      <c r="F4" s="1">
        <f t="shared" si="2"/>
        <v>6500000</v>
      </c>
      <c r="G4" s="1">
        <v>282.14307294956262</v>
      </c>
      <c r="H4" s="5">
        <f t="shared" si="3"/>
        <v>7.1302075355106354E-11</v>
      </c>
      <c r="I4" s="5">
        <f t="shared" si="4"/>
        <v>4.3072949562599661E-2</v>
      </c>
      <c r="J4">
        <f t="shared" si="5"/>
        <v>5.4116803237481248E-7</v>
      </c>
      <c r="N4" s="6">
        <f t="shared" si="7"/>
        <v>1.8718021769015913</v>
      </c>
      <c r="O4" s="6">
        <f t="shared" si="8"/>
        <v>3.5448422545196734E-3</v>
      </c>
      <c r="P4" s="6">
        <f t="shared" si="9"/>
        <v>3.5443010864872988E-3</v>
      </c>
    </row>
    <row r="5" spans="1:19" x14ac:dyDescent="0.25">
      <c r="A5" s="8"/>
      <c r="B5" s="9">
        <f t="shared" si="0"/>
        <v>9.9700000000000273</v>
      </c>
      <c r="C5" s="1">
        <v>283.12</v>
      </c>
      <c r="D5" s="9">
        <f t="shared" si="1"/>
        <v>74</v>
      </c>
      <c r="E5" s="9">
        <v>7.4</v>
      </c>
      <c r="F5" s="1">
        <f t="shared" si="2"/>
        <v>7400000</v>
      </c>
      <c r="G5" s="1">
        <v>283.33617681643796</v>
      </c>
      <c r="H5" s="5">
        <f t="shared" si="3"/>
        <v>3.0022206942703633E-11</v>
      </c>
      <c r="I5" s="5">
        <f t="shared" si="4"/>
        <v>0.21617681643795095</v>
      </c>
      <c r="J5">
        <f t="shared" si="5"/>
        <v>2.6948620449551696E-6</v>
      </c>
      <c r="N5" s="6">
        <f t="shared" si="7"/>
        <v>2.0014800002101243</v>
      </c>
      <c r="O5" s="6">
        <f t="shared" si="8"/>
        <v>3.5320712065555239E-3</v>
      </c>
      <c r="P5" s="6">
        <f t="shared" si="9"/>
        <v>3.5293763445105688E-3</v>
      </c>
    </row>
    <row r="6" spans="1:19" x14ac:dyDescent="0.25">
      <c r="A6" s="8"/>
      <c r="B6" s="9">
        <f t="shared" si="0"/>
        <v>10.950000000000045</v>
      </c>
      <c r="C6" s="1">
        <v>284.10000000000002</v>
      </c>
      <c r="D6" s="9">
        <f t="shared" si="1"/>
        <v>82</v>
      </c>
      <c r="E6" s="9">
        <v>8.1999999999999993</v>
      </c>
      <c r="F6" s="1">
        <f t="shared" si="2"/>
        <v>8199999.9999999991</v>
      </c>
      <c r="G6" s="1">
        <v>284.25979419217657</v>
      </c>
      <c r="H6" s="5">
        <f t="shared" si="3"/>
        <v>-1.0856915366730391E-10</v>
      </c>
      <c r="I6" s="5">
        <f t="shared" si="4"/>
        <v>0.15979419217654822</v>
      </c>
      <c r="J6">
        <f t="shared" si="5"/>
        <v>1.9786743300016065E-6</v>
      </c>
      <c r="N6" s="6">
        <f t="shared" si="7"/>
        <v>2.1041341542702074</v>
      </c>
      <c r="O6" s="6">
        <f t="shared" si="8"/>
        <v>3.5198873636043643E-3</v>
      </c>
      <c r="P6" s="6">
        <f t="shared" si="9"/>
        <v>3.5179086892743626E-3</v>
      </c>
    </row>
  </sheetData>
  <mergeCells count="1">
    <mergeCell ref="A2:A6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BD84-4D0B-439D-837D-19C2D95870EC}">
  <dimension ref="A1:T5"/>
  <sheetViews>
    <sheetView workbookViewId="0">
      <selection activeCell="E13" sqref="E13"/>
    </sheetView>
  </sheetViews>
  <sheetFormatPr defaultRowHeight="15" x14ac:dyDescent="0.25"/>
  <cols>
    <col min="2" max="2" width="14" bestFit="1" customWidth="1"/>
  </cols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7" t="s">
        <v>29</v>
      </c>
      <c r="B2" s="7" t="s">
        <v>28</v>
      </c>
      <c r="C2" s="9">
        <f>D2-273.15</f>
        <v>6.2200000000000273</v>
      </c>
      <c r="D2" s="1">
        <v>279.37</v>
      </c>
      <c r="E2" s="9">
        <v>51</v>
      </c>
      <c r="F2" s="9">
        <v>5.0999999999999996</v>
      </c>
      <c r="G2" s="1">
        <v>5100000</v>
      </c>
      <c r="H2" s="1">
        <v>279.82419073259433</v>
      </c>
      <c r="I2" s="5">
        <f t="shared" ref="I2:I5" si="0">F2-10^(-4646.471 +5314653/H2 -2271392000/H2^2 +430306500000/H2^3 -30511740000000/H2^4)</f>
        <v>1.2740919430598296E-11</v>
      </c>
      <c r="J2" s="5">
        <f t="shared" ref="J2:J5" si="1">H2-D2</f>
        <v>0.45419073259432707</v>
      </c>
      <c r="K2">
        <f t="shared" ref="K2:K5" si="2">(H2-D2)/(H2*D2)</f>
        <v>5.8099613632996608E-6</v>
      </c>
      <c r="L2">
        <f>_xlfn.STDEV.S(K2:K5)</f>
        <v>1.4066273604415709E-6</v>
      </c>
      <c r="M2">
        <f t="shared" ref="M2" si="3">AVERAGE(K2:K5)</f>
        <v>3.937187636125564E-6</v>
      </c>
      <c r="N2">
        <f t="shared" ref="N2" si="4">100*L2/M2</f>
        <v>35.726703689077397</v>
      </c>
      <c r="O2" s="6">
        <f t="shared" ref="O2:O5" si="5">LN(F2)</f>
        <v>1.62924053973028</v>
      </c>
      <c r="P2" s="6">
        <f t="shared" ref="P2:P5" si="6">1/D2</f>
        <v>3.5794824068439701E-3</v>
      </c>
      <c r="Q2" s="6">
        <f t="shared" ref="Q2:Q5" si="7">1/H2</f>
        <v>3.5736724454806705E-3</v>
      </c>
      <c r="R2">
        <f>SLOPE(O2:O5,P2:P5)</f>
        <v>-8536.300918768562</v>
      </c>
      <c r="S2">
        <f>SLOPE(O2:O5,Q2:Q5)</f>
        <v>-8823.2348143704912</v>
      </c>
      <c r="T2">
        <f t="shared" ref="T2" si="8">100*ABS(S2-R2)/ABS(S2)</f>
        <v>3.2520260611742651</v>
      </c>
    </row>
    <row r="3" spans="1:20" x14ac:dyDescent="0.25">
      <c r="A3" s="8"/>
      <c r="B3" s="8"/>
      <c r="C3" s="9">
        <f t="shared" ref="C3:C5" si="9">D3-273.15</f>
        <v>9.4800000000000182</v>
      </c>
      <c r="D3" s="1">
        <v>282.63</v>
      </c>
      <c r="E3" s="9">
        <v>71</v>
      </c>
      <c r="F3" s="9">
        <v>7.1</v>
      </c>
      <c r="G3" s="1">
        <v>7100000</v>
      </c>
      <c r="H3" s="1">
        <v>282.95871911953571</v>
      </c>
      <c r="I3" s="5">
        <f t="shared" si="0"/>
        <v>-1.4567902439921454E-11</v>
      </c>
      <c r="J3" s="5">
        <f t="shared" si="1"/>
        <v>0.32871911953571953</v>
      </c>
      <c r="K3">
        <f t="shared" si="2"/>
        <v>4.11039563402171E-6</v>
      </c>
      <c r="O3" s="6">
        <f t="shared" si="5"/>
        <v>1.9600947840472698</v>
      </c>
      <c r="P3" s="6">
        <f t="shared" si="6"/>
        <v>3.5381948130064041E-3</v>
      </c>
      <c r="Q3" s="6">
        <f t="shared" si="7"/>
        <v>3.5340844173723826E-3</v>
      </c>
    </row>
    <row r="4" spans="1:20" x14ac:dyDescent="0.25">
      <c r="A4" s="8"/>
      <c r="B4" s="8"/>
      <c r="C4" s="9">
        <f t="shared" si="9"/>
        <v>12.29000000000002</v>
      </c>
      <c r="D4" s="1">
        <v>285.44</v>
      </c>
      <c r="E4" s="9">
        <v>96</v>
      </c>
      <c r="F4" s="9">
        <v>9.6</v>
      </c>
      <c r="G4" s="1">
        <v>9600000</v>
      </c>
      <c r="H4" s="1">
        <v>285.64574188155984</v>
      </c>
      <c r="I4" s="5">
        <f t="shared" si="0"/>
        <v>-1.8346213437325787E-10</v>
      </c>
      <c r="J4" s="5">
        <f t="shared" si="1"/>
        <v>0.2057418815598453</v>
      </c>
      <c r="K4">
        <f t="shared" si="2"/>
        <v>2.5233652625533906E-6</v>
      </c>
      <c r="O4" s="6">
        <f t="shared" si="5"/>
        <v>2.2617630984737906</v>
      </c>
      <c r="P4" s="6">
        <f t="shared" si="6"/>
        <v>3.5033632286995517E-3</v>
      </c>
      <c r="Q4" s="6">
        <f t="shared" si="7"/>
        <v>3.5008398634369981E-3</v>
      </c>
    </row>
    <row r="5" spans="1:20" x14ac:dyDescent="0.25">
      <c r="A5" s="8"/>
      <c r="B5" s="8"/>
      <c r="C5" s="9">
        <f t="shared" si="9"/>
        <v>13.470000000000027</v>
      </c>
      <c r="D5" s="1">
        <v>286.62</v>
      </c>
      <c r="E5" s="9">
        <v>111</v>
      </c>
      <c r="F5" s="9">
        <v>11.1</v>
      </c>
      <c r="G5" s="1">
        <v>11100000</v>
      </c>
      <c r="H5" s="1">
        <v>286.89176890245767</v>
      </c>
      <c r="I5" s="5">
        <f t="shared" si="0"/>
        <v>8.709477583579428E-12</v>
      </c>
      <c r="J5" s="5">
        <f t="shared" si="1"/>
        <v>0.27176890245766572</v>
      </c>
      <c r="K5">
        <f t="shared" si="2"/>
        <v>3.3050282846274945E-6</v>
      </c>
      <c r="O5" s="6">
        <f t="shared" si="5"/>
        <v>2.4069451083182885</v>
      </c>
      <c r="P5" s="6">
        <f t="shared" si="6"/>
        <v>3.4889400600097691E-3</v>
      </c>
      <c r="Q5" s="6">
        <f t="shared" si="7"/>
        <v>3.4856350317251416E-3</v>
      </c>
    </row>
  </sheetData>
  <mergeCells count="2">
    <mergeCell ref="A2:A5"/>
    <mergeCell ref="B2:B5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BF32-D7F8-40F5-87A1-BE90B4B0B156}">
  <dimension ref="A1:T6"/>
  <sheetViews>
    <sheetView tabSelected="1" workbookViewId="0">
      <selection activeCell="E11" sqref="E1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7" t="s">
        <v>22</v>
      </c>
      <c r="B2" s="10" t="s">
        <v>30</v>
      </c>
      <c r="C2" s="3">
        <v>2.35</v>
      </c>
      <c r="D2" s="4">
        <v>275.5</v>
      </c>
      <c r="E2" s="3">
        <v>35</v>
      </c>
      <c r="F2" s="3">
        <v>3.5</v>
      </c>
      <c r="G2" s="4">
        <v>3500000</v>
      </c>
      <c r="H2" s="4">
        <v>275.98747179048382</v>
      </c>
      <c r="I2" s="5">
        <f t="shared" ref="I2:I6" si="0">F2-10^(-4646.471 +5314653/H2 -2271392000/H2^2 +430306500000/H2^3 -30511740000000/H2^4)</f>
        <v>6.212941272565331E-11</v>
      </c>
      <c r="J2" s="5">
        <f t="shared" ref="J2:J6" si="1">H2-D2</f>
        <v>0.4874717904838235</v>
      </c>
      <c r="K2">
        <f t="shared" ref="K2:K6" si="2">(H2-D2)/(H2*D2)</f>
        <v>6.4111880748931584E-6</v>
      </c>
      <c r="L2">
        <f>_xlfn.STDEV.S(K2:K6)</f>
        <v>1.508863239570453E-6</v>
      </c>
      <c r="M2">
        <f>AVERAGE(K2:K6)</f>
        <v>6.9339921988300845E-6</v>
      </c>
      <c r="N2">
        <f t="shared" ref="N2" si="3">100*L2/M2</f>
        <v>21.760382710338657</v>
      </c>
      <c r="O2" s="6">
        <f t="shared" ref="O2:O6" si="4">LN(F2)</f>
        <v>1.2527629684953681</v>
      </c>
      <c r="P2" s="6">
        <f t="shared" ref="P2:P6" si="5">1/D2</f>
        <v>3.629764065335753E-3</v>
      </c>
      <c r="Q2" s="6">
        <f t="shared" ref="Q2:Q6" si="6">1/H2</f>
        <v>3.6233528772608601E-3</v>
      </c>
      <c r="R2">
        <f>SLOPE(O2:O6,P2:P6)</f>
        <v>-7995.6646886905964</v>
      </c>
      <c r="S2">
        <f>SLOPE(O2:O6,Q2:Q6)</f>
        <v>-8068.9475742774639</v>
      </c>
      <c r="T2">
        <f t="shared" ref="T2" si="7">100*ABS(S2-R2)/ABS(S2)</f>
        <v>0.90820872130191754</v>
      </c>
    </row>
    <row r="3" spans="1:20" x14ac:dyDescent="0.25">
      <c r="A3" s="8"/>
      <c r="B3" s="8"/>
      <c r="C3" s="3">
        <v>4.95</v>
      </c>
      <c r="D3" s="4">
        <v>278.10000000000002</v>
      </c>
      <c r="E3" s="3">
        <v>46</v>
      </c>
      <c r="F3" s="3">
        <v>4.5999999999999996</v>
      </c>
      <c r="G3" s="4">
        <v>4600000</v>
      </c>
      <c r="H3" s="4">
        <v>278.80108720554932</v>
      </c>
      <c r="I3" s="5">
        <f t="shared" si="0"/>
        <v>6.2612137696760328E-11</v>
      </c>
      <c r="J3" s="5">
        <f t="shared" si="1"/>
        <v>0.7010872055492996</v>
      </c>
      <c r="K3">
        <f t="shared" si="2"/>
        <v>9.0422516544638547E-6</v>
      </c>
      <c r="O3" s="6">
        <f t="shared" si="4"/>
        <v>1.5260563034950492</v>
      </c>
      <c r="P3" s="6">
        <f t="shared" si="5"/>
        <v>3.5958288385472847E-3</v>
      </c>
      <c r="Q3" s="6">
        <f t="shared" si="6"/>
        <v>3.586786586892821E-3</v>
      </c>
    </row>
    <row r="4" spans="1:20" x14ac:dyDescent="0.25">
      <c r="A4" s="8"/>
      <c r="B4" s="8"/>
      <c r="C4" s="3">
        <v>8.5500000000000007</v>
      </c>
      <c r="D4" s="4">
        <v>281.7</v>
      </c>
      <c r="E4" s="3">
        <v>65</v>
      </c>
      <c r="F4" s="3">
        <v>6.5</v>
      </c>
      <c r="G4" s="4">
        <v>6500000</v>
      </c>
      <c r="H4" s="4">
        <v>282.14307294960162</v>
      </c>
      <c r="I4" s="5">
        <f t="shared" si="0"/>
        <v>1.6852297335390176E-11</v>
      </c>
      <c r="J4" s="5">
        <f t="shared" si="1"/>
        <v>0.44307294960162835</v>
      </c>
      <c r="K4">
        <f t="shared" si="2"/>
        <v>5.5746678617890183E-6</v>
      </c>
      <c r="O4" s="6">
        <f t="shared" si="4"/>
        <v>1.8718021769015913</v>
      </c>
      <c r="P4" s="6">
        <f t="shared" si="5"/>
        <v>3.549875754348598E-3</v>
      </c>
      <c r="Q4" s="6">
        <f t="shared" si="6"/>
        <v>3.5443010864868087E-3</v>
      </c>
    </row>
    <row r="5" spans="1:20" x14ac:dyDescent="0.25">
      <c r="A5" s="8"/>
      <c r="B5" s="8"/>
      <c r="C5" s="3">
        <v>9.5500000000000007</v>
      </c>
      <c r="D5" s="4">
        <v>282.7</v>
      </c>
      <c r="E5" s="3">
        <v>74</v>
      </c>
      <c r="F5" s="3">
        <v>7.4</v>
      </c>
      <c r="G5" s="4">
        <v>7400000</v>
      </c>
      <c r="H5" s="4">
        <v>283.33617681651492</v>
      </c>
      <c r="I5" s="5">
        <f t="shared" si="0"/>
        <v>3.0022206942703633E-11</v>
      </c>
      <c r="J5" s="5">
        <f t="shared" si="1"/>
        <v>0.63617681651493285</v>
      </c>
      <c r="K5">
        <f t="shared" si="2"/>
        <v>7.9423679063786168E-6</v>
      </c>
      <c r="O5" s="6">
        <f t="shared" si="4"/>
        <v>2.0014800002101243</v>
      </c>
      <c r="P5" s="6">
        <f t="shared" si="5"/>
        <v>3.5373187124159888E-3</v>
      </c>
      <c r="Q5" s="6">
        <f t="shared" si="6"/>
        <v>3.5293763445096104E-3</v>
      </c>
    </row>
    <row r="6" spans="1:20" x14ac:dyDescent="0.25">
      <c r="A6" s="8"/>
      <c r="B6" s="8"/>
      <c r="C6" s="3">
        <v>10.65</v>
      </c>
      <c r="D6" s="4">
        <v>283.8</v>
      </c>
      <c r="E6" s="3">
        <v>82</v>
      </c>
      <c r="F6" s="3">
        <v>8.1999999999999993</v>
      </c>
      <c r="G6" s="4">
        <v>8200000</v>
      </c>
      <c r="H6" s="4">
        <v>284.25979419217845</v>
      </c>
      <c r="I6" s="5">
        <f t="shared" si="0"/>
        <v>-9.1398888457661087E-11</v>
      </c>
      <c r="J6" s="5">
        <f t="shared" si="1"/>
        <v>0.45979419217843542</v>
      </c>
      <c r="K6">
        <f t="shared" si="2"/>
        <v>5.6994854966257694E-6</v>
      </c>
      <c r="O6" s="6">
        <f t="shared" si="4"/>
        <v>2.1041341542702074</v>
      </c>
      <c r="P6" s="6">
        <f t="shared" si="5"/>
        <v>3.5236081747709652E-3</v>
      </c>
      <c r="Q6" s="6">
        <f t="shared" si="6"/>
        <v>3.5179086892743396E-3</v>
      </c>
    </row>
  </sheetData>
  <mergeCells count="2">
    <mergeCell ref="A2:A6"/>
    <mergeCell ref="B2:B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teacl_10_25_kazemi</vt:lpstr>
      <vt:lpstr>teabr_1_qasim</vt:lpstr>
      <vt:lpstr>teabr_5_qasim</vt:lpstr>
      <vt:lpstr>teabr_10_qasim</vt:lpstr>
      <vt:lpstr>teai_1_qasim</vt:lpstr>
      <vt:lpstr>teai_5_qasim</vt:lpstr>
      <vt:lpstr>teai_10_nashed</vt:lpstr>
      <vt:lpstr>teai_10_qasim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2024-04-09T04:05:52Z</dcterms:created>
  <dcterms:modified xsi:type="dcterms:W3CDTF">2024-04-09T04:13:05Z</dcterms:modified>
</cp:coreProperties>
</file>