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DESC\ThermoPhase - 2024\Testes de Consistência\consistency_tests_2024-01\"/>
    </mc:Choice>
  </mc:AlternateContent>
  <xr:revisionPtr revIDLastSave="0" documentId="13_ncr:1_{D08F0445-1CD3-44CC-B429-B2007DBBEC07}" xr6:coauthVersionLast="45" xr6:coauthVersionMax="45" xr10:uidLastSave="{00000000-0000-0000-0000-000000000000}"/>
  <bookViews>
    <workbookView xWindow="390" yWindow="390" windowWidth="10245" windowHeight="8715" firstSheet="9" activeTab="10" xr2:uid="{8D60FC6C-2CC7-45DE-A9F9-D9519B7B69F5}"/>
  </bookViews>
  <sheets>
    <sheet name="tmaac_1_tariq" sheetId="1" r:id="rId1"/>
    <sheet name="tmaac_5_tariq" sheetId="2" r:id="rId2"/>
    <sheet name="tmabr_1_qasim" sheetId="3" r:id="rId3"/>
    <sheet name="tmabr_5_qasim" sheetId="4" r:id="rId4"/>
    <sheet name="tmabr_10_qasim" sheetId="5" r:id="rId5"/>
    <sheet name="tmacl_1_khan" sheetId="6" r:id="rId6"/>
    <sheet name="tmacl_5_khan" sheetId="7" r:id="rId7"/>
    <sheet name="tmacl_10_khan" sheetId="8" r:id="rId8"/>
    <sheet name="tmaoh_1_khan" sheetId="9" r:id="rId9"/>
    <sheet name="tmaoh_5_khan" sheetId="10" r:id="rId10"/>
    <sheet name="tmaoh_10_khan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5" i="11" l="1"/>
  <c r="P5" i="11"/>
  <c r="O5" i="11"/>
  <c r="K5" i="11"/>
  <c r="J5" i="11"/>
  <c r="I5" i="11"/>
  <c r="G5" i="11"/>
  <c r="E5" i="11"/>
  <c r="C5" i="11"/>
  <c r="Q4" i="11"/>
  <c r="P4" i="11"/>
  <c r="O4" i="11"/>
  <c r="K4" i="11"/>
  <c r="J4" i="11"/>
  <c r="I4" i="11"/>
  <c r="G4" i="11"/>
  <c r="E4" i="11"/>
  <c r="C4" i="11"/>
  <c r="Q3" i="11"/>
  <c r="P3" i="11"/>
  <c r="O3" i="11"/>
  <c r="K3" i="11"/>
  <c r="J3" i="11"/>
  <c r="I3" i="11"/>
  <c r="G3" i="11"/>
  <c r="E3" i="11"/>
  <c r="C3" i="11"/>
  <c r="Q2" i="11"/>
  <c r="P2" i="11"/>
  <c r="O2" i="11"/>
  <c r="S2" i="11" s="1"/>
  <c r="L2" i="11"/>
  <c r="K2" i="11"/>
  <c r="M2" i="11" s="1"/>
  <c r="J2" i="11"/>
  <c r="I2" i="11"/>
  <c r="G2" i="11"/>
  <c r="E2" i="11"/>
  <c r="C2" i="11"/>
  <c r="Q5" i="10"/>
  <c r="P5" i="10"/>
  <c r="O5" i="10"/>
  <c r="K5" i="10"/>
  <c r="J5" i="10"/>
  <c r="I5" i="10"/>
  <c r="G5" i="10"/>
  <c r="E5" i="10"/>
  <c r="C5" i="10"/>
  <c r="Q4" i="10"/>
  <c r="P4" i="10"/>
  <c r="O4" i="10"/>
  <c r="K4" i="10"/>
  <c r="J4" i="10"/>
  <c r="I4" i="10"/>
  <c r="G4" i="10"/>
  <c r="E4" i="10"/>
  <c r="C4" i="10"/>
  <c r="Q3" i="10"/>
  <c r="P3" i="10"/>
  <c r="O3" i="10"/>
  <c r="K3" i="10"/>
  <c r="J3" i="10"/>
  <c r="I3" i="10"/>
  <c r="G3" i="10"/>
  <c r="E3" i="10"/>
  <c r="C3" i="10"/>
  <c r="S2" i="10"/>
  <c r="T2" i="10" s="1"/>
  <c r="R2" i="10"/>
  <c r="Q2" i="10"/>
  <c r="P2" i="10"/>
  <c r="O2" i="10"/>
  <c r="K2" i="10"/>
  <c r="M2" i="10" s="1"/>
  <c r="J2" i="10"/>
  <c r="I2" i="10"/>
  <c r="G2" i="10"/>
  <c r="E2" i="10"/>
  <c r="C2" i="10"/>
  <c r="Q5" i="9"/>
  <c r="P5" i="9"/>
  <c r="O5" i="9"/>
  <c r="K5" i="9"/>
  <c r="M2" i="9" s="1"/>
  <c r="J5" i="9"/>
  <c r="I5" i="9"/>
  <c r="G5" i="9"/>
  <c r="E5" i="9"/>
  <c r="C5" i="9"/>
  <c r="Q4" i="9"/>
  <c r="P4" i="9"/>
  <c r="O4" i="9"/>
  <c r="K4" i="9"/>
  <c r="J4" i="9"/>
  <c r="I4" i="9"/>
  <c r="G4" i="9"/>
  <c r="E4" i="9"/>
  <c r="C4" i="9"/>
  <c r="Q3" i="9"/>
  <c r="P3" i="9"/>
  <c r="O3" i="9"/>
  <c r="K3" i="9"/>
  <c r="J3" i="9"/>
  <c r="I3" i="9"/>
  <c r="G3" i="9"/>
  <c r="E3" i="9"/>
  <c r="C3" i="9"/>
  <c r="Q2" i="9"/>
  <c r="P2" i="9"/>
  <c r="O2" i="9"/>
  <c r="S2" i="9" s="1"/>
  <c r="L2" i="9"/>
  <c r="K2" i="9"/>
  <c r="J2" i="9"/>
  <c r="I2" i="9"/>
  <c r="G2" i="9"/>
  <c r="E2" i="9"/>
  <c r="C2" i="9"/>
  <c r="Q5" i="8"/>
  <c r="P5" i="8"/>
  <c r="O5" i="8"/>
  <c r="K5" i="8"/>
  <c r="J5" i="8"/>
  <c r="I5" i="8"/>
  <c r="Q4" i="8"/>
  <c r="P4" i="8"/>
  <c r="O4" i="8"/>
  <c r="K4" i="8"/>
  <c r="J4" i="8"/>
  <c r="I4" i="8"/>
  <c r="Q3" i="8"/>
  <c r="P3" i="8"/>
  <c r="O3" i="8"/>
  <c r="K3" i="8"/>
  <c r="J3" i="8"/>
  <c r="I3" i="8"/>
  <c r="Q2" i="8"/>
  <c r="P2" i="8"/>
  <c r="O2" i="8"/>
  <c r="R2" i="8" s="1"/>
  <c r="K2" i="8"/>
  <c r="L2" i="8" s="1"/>
  <c r="J2" i="8"/>
  <c r="I2" i="8"/>
  <c r="Q5" i="7"/>
  <c r="P5" i="7"/>
  <c r="O5" i="7"/>
  <c r="K5" i="7"/>
  <c r="J5" i="7"/>
  <c r="I5" i="7"/>
  <c r="Q4" i="7"/>
  <c r="P4" i="7"/>
  <c r="O4" i="7"/>
  <c r="K4" i="7"/>
  <c r="J4" i="7"/>
  <c r="I4" i="7"/>
  <c r="Q3" i="7"/>
  <c r="P3" i="7"/>
  <c r="O3" i="7"/>
  <c r="K3" i="7"/>
  <c r="J3" i="7"/>
  <c r="I3" i="7"/>
  <c r="S2" i="7"/>
  <c r="Q2" i="7"/>
  <c r="P2" i="7"/>
  <c r="O2" i="7"/>
  <c r="R2" i="7" s="1"/>
  <c r="K2" i="7"/>
  <c r="M2" i="7" s="1"/>
  <c r="J2" i="7"/>
  <c r="I2" i="7"/>
  <c r="Q5" i="6"/>
  <c r="P5" i="6"/>
  <c r="O5" i="6"/>
  <c r="K5" i="6"/>
  <c r="J5" i="6"/>
  <c r="I5" i="6"/>
  <c r="Q4" i="6"/>
  <c r="P4" i="6"/>
  <c r="O4" i="6"/>
  <c r="K4" i="6"/>
  <c r="J4" i="6"/>
  <c r="I4" i="6"/>
  <c r="Q3" i="6"/>
  <c r="P3" i="6"/>
  <c r="O3" i="6"/>
  <c r="K3" i="6"/>
  <c r="J3" i="6"/>
  <c r="I3" i="6"/>
  <c r="R2" i="6"/>
  <c r="Q2" i="6"/>
  <c r="P2" i="6"/>
  <c r="O2" i="6"/>
  <c r="S2" i="6" s="1"/>
  <c r="T2" i="6" s="1"/>
  <c r="M2" i="6"/>
  <c r="K2" i="6"/>
  <c r="L2" i="6" s="1"/>
  <c r="N2" i="6" s="1"/>
  <c r="J2" i="6"/>
  <c r="I2" i="6"/>
  <c r="Q6" i="5"/>
  <c r="P6" i="5"/>
  <c r="O6" i="5"/>
  <c r="K6" i="5"/>
  <c r="J6" i="5"/>
  <c r="I6" i="5"/>
  <c r="Q5" i="5"/>
  <c r="P5" i="5"/>
  <c r="O5" i="5"/>
  <c r="K5" i="5"/>
  <c r="J5" i="5"/>
  <c r="I5" i="5"/>
  <c r="Q4" i="5"/>
  <c r="P4" i="5"/>
  <c r="O4" i="5"/>
  <c r="K4" i="5"/>
  <c r="J4" i="5"/>
  <c r="I4" i="5"/>
  <c r="Q3" i="5"/>
  <c r="P3" i="5"/>
  <c r="R2" i="5" s="1"/>
  <c r="O3" i="5"/>
  <c r="K3" i="5"/>
  <c r="J3" i="5"/>
  <c r="I3" i="5"/>
  <c r="Q2" i="5"/>
  <c r="P2" i="5"/>
  <c r="O2" i="5"/>
  <c r="S2" i="5" s="1"/>
  <c r="M2" i="5"/>
  <c r="K2" i="5"/>
  <c r="L2" i="5" s="1"/>
  <c r="N2" i="5" s="1"/>
  <c r="J2" i="5"/>
  <c r="I2" i="5"/>
  <c r="Q6" i="4"/>
  <c r="P6" i="4"/>
  <c r="O6" i="4"/>
  <c r="K6" i="4"/>
  <c r="J6" i="4"/>
  <c r="I6" i="4"/>
  <c r="G6" i="4"/>
  <c r="E6" i="4"/>
  <c r="C6" i="4"/>
  <c r="Q5" i="4"/>
  <c r="P5" i="4"/>
  <c r="O5" i="4"/>
  <c r="K5" i="4"/>
  <c r="J5" i="4"/>
  <c r="I5" i="4"/>
  <c r="G5" i="4"/>
  <c r="E5" i="4"/>
  <c r="C5" i="4"/>
  <c r="Q4" i="4"/>
  <c r="P4" i="4"/>
  <c r="O4" i="4"/>
  <c r="K4" i="4"/>
  <c r="J4" i="4"/>
  <c r="I4" i="4"/>
  <c r="G4" i="4"/>
  <c r="E4" i="4"/>
  <c r="C4" i="4"/>
  <c r="Q3" i="4"/>
  <c r="P3" i="4"/>
  <c r="O3" i="4"/>
  <c r="K3" i="4"/>
  <c r="J3" i="4"/>
  <c r="I3" i="4"/>
  <c r="G3" i="4"/>
  <c r="E3" i="4"/>
  <c r="C3" i="4"/>
  <c r="Q2" i="4"/>
  <c r="P2" i="4"/>
  <c r="O2" i="4"/>
  <c r="S2" i="4" s="1"/>
  <c r="K2" i="4"/>
  <c r="L2" i="4" s="1"/>
  <c r="J2" i="4"/>
  <c r="I2" i="4"/>
  <c r="G2" i="4"/>
  <c r="E2" i="4"/>
  <c r="C2" i="4"/>
  <c r="Q6" i="3"/>
  <c r="P6" i="3"/>
  <c r="O6" i="3"/>
  <c r="K6" i="3"/>
  <c r="J6" i="3"/>
  <c r="I6" i="3"/>
  <c r="G6" i="3"/>
  <c r="E6" i="3"/>
  <c r="C6" i="3"/>
  <c r="Q5" i="3"/>
  <c r="P5" i="3"/>
  <c r="O5" i="3"/>
  <c r="K5" i="3"/>
  <c r="J5" i="3"/>
  <c r="I5" i="3"/>
  <c r="G5" i="3"/>
  <c r="E5" i="3"/>
  <c r="C5" i="3"/>
  <c r="Q4" i="3"/>
  <c r="P4" i="3"/>
  <c r="O4" i="3"/>
  <c r="K4" i="3"/>
  <c r="J4" i="3"/>
  <c r="I4" i="3"/>
  <c r="G4" i="3"/>
  <c r="E4" i="3"/>
  <c r="C4" i="3"/>
  <c r="Q3" i="3"/>
  <c r="P3" i="3"/>
  <c r="O3" i="3"/>
  <c r="K3" i="3"/>
  <c r="J3" i="3"/>
  <c r="I3" i="3"/>
  <c r="G3" i="3"/>
  <c r="E3" i="3"/>
  <c r="C3" i="3"/>
  <c r="Q2" i="3"/>
  <c r="P2" i="3"/>
  <c r="O2" i="3"/>
  <c r="S2" i="3" s="1"/>
  <c r="M2" i="3"/>
  <c r="K2" i="3"/>
  <c r="L2" i="3" s="1"/>
  <c r="N2" i="3" s="1"/>
  <c r="J2" i="3"/>
  <c r="I2" i="3"/>
  <c r="G2" i="3"/>
  <c r="E2" i="3"/>
  <c r="C2" i="3"/>
  <c r="Q6" i="2"/>
  <c r="P6" i="2"/>
  <c r="O6" i="2"/>
  <c r="K6" i="2"/>
  <c r="J6" i="2"/>
  <c r="I6" i="2"/>
  <c r="Q5" i="2"/>
  <c r="P5" i="2"/>
  <c r="O5" i="2"/>
  <c r="K5" i="2"/>
  <c r="J5" i="2"/>
  <c r="I5" i="2"/>
  <c r="Q4" i="2"/>
  <c r="P4" i="2"/>
  <c r="O4" i="2"/>
  <c r="K4" i="2"/>
  <c r="J4" i="2"/>
  <c r="I4" i="2"/>
  <c r="Q3" i="2"/>
  <c r="P3" i="2"/>
  <c r="O3" i="2"/>
  <c r="K3" i="2"/>
  <c r="J3" i="2"/>
  <c r="I3" i="2"/>
  <c r="Q2" i="2"/>
  <c r="P2" i="2"/>
  <c r="R2" i="2" s="1"/>
  <c r="O2" i="2"/>
  <c r="S2" i="2" s="1"/>
  <c r="K2" i="2"/>
  <c r="L2" i="2" s="1"/>
  <c r="J2" i="2"/>
  <c r="I2" i="2"/>
  <c r="Q6" i="1"/>
  <c r="P6" i="1"/>
  <c r="O6" i="1"/>
  <c r="K6" i="1"/>
  <c r="J6" i="1"/>
  <c r="I6" i="1"/>
  <c r="Q5" i="1"/>
  <c r="P5" i="1"/>
  <c r="O5" i="1"/>
  <c r="K5" i="1"/>
  <c r="J5" i="1"/>
  <c r="I5" i="1"/>
  <c r="Q4" i="1"/>
  <c r="P4" i="1"/>
  <c r="O4" i="1"/>
  <c r="K4" i="1"/>
  <c r="J4" i="1"/>
  <c r="I4" i="1"/>
  <c r="Q3" i="1"/>
  <c r="P3" i="1"/>
  <c r="O3" i="1"/>
  <c r="K3" i="1"/>
  <c r="J3" i="1"/>
  <c r="I3" i="1"/>
  <c r="Q2" i="1"/>
  <c r="P2" i="1"/>
  <c r="R2" i="1" s="1"/>
  <c r="O2" i="1"/>
  <c r="S2" i="1" s="1"/>
  <c r="T2" i="1" s="1"/>
  <c r="M2" i="1"/>
  <c r="L2" i="1"/>
  <c r="N2" i="1" s="1"/>
  <c r="K2" i="1"/>
  <c r="J2" i="1"/>
  <c r="I2" i="1"/>
  <c r="N2" i="11" l="1"/>
  <c r="R2" i="11"/>
  <c r="T2" i="11" s="1"/>
  <c r="L2" i="10"/>
  <c r="N2" i="10" s="1"/>
  <c r="T2" i="9"/>
  <c r="N2" i="9"/>
  <c r="R2" i="9"/>
  <c r="M2" i="8"/>
  <c r="N2" i="8" s="1"/>
  <c r="S2" i="8"/>
  <c r="T2" i="8" s="1"/>
  <c r="T2" i="7"/>
  <c r="L2" i="7"/>
  <c r="N2" i="7" s="1"/>
  <c r="T2" i="5"/>
  <c r="M2" i="4"/>
  <c r="N2" i="4" s="1"/>
  <c r="R2" i="4"/>
  <c r="T2" i="4" s="1"/>
  <c r="R2" i="3"/>
  <c r="T2" i="3" s="1"/>
  <c r="N2" i="2"/>
  <c r="T2" i="2"/>
  <c r="M2" i="2"/>
</calcChain>
</file>

<file path=xl/sharedStrings.xml><?xml version="1.0" encoding="utf-8"?>
<sst xmlns="http://schemas.openxmlformats.org/spreadsheetml/2006/main" count="242" uniqueCount="35">
  <si>
    <t xml:space="preserve">Author </t>
  </si>
  <si>
    <t xml:space="preserve">System </t>
  </si>
  <si>
    <t>T [°C]</t>
  </si>
  <si>
    <t>T [K]</t>
  </si>
  <si>
    <t>P [bar]</t>
  </si>
  <si>
    <t>P[MPa]</t>
  </si>
  <si>
    <t>P[Pa]</t>
  </si>
  <si>
    <t>T0 [K]</t>
  </si>
  <si>
    <t>f</t>
  </si>
  <si>
    <t>DT</t>
  </si>
  <si>
    <t>DT/T0T</t>
  </si>
  <si>
    <t>Sdev</t>
  </si>
  <si>
    <t>Average</t>
  </si>
  <si>
    <t>Error1</t>
  </si>
  <si>
    <t>ln(P)</t>
  </si>
  <si>
    <t>1/T</t>
  </si>
  <si>
    <t>1/T0</t>
  </si>
  <si>
    <t>Slope</t>
  </si>
  <si>
    <t>Slope0</t>
  </si>
  <si>
    <t>Error2</t>
  </si>
  <si>
    <t>TARIQ et al. [29]</t>
  </si>
  <si>
    <t>[TMA][Ac] 1 wt%</t>
  </si>
  <si>
    <t>[TMA][Ac] 5 wt%</t>
  </si>
  <si>
    <t>QASIM et al. [36]</t>
  </si>
  <si>
    <t xml:space="preserve"> [TMA][Br] 1 wt% </t>
  </si>
  <si>
    <t xml:space="preserve"> [TMA][Br] 5 wt% </t>
  </si>
  <si>
    <t xml:space="preserve"> [TMA][Br] 10 wt% </t>
  </si>
  <si>
    <t>KHAN et al. 2019 [37]</t>
  </si>
  <si>
    <t>[TMA][Cl] 1 wt%</t>
  </si>
  <si>
    <t>[TMA][Cl] 5 wt%</t>
  </si>
  <si>
    <t>[TMA][Cl] 10 wt%</t>
  </si>
  <si>
    <t>KHAN et al. 2017 [39]</t>
  </si>
  <si>
    <t>[TMA][OH] 1 wt%</t>
  </si>
  <si>
    <t>[TMA][OH] 5 wt%</t>
  </si>
  <si>
    <t>[TMA][OH] 10 wt%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</si>
</sst>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7D7D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004D-84D4-40A0-87C2-C7D59E6F90AA}">
  <dimension ref="A1:T6"/>
  <sheetViews>
    <sheetView workbookViewId="0">
      <selection sqref="A1:T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 t="s">
        <v>20</v>
      </c>
      <c r="B2" s="4" t="s">
        <v>21</v>
      </c>
      <c r="C2" s="5">
        <v>4.12</v>
      </c>
      <c r="D2" s="6">
        <v>277.27</v>
      </c>
      <c r="E2" s="6">
        <v>38.47</v>
      </c>
      <c r="F2" s="5">
        <v>3.847</v>
      </c>
      <c r="G2" s="6">
        <v>3847000</v>
      </c>
      <c r="H2" s="6">
        <v>276.97678297037424</v>
      </c>
      <c r="I2" s="7">
        <f t="shared" ref="I2:I6" si="0">F2-10^(-4646.471 +5314653/H2 -2271392000/H2^2 +430306500000/H2^3 -30511740000000/H2^4)</f>
        <v>-3.9810377217008863E-11</v>
      </c>
      <c r="J2" s="7">
        <f t="shared" ref="J2:J6" si="1">H2-D2</f>
        <v>-0.29321702962573681</v>
      </c>
      <c r="K2">
        <f t="shared" ref="K2:K6" si="2">(H2-D2)/(H2*D2)</f>
        <v>-3.818061686302672E-6</v>
      </c>
      <c r="L2">
        <f>_xlfn.STDEV.S(K2:K6)</f>
        <v>1.5773452889990011E-6</v>
      </c>
      <c r="M2">
        <f>AVERAGE(K2:K6)</f>
        <v>-5.5333998019925387E-6</v>
      </c>
      <c r="N2">
        <f>100*ABS(L2/M2)</f>
        <v>28.505897738150242</v>
      </c>
      <c r="O2" s="8">
        <f t="shared" ref="O2:O6" si="3">LN(F2)</f>
        <v>1.347293623770158</v>
      </c>
      <c r="P2" s="8">
        <f t="shared" ref="P2:P6" si="4">1/D2</f>
        <v>3.6065928517329681E-3</v>
      </c>
      <c r="Q2" s="8">
        <f t="shared" ref="Q2:Q6" si="5">1/H2</f>
        <v>3.6104109134192709E-3</v>
      </c>
      <c r="R2">
        <f>SLOPE(O2:O6,P2:P6)</f>
        <v>-8307.6306845674153</v>
      </c>
      <c r="S2">
        <f>SLOPE(O2:O6,Q2:Q6)</f>
        <v>-8490.2011650849981</v>
      </c>
      <c r="T2">
        <f t="shared" ref="T2" si="6">100*ABS(S2-R2)/ABS(S2)</f>
        <v>2.150366957951285</v>
      </c>
    </row>
    <row r="3" spans="1:20" x14ac:dyDescent="0.25">
      <c r="A3" s="9"/>
      <c r="B3" s="9"/>
      <c r="C3" s="5">
        <v>9.56</v>
      </c>
      <c r="D3" s="6">
        <v>282.70999999999998</v>
      </c>
      <c r="E3" s="6">
        <v>65.87</v>
      </c>
      <c r="F3" s="5">
        <v>6.5869999999999997</v>
      </c>
      <c r="G3" s="6">
        <v>6587000</v>
      </c>
      <c r="H3" s="6">
        <v>282.26682606198062</v>
      </c>
      <c r="I3" s="7">
        <f t="shared" si="0"/>
        <v>-5.9196203494593647E-11</v>
      </c>
      <c r="J3" s="7">
        <f t="shared" si="1"/>
        <v>-0.44317393801935623</v>
      </c>
      <c r="K3">
        <f t="shared" si="2"/>
        <v>-5.5535821724268968E-6</v>
      </c>
      <c r="O3" s="8">
        <f t="shared" si="3"/>
        <v>1.8850980096585559</v>
      </c>
      <c r="P3" s="8">
        <f t="shared" si="4"/>
        <v>3.5371935906052141E-3</v>
      </c>
      <c r="Q3" s="8">
        <f t="shared" si="5"/>
        <v>3.5427471727776409E-3</v>
      </c>
    </row>
    <row r="4" spans="1:20" x14ac:dyDescent="0.25">
      <c r="A4" s="9"/>
      <c r="B4" s="9"/>
      <c r="C4" s="5">
        <v>11.17</v>
      </c>
      <c r="D4" s="6">
        <v>284.32</v>
      </c>
      <c r="E4" s="6">
        <v>79.209999999999994</v>
      </c>
      <c r="F4" s="5">
        <v>7.9210000000000003</v>
      </c>
      <c r="G4" s="6">
        <v>7921000</v>
      </c>
      <c r="H4" s="6">
        <v>283.95029262335964</v>
      </c>
      <c r="I4" s="7">
        <f t="shared" si="0"/>
        <v>-2.8057556278326956E-12</v>
      </c>
      <c r="J4" s="7">
        <f t="shared" si="1"/>
        <v>-0.36970737664034914</v>
      </c>
      <c r="K4">
        <f t="shared" si="2"/>
        <v>-4.5793979453039504E-6</v>
      </c>
      <c r="O4" s="8">
        <f t="shared" si="3"/>
        <v>2.0695174604821425</v>
      </c>
      <c r="P4" s="8">
        <f t="shared" si="4"/>
        <v>3.5171637591446259E-3</v>
      </c>
      <c r="Q4" s="8">
        <f t="shared" si="5"/>
        <v>3.52174315708993E-3</v>
      </c>
    </row>
    <row r="5" spans="1:20" x14ac:dyDescent="0.25">
      <c r="A5" s="9"/>
      <c r="B5" s="9"/>
      <c r="C5" s="5">
        <v>13.29</v>
      </c>
      <c r="D5" s="6">
        <v>286.44</v>
      </c>
      <c r="E5" s="6">
        <v>97.56</v>
      </c>
      <c r="F5" s="5">
        <v>9.7560000000000002</v>
      </c>
      <c r="G5" s="6">
        <v>9756000</v>
      </c>
      <c r="H5" s="6">
        <v>285.78544514218561</v>
      </c>
      <c r="I5" s="7">
        <f t="shared" si="0"/>
        <v>-8.5041307329447591E-11</v>
      </c>
      <c r="J5" s="7">
        <f t="shared" si="1"/>
        <v>-0.65455485781438938</v>
      </c>
      <c r="K5">
        <f t="shared" si="2"/>
        <v>-7.9959906681818645E-6</v>
      </c>
      <c r="O5" s="8">
        <f t="shared" si="3"/>
        <v>2.2778824803536737</v>
      </c>
      <c r="P5" s="8">
        <f t="shared" si="4"/>
        <v>3.4911325233905879E-3</v>
      </c>
      <c r="Q5" s="8">
        <f t="shared" si="5"/>
        <v>3.4991285140587697E-3</v>
      </c>
    </row>
    <row r="6" spans="1:20" x14ac:dyDescent="0.25">
      <c r="A6" s="9"/>
      <c r="B6" s="9"/>
      <c r="C6" s="5">
        <v>14.6</v>
      </c>
      <c r="D6" s="6">
        <v>287.75</v>
      </c>
      <c r="E6" s="6">
        <v>116.17</v>
      </c>
      <c r="F6" s="5">
        <v>11.617000000000001</v>
      </c>
      <c r="G6" s="6">
        <v>11617000</v>
      </c>
      <c r="H6" s="6">
        <v>287.27716466249086</v>
      </c>
      <c r="I6" s="7">
        <f t="shared" si="0"/>
        <v>3.6886049770146201E-11</v>
      </c>
      <c r="J6" s="7">
        <f t="shared" si="1"/>
        <v>-0.47283533750913875</v>
      </c>
      <c r="K6">
        <f t="shared" si="2"/>
        <v>-5.719966537747307E-6</v>
      </c>
      <c r="O6" s="8">
        <f t="shared" si="3"/>
        <v>2.4524695425313379</v>
      </c>
      <c r="P6" s="8">
        <f t="shared" si="4"/>
        <v>3.4752389226759338E-3</v>
      </c>
      <c r="Q6" s="8">
        <f t="shared" si="5"/>
        <v>3.4809588892136811E-3</v>
      </c>
    </row>
  </sheetData>
  <mergeCells count="2">
    <mergeCell ref="A2:A6"/>
    <mergeCell ref="B2:B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D87E9-9112-4D15-B201-B61EF7046C11}">
  <dimension ref="A1:T6"/>
  <sheetViews>
    <sheetView workbookViewId="0">
      <selection activeCell="E12" sqref="E1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 t="s">
        <v>20</v>
      </c>
      <c r="B2" s="4" t="s">
        <v>22</v>
      </c>
      <c r="C2" s="5">
        <v>4.5538999999999996</v>
      </c>
      <c r="D2" s="6">
        <v>277.24</v>
      </c>
      <c r="E2" s="6">
        <v>41.13</v>
      </c>
      <c r="F2" s="5">
        <v>4.1130000000000004</v>
      </c>
      <c r="G2" s="6">
        <v>4113000</v>
      </c>
      <c r="H2" s="6">
        <v>277.66656840352891</v>
      </c>
      <c r="I2" s="7">
        <f t="shared" ref="I2:I6" si="0">F2-10^(-4646.471 +5314653/H2 -2271392000/H2^2 +430306500000/H2^3 -30511740000000/H2^4)</f>
        <v>-6.5414340610914223E-12</v>
      </c>
      <c r="J2" s="7">
        <f t="shared" ref="J2:J6" si="1">H2-D2</f>
        <v>0.42656840352890413</v>
      </c>
      <c r="K2">
        <f t="shared" ref="K2:K6" si="2">(H2-D2)/(H2*D2)</f>
        <v>5.5412685783891379E-6</v>
      </c>
      <c r="L2">
        <f>_xlfn.STDEV.S(K2:K6)</f>
        <v>8.3181841757730303E-6</v>
      </c>
      <c r="M2">
        <f>AVERAGE(K2:K6)</f>
        <v>1.0278437261967698E-5</v>
      </c>
      <c r="N2">
        <f t="shared" ref="N2" si="3">100*L2/M2</f>
        <v>80.928491012461578</v>
      </c>
      <c r="O2" s="8">
        <f t="shared" ref="O2:O6" si="4">LN(F2)</f>
        <v>1.4141526892482872</v>
      </c>
      <c r="P2" s="8">
        <f t="shared" ref="P2:P6" si="5">1/D2</f>
        <v>3.6069831193190015E-3</v>
      </c>
      <c r="Q2" s="8">
        <f t="shared" ref="Q2:Q6" si="6">1/H2</f>
        <v>3.6014418507406124E-3</v>
      </c>
      <c r="R2">
        <f>SLOPE(O2:O6,P2:P6)</f>
        <v>-9543.3481102058904</v>
      </c>
      <c r="S2">
        <f>SLOPE(O2:O6,Q2:Q6)</f>
        <v>-8611.2283692648725</v>
      </c>
      <c r="T2" s="10">
        <f t="shared" ref="T2" si="7">100*ABS(S2-R2)/ABS(S2)</f>
        <v>10.824468948796342</v>
      </c>
    </row>
    <row r="3" spans="1:20" x14ac:dyDescent="0.25">
      <c r="A3" s="9"/>
      <c r="B3" s="9"/>
      <c r="C3" s="5">
        <v>7.72</v>
      </c>
      <c r="D3" s="6">
        <v>280.87</v>
      </c>
      <c r="E3" s="6">
        <v>59.71</v>
      </c>
      <c r="F3" s="5">
        <v>5.9710000000000001</v>
      </c>
      <c r="G3" s="6">
        <v>5971000</v>
      </c>
      <c r="H3" s="6">
        <v>281.34495113368371</v>
      </c>
      <c r="I3" s="7">
        <f t="shared" si="0"/>
        <v>3.5962344213658071E-11</v>
      </c>
      <c r="J3" s="7">
        <f t="shared" si="1"/>
        <v>0.47495113368370312</v>
      </c>
      <c r="K3">
        <f t="shared" si="2"/>
        <v>6.0104148444348542E-6</v>
      </c>
      <c r="O3" s="8">
        <f t="shared" si="4"/>
        <v>1.7869144175648555</v>
      </c>
      <c r="P3" s="8">
        <f t="shared" si="5"/>
        <v>3.5603660056253783E-3</v>
      </c>
      <c r="Q3" s="8">
        <f t="shared" si="6"/>
        <v>3.5543555907809432E-3</v>
      </c>
    </row>
    <row r="4" spans="1:20" x14ac:dyDescent="0.25">
      <c r="A4" s="9"/>
      <c r="B4" s="9"/>
      <c r="C4" s="5">
        <v>10.44</v>
      </c>
      <c r="D4" s="6">
        <v>283.58999999999997</v>
      </c>
      <c r="E4" s="6">
        <v>79.98</v>
      </c>
      <c r="F4" s="5">
        <v>7.9980000000000002</v>
      </c>
      <c r="G4" s="6">
        <v>7998000</v>
      </c>
      <c r="H4" s="6">
        <v>284.03698287849227</v>
      </c>
      <c r="I4" s="7">
        <f t="shared" si="0"/>
        <v>8.0451201256437344E-11</v>
      </c>
      <c r="J4" s="7">
        <f t="shared" si="1"/>
        <v>0.44698287849229246</v>
      </c>
      <c r="K4">
        <f t="shared" si="2"/>
        <v>5.5491323684094003E-6</v>
      </c>
      <c r="O4" s="8">
        <f t="shared" si="4"/>
        <v>2.0791915104246268</v>
      </c>
      <c r="P4" s="8">
        <f t="shared" si="5"/>
        <v>3.5262174265665224E-3</v>
      </c>
      <c r="Q4" s="8">
        <f t="shared" si="6"/>
        <v>3.5206682941981132E-3</v>
      </c>
    </row>
    <row r="5" spans="1:20" x14ac:dyDescent="0.25">
      <c r="A5" s="9"/>
      <c r="B5" s="9"/>
      <c r="C5" s="5">
        <v>11.84</v>
      </c>
      <c r="D5" s="6">
        <v>284.99</v>
      </c>
      <c r="E5" s="6">
        <v>97.24</v>
      </c>
      <c r="F5" s="5">
        <v>9.7240000000000002</v>
      </c>
      <c r="G5" s="6">
        <v>9724000</v>
      </c>
      <c r="H5" s="6">
        <v>285.7569998980448</v>
      </c>
      <c r="I5" s="7">
        <f t="shared" si="0"/>
        <v>1.0478196088570257E-10</v>
      </c>
      <c r="J5" s="7">
        <f t="shared" si="1"/>
        <v>0.76699989804478719</v>
      </c>
      <c r="K5">
        <f t="shared" si="2"/>
        <v>9.4182194863259481E-6</v>
      </c>
      <c r="O5" s="8">
        <f t="shared" si="4"/>
        <v>2.2745970564538771</v>
      </c>
      <c r="P5" s="8">
        <f t="shared" si="5"/>
        <v>3.5088950489490858E-3</v>
      </c>
      <c r="Q5" s="8">
        <f t="shared" si="6"/>
        <v>3.4994768294627598E-3</v>
      </c>
    </row>
    <row r="6" spans="1:20" x14ac:dyDescent="0.25">
      <c r="A6" s="9"/>
      <c r="B6" s="9"/>
      <c r="C6" s="5">
        <v>12.19</v>
      </c>
      <c r="D6" s="6">
        <v>285.33999999999997</v>
      </c>
      <c r="E6" s="6">
        <v>117.59</v>
      </c>
      <c r="F6" s="5">
        <v>11.759</v>
      </c>
      <c r="G6" s="6">
        <v>11759000</v>
      </c>
      <c r="H6" s="6">
        <v>287.3796207952995</v>
      </c>
      <c r="I6" s="7">
        <f t="shared" si="0"/>
        <v>-3.3095304274866066E-11</v>
      </c>
      <c r="J6" s="7">
        <f t="shared" si="1"/>
        <v>2.0396207952995269</v>
      </c>
      <c r="K6">
        <f t="shared" si="2"/>
        <v>2.4873151032279145E-5</v>
      </c>
      <c r="O6" s="8">
        <f t="shared" si="4"/>
        <v>2.4646189048412785</v>
      </c>
      <c r="P6" s="8">
        <f t="shared" si="5"/>
        <v>3.50459101422864E-3</v>
      </c>
      <c r="Q6" s="8">
        <f t="shared" si="6"/>
        <v>3.4797178631963605E-3</v>
      </c>
    </row>
  </sheetData>
  <mergeCells count="2">
    <mergeCell ref="A2:A6"/>
    <mergeCell ref="B2:B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D6E2-60E9-4E86-AC58-CBF97D597974}">
  <dimension ref="A1:T6"/>
  <sheetViews>
    <sheetView workbookViewId="0">
      <selection activeCell="F19" sqref="F19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 t="s">
        <v>23</v>
      </c>
      <c r="B2" s="4" t="s">
        <v>24</v>
      </c>
      <c r="C2" s="5">
        <f>D2-273.15</f>
        <v>2.6500000000000341</v>
      </c>
      <c r="D2" s="6">
        <v>275.8</v>
      </c>
      <c r="E2" s="6">
        <f>F2*10</f>
        <v>35</v>
      </c>
      <c r="F2" s="5">
        <v>3.5</v>
      </c>
      <c r="G2" s="6">
        <f>F2*10^6</f>
        <v>3500000</v>
      </c>
      <c r="H2" s="6">
        <v>275.98747179058603</v>
      </c>
      <c r="I2" s="7">
        <f t="shared" ref="I2:I6" si="0">F2-10^(-4646.471 +5314653/H2 -2271392000/H2^2 +430306500000/H2^3 -30511740000000/H2^4)</f>
        <v>-4.0485392815980958E-11</v>
      </c>
      <c r="J2" s="7">
        <f t="shared" ref="J2:J6" si="1">H2-D2</f>
        <v>0.1874717905860166</v>
      </c>
      <c r="K2">
        <f t="shared" ref="K2:K6" si="2">(H2-D2)/(H2*D2)</f>
        <v>2.4629312974069507E-6</v>
      </c>
      <c r="L2">
        <f>_xlfn.STDEV.S(K2:K6)</f>
        <v>8.1250337258510506E-7</v>
      </c>
      <c r="M2">
        <f>AVERAGE(K2:K6)</f>
        <v>2.3678798003329142E-6</v>
      </c>
      <c r="N2">
        <f t="shared" ref="N2" si="3">100*L2/M2</f>
        <v>34.313539583845021</v>
      </c>
      <c r="O2" s="8">
        <f t="shared" ref="O2:O6" si="4">LN(F2)</f>
        <v>1.2527629684953681</v>
      </c>
      <c r="P2" s="8">
        <f t="shared" ref="P2:P6" si="5">1/D2</f>
        <v>3.6258158085569251E-3</v>
      </c>
      <c r="Q2" s="8">
        <f t="shared" ref="Q2:Q6" si="6">1/H2</f>
        <v>3.6233528772595183E-3</v>
      </c>
      <c r="R2">
        <f>SLOPE(O2:O6,P2:P6)</f>
        <v>-8024.9266772339606</v>
      </c>
      <c r="S2">
        <f>SLOPE(O2:O6,Q2:Q6)</f>
        <v>-8073.5855246257543</v>
      </c>
      <c r="T2">
        <f t="shared" ref="T2" si="7">100*ABS(S2-R2)/ABS(S2)</f>
        <v>0.60269191728230553</v>
      </c>
    </row>
    <row r="3" spans="1:20" x14ac:dyDescent="0.25">
      <c r="A3" s="9"/>
      <c r="B3" s="9"/>
      <c r="C3" s="5">
        <f t="shared" ref="C3:C6" si="8">D3-273.15</f>
        <v>5.4000000000000341</v>
      </c>
      <c r="D3" s="6">
        <v>278.55</v>
      </c>
      <c r="E3" s="6">
        <f t="shared" ref="E3:E6" si="9">F3*10</f>
        <v>46</v>
      </c>
      <c r="F3" s="5">
        <v>4.5999999999999996</v>
      </c>
      <c r="G3" s="6">
        <f t="shared" ref="G3:G6" si="10">F3*10^6</f>
        <v>4600000</v>
      </c>
      <c r="H3" s="6">
        <v>278.80108720564391</v>
      </c>
      <c r="I3" s="7">
        <f t="shared" si="0"/>
        <v>-4.8210324621322798E-12</v>
      </c>
      <c r="J3" s="7">
        <f t="shared" si="1"/>
        <v>0.25108720564389841</v>
      </c>
      <c r="K3">
        <f t="shared" si="2"/>
        <v>3.2331582169938202E-6</v>
      </c>
      <c r="O3" s="8">
        <f t="shared" si="4"/>
        <v>1.5260563034950492</v>
      </c>
      <c r="P3" s="8">
        <f t="shared" si="5"/>
        <v>3.5900197451085979E-3</v>
      </c>
      <c r="Q3" s="8">
        <f t="shared" si="6"/>
        <v>3.5867865868916041E-3</v>
      </c>
    </row>
    <row r="4" spans="1:20" x14ac:dyDescent="0.25">
      <c r="A4" s="9"/>
      <c r="B4" s="9"/>
      <c r="C4" s="5">
        <f t="shared" si="8"/>
        <v>8.9000000000000341</v>
      </c>
      <c r="D4" s="6">
        <v>282.05</v>
      </c>
      <c r="E4" s="6">
        <f t="shared" si="9"/>
        <v>65</v>
      </c>
      <c r="F4" s="5">
        <v>6.5</v>
      </c>
      <c r="G4" s="6">
        <f t="shared" si="10"/>
        <v>6500000</v>
      </c>
      <c r="H4" s="6">
        <v>282.14307294957371</v>
      </c>
      <c r="I4" s="7">
        <f t="shared" si="0"/>
        <v>1.6852297335390176E-11</v>
      </c>
      <c r="J4" s="7">
        <f t="shared" si="1"/>
        <v>9.3072949573695496E-2</v>
      </c>
      <c r="K4">
        <f t="shared" si="2"/>
        <v>1.1695747431186439E-6</v>
      </c>
      <c r="O4" s="8">
        <f t="shared" si="4"/>
        <v>1.8718021769015913</v>
      </c>
      <c r="P4" s="8">
        <f t="shared" si="5"/>
        <v>3.5454706612302782E-3</v>
      </c>
      <c r="Q4" s="8">
        <f t="shared" si="6"/>
        <v>3.5443010864871596E-3</v>
      </c>
    </row>
    <row r="5" spans="1:20" x14ac:dyDescent="0.25">
      <c r="A5" s="9"/>
      <c r="B5" s="9"/>
      <c r="C5" s="5">
        <f t="shared" si="8"/>
        <v>9.9500000000000455</v>
      </c>
      <c r="D5" s="6">
        <v>283.10000000000002</v>
      </c>
      <c r="E5" s="6">
        <f t="shared" si="9"/>
        <v>74</v>
      </c>
      <c r="F5" s="5">
        <v>7.4</v>
      </c>
      <c r="G5" s="6">
        <f t="shared" si="10"/>
        <v>7400000</v>
      </c>
      <c r="H5" s="6">
        <v>283.33617681658876</v>
      </c>
      <c r="I5" s="7">
        <f t="shared" si="0"/>
        <v>-6.2959415458863077E-11</v>
      </c>
      <c r="J5" s="7">
        <f t="shared" si="1"/>
        <v>0.23617681658873835</v>
      </c>
      <c r="K5">
        <f t="shared" si="2"/>
        <v>2.9443902140221152E-6</v>
      </c>
      <c r="O5" s="8">
        <f t="shared" si="4"/>
        <v>2.0014800002101243</v>
      </c>
      <c r="P5" s="8">
        <f t="shared" si="5"/>
        <v>3.5323207347227126E-3</v>
      </c>
      <c r="Q5" s="8">
        <f t="shared" si="6"/>
        <v>3.5293763445086905E-3</v>
      </c>
    </row>
    <row r="6" spans="1:20" x14ac:dyDescent="0.25">
      <c r="A6" s="9"/>
      <c r="B6" s="9"/>
      <c r="C6" s="5">
        <f t="shared" si="8"/>
        <v>11</v>
      </c>
      <c r="D6" s="6">
        <v>284.14999999999998</v>
      </c>
      <c r="E6" s="6">
        <f t="shared" si="9"/>
        <v>82.5</v>
      </c>
      <c r="F6" s="5">
        <v>8.25</v>
      </c>
      <c r="G6" s="6">
        <f t="shared" si="10"/>
        <v>8250000</v>
      </c>
      <c r="H6" s="6">
        <v>284.3139462959407</v>
      </c>
      <c r="I6" s="7">
        <f t="shared" si="0"/>
        <v>3.2319036336048157E-11</v>
      </c>
      <c r="J6" s="7">
        <f t="shared" si="1"/>
        <v>0.1639462959407183</v>
      </c>
      <c r="K6">
        <f t="shared" si="2"/>
        <v>2.0293445301230427E-6</v>
      </c>
      <c r="O6" s="8">
        <f t="shared" si="4"/>
        <v>2.1102132003465894</v>
      </c>
      <c r="P6" s="8">
        <f t="shared" si="5"/>
        <v>3.5192679922576107E-3</v>
      </c>
      <c r="Q6" s="8">
        <f t="shared" si="6"/>
        <v>3.5172386477274878E-3</v>
      </c>
    </row>
  </sheetData>
  <mergeCells count="2">
    <mergeCell ref="A2:A6"/>
    <mergeCell ref="B2:B6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5715-F61C-4D68-AD6F-C60C755B5CA0}">
  <dimension ref="A1:T6"/>
  <sheetViews>
    <sheetView workbookViewId="0">
      <selection activeCell="E10" sqref="E10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 t="s">
        <v>23</v>
      </c>
      <c r="B2" s="4" t="s">
        <v>25</v>
      </c>
      <c r="C2" s="5">
        <f t="shared" ref="C2:C6" si="0">D2-273.15</f>
        <v>2.3500000000000227</v>
      </c>
      <c r="D2" s="6">
        <v>275.5</v>
      </c>
      <c r="E2" s="6">
        <f t="shared" ref="E2:E6" si="1">F2*10</f>
        <v>34.5</v>
      </c>
      <c r="F2" s="5">
        <v>3.45</v>
      </c>
      <c r="G2" s="6">
        <f t="shared" ref="G2:G6" si="2">F2*10^6</f>
        <v>3450000</v>
      </c>
      <c r="H2" s="6">
        <v>275.83556365013686</v>
      </c>
      <c r="I2" s="7">
        <f t="shared" ref="I2:I6" si="3">F2-10^(-4646.471 +5314653/H2 -2271392000/H2^2 +430306500000/H2^3 -30511740000000/H2^4)</f>
        <v>2.2293278334473143E-13</v>
      </c>
      <c r="J2" s="7">
        <f t="shared" ref="J2:J6" si="4">H2-D2</f>
        <v>0.33556365013686218</v>
      </c>
      <c r="K2">
        <f t="shared" ref="K2:K6" si="5">(H2-D2)/(H2*D2)</f>
        <v>4.4157354576822597E-6</v>
      </c>
      <c r="L2">
        <f>_xlfn.STDEV.S(K2:K6)</f>
        <v>1.4761354897752137E-6</v>
      </c>
      <c r="M2">
        <f>AVERAGE(K2:K6)</f>
        <v>5.7801368535452492E-6</v>
      </c>
      <c r="N2">
        <f t="shared" ref="N2" si="6">100*L2/M2</f>
        <v>25.538071626622912</v>
      </c>
      <c r="O2" s="8">
        <f t="shared" ref="O2:O6" si="7">LN(F2)</f>
        <v>1.2383742310432684</v>
      </c>
      <c r="P2" s="8">
        <f t="shared" ref="P2:P6" si="8">1/D2</f>
        <v>3.629764065335753E-3</v>
      </c>
      <c r="Q2" s="8">
        <f t="shared" ref="Q2:Q6" si="9">1/H2</f>
        <v>3.6253483298780711E-3</v>
      </c>
      <c r="R2">
        <f>SLOPE(O2:O6,P2:P6)</f>
        <v>-8038.4299986304159</v>
      </c>
      <c r="S2">
        <f>SLOPE(O2:O6,Q2:Q6)</f>
        <v>-8052.5227048485149</v>
      </c>
      <c r="T2">
        <f t="shared" ref="T2" si="10">100*ABS(S2-R2)/ABS(S2)</f>
        <v>0.17500982902679221</v>
      </c>
    </row>
    <row r="3" spans="1:20" x14ac:dyDescent="0.25">
      <c r="A3" s="9"/>
      <c r="B3" s="9"/>
      <c r="C3" s="5">
        <f t="shared" si="0"/>
        <v>5.0500000000000114</v>
      </c>
      <c r="D3" s="6">
        <v>278.2</v>
      </c>
      <c r="E3" s="6">
        <f t="shared" si="1"/>
        <v>46</v>
      </c>
      <c r="F3" s="5">
        <v>4.5999999999999996</v>
      </c>
      <c r="G3" s="6">
        <f t="shared" si="2"/>
        <v>4600000</v>
      </c>
      <c r="H3" s="6">
        <v>278.80108720559605</v>
      </c>
      <c r="I3" s="7">
        <f t="shared" si="3"/>
        <v>-4.8210324621322798E-12</v>
      </c>
      <c r="J3" s="7">
        <f t="shared" si="4"/>
        <v>0.60108720559605899</v>
      </c>
      <c r="K3">
        <f t="shared" si="5"/>
        <v>7.7497179244589173E-6</v>
      </c>
      <c r="O3" s="8">
        <f t="shared" si="7"/>
        <v>1.5260563034950492</v>
      </c>
      <c r="P3" s="8">
        <f t="shared" si="8"/>
        <v>3.5945363048166786E-3</v>
      </c>
      <c r="Q3" s="8">
        <f t="shared" si="9"/>
        <v>3.5867865868922199E-3</v>
      </c>
    </row>
    <row r="4" spans="1:20" x14ac:dyDescent="0.25">
      <c r="A4" s="9"/>
      <c r="B4" s="9"/>
      <c r="C4" s="5">
        <f t="shared" si="0"/>
        <v>8.4500000000000455</v>
      </c>
      <c r="D4" s="6">
        <v>281.60000000000002</v>
      </c>
      <c r="E4" s="6">
        <f t="shared" si="1"/>
        <v>65</v>
      </c>
      <c r="F4" s="5">
        <v>6.5</v>
      </c>
      <c r="G4" s="6">
        <f t="shared" si="2"/>
        <v>6500000</v>
      </c>
      <c r="H4" s="6">
        <v>282.14307294960565</v>
      </c>
      <c r="I4" s="7">
        <f t="shared" si="3"/>
        <v>4.4076742256038415E-11</v>
      </c>
      <c r="J4" s="7">
        <f t="shared" si="4"/>
        <v>0.54307294960563013</v>
      </c>
      <c r="K4">
        <f t="shared" si="5"/>
        <v>6.835277149605125E-6</v>
      </c>
      <c r="O4" s="8">
        <f t="shared" si="7"/>
        <v>1.8718021769015913</v>
      </c>
      <c r="P4" s="8">
        <f t="shared" si="8"/>
        <v>3.5511363636363635E-3</v>
      </c>
      <c r="Q4" s="8">
        <f t="shared" si="9"/>
        <v>3.5443010864867584E-3</v>
      </c>
    </row>
    <row r="5" spans="1:20" x14ac:dyDescent="0.25">
      <c r="A5" s="9"/>
      <c r="B5" s="9"/>
      <c r="C5" s="5">
        <f t="shared" si="0"/>
        <v>9.75</v>
      </c>
      <c r="D5" s="6">
        <v>282.89999999999998</v>
      </c>
      <c r="E5" s="6">
        <f t="shared" si="1"/>
        <v>74</v>
      </c>
      <c r="F5" s="5">
        <v>7.4</v>
      </c>
      <c r="G5" s="6">
        <f t="shared" si="2"/>
        <v>7400000</v>
      </c>
      <c r="H5" s="6">
        <v>283.33617681651964</v>
      </c>
      <c r="I5" s="7">
        <f t="shared" si="3"/>
        <v>-1.6468604258079722E-11</v>
      </c>
      <c r="J5" s="7">
        <f t="shared" si="4"/>
        <v>0.43617681651966222</v>
      </c>
      <c r="K5">
        <f t="shared" si="5"/>
        <v>5.4416123656697731E-6</v>
      </c>
      <c r="O5" s="8">
        <f t="shared" si="7"/>
        <v>2.0014800002101243</v>
      </c>
      <c r="P5" s="8">
        <f t="shared" si="8"/>
        <v>3.5348179568752214E-3</v>
      </c>
      <c r="Q5" s="8">
        <f t="shared" si="9"/>
        <v>3.5293763445095514E-3</v>
      </c>
    </row>
    <row r="6" spans="1:20" x14ac:dyDescent="0.25">
      <c r="A6" s="9"/>
      <c r="B6" s="9"/>
      <c r="C6" s="5">
        <f t="shared" si="0"/>
        <v>10.75</v>
      </c>
      <c r="D6" s="6">
        <v>283.89999999999998</v>
      </c>
      <c r="E6" s="6">
        <f t="shared" si="1"/>
        <v>82</v>
      </c>
      <c r="F6" s="5">
        <v>8.1999999999999993</v>
      </c>
      <c r="G6" s="6">
        <f t="shared" si="2"/>
        <v>8199999.9999999991</v>
      </c>
      <c r="H6" s="6">
        <v>284.25979419218299</v>
      </c>
      <c r="I6" s="7">
        <f t="shared" si="3"/>
        <v>-1.2574297159062553E-10</v>
      </c>
      <c r="J6" s="7">
        <f t="shared" si="4"/>
        <v>0.359794192183017</v>
      </c>
      <c r="K6">
        <f t="shared" si="5"/>
        <v>4.4583413703101692E-6</v>
      </c>
      <c r="O6" s="8">
        <f t="shared" si="7"/>
        <v>2.1041341542702074</v>
      </c>
      <c r="P6" s="8">
        <f t="shared" si="8"/>
        <v>3.5223670306445934E-3</v>
      </c>
      <c r="Q6" s="8">
        <f t="shared" si="9"/>
        <v>3.5179086892742832E-3</v>
      </c>
    </row>
  </sheetData>
  <mergeCells count="2">
    <mergeCell ref="A2:A6"/>
    <mergeCell ref="B2:B6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6A7AD-A7D9-4CEC-A5FC-6C043384972A}">
  <dimension ref="A1:T6"/>
  <sheetViews>
    <sheetView workbookViewId="0">
      <selection activeCell="E10" sqref="E10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 t="s">
        <v>23</v>
      </c>
      <c r="B2" s="4" t="s">
        <v>26</v>
      </c>
      <c r="C2" s="5">
        <v>1.75</v>
      </c>
      <c r="D2" s="6">
        <v>274.89999999999998</v>
      </c>
      <c r="E2" s="6">
        <v>34.5</v>
      </c>
      <c r="F2" s="5">
        <v>3.45</v>
      </c>
      <c r="G2" s="6">
        <v>3450000</v>
      </c>
      <c r="H2" s="6">
        <v>275.83556365006518</v>
      </c>
      <c r="I2" s="7">
        <f t="shared" ref="I2:I6" si="0">F2-10^(-4646.471 +5314653/H2 -2271392000/H2^2 +430306500000/H2^3 -30511740000000/H2^4)</f>
        <v>2.1898038937706588E-11</v>
      </c>
      <c r="J2" s="7">
        <f t="shared" ref="J2:J6" si="1">H2-D2</f>
        <v>0.93556365006520537</v>
      </c>
      <c r="K2">
        <f t="shared" ref="K2:K6" si="2">(H2-D2)/(H2*D2)</f>
        <v>1.2338101550598057E-5</v>
      </c>
      <c r="L2">
        <f>_xlfn.STDEV.S(K2:K6)</f>
        <v>7.4197613747967009E-7</v>
      </c>
      <c r="M2">
        <f>AVERAGE(K2:K6)</f>
        <v>1.3300176406497443E-5</v>
      </c>
      <c r="N2" s="11">
        <f t="shared" ref="N2" si="3">100*L2/M2</f>
        <v>5.5786939571508061</v>
      </c>
      <c r="O2" s="8">
        <f t="shared" ref="O2:O6" si="4">LN(F2)</f>
        <v>1.2383742310432684</v>
      </c>
      <c r="P2" s="8">
        <f t="shared" ref="P2:P6" si="5">1/D2</f>
        <v>3.637686431429611E-3</v>
      </c>
      <c r="Q2" s="8">
        <f t="shared" ref="Q2:Q6" si="6">1/H2</f>
        <v>3.625348329879013E-3</v>
      </c>
      <c r="R2">
        <f>SLOPE(O2:O6,P2:P6)</f>
        <v>-8105.7690602040284</v>
      </c>
      <c r="S2">
        <f>SLOPE(O2:O6,Q2:Q6)</f>
        <v>-8057.1361696648082</v>
      </c>
      <c r="T2">
        <f t="shared" ref="T2" si="7">100*ABS(S2-R2)/ABS(S2)</f>
        <v>0.60360020626588706</v>
      </c>
    </row>
    <row r="3" spans="1:20" x14ac:dyDescent="0.25">
      <c r="A3" s="9"/>
      <c r="B3" s="9"/>
      <c r="C3" s="5">
        <v>4.55</v>
      </c>
      <c r="D3" s="6">
        <v>277.7</v>
      </c>
      <c r="E3" s="5">
        <v>46</v>
      </c>
      <c r="F3" s="5">
        <v>4.5999999999999996</v>
      </c>
      <c r="G3" s="6">
        <v>4600000</v>
      </c>
      <c r="H3" s="6">
        <v>278.80108720564294</v>
      </c>
      <c r="I3" s="7">
        <f t="shared" si="0"/>
        <v>4.8130388563549786E-12</v>
      </c>
      <c r="J3" s="7">
        <f t="shared" si="1"/>
        <v>1.1010872056429548</v>
      </c>
      <c r="K3">
        <f t="shared" si="2"/>
        <v>1.422169542743292E-5</v>
      </c>
      <c r="O3" s="8">
        <f t="shared" si="4"/>
        <v>1.5260563034950492</v>
      </c>
      <c r="P3" s="8">
        <f t="shared" si="5"/>
        <v>3.6010082823190494E-3</v>
      </c>
      <c r="Q3" s="8">
        <f t="shared" si="6"/>
        <v>3.5867865868916167E-3</v>
      </c>
    </row>
    <row r="4" spans="1:20" x14ac:dyDescent="0.25">
      <c r="A4" s="9"/>
      <c r="B4" s="9"/>
      <c r="C4" s="5">
        <v>7.95</v>
      </c>
      <c r="D4" s="6">
        <v>281.10000000000002</v>
      </c>
      <c r="E4" s="5">
        <v>65</v>
      </c>
      <c r="F4" s="5">
        <v>6.5</v>
      </c>
      <c r="G4" s="6">
        <v>6500000</v>
      </c>
      <c r="H4" s="6">
        <v>282.14307294964897</v>
      </c>
      <c r="I4" s="7">
        <f t="shared" si="0"/>
        <v>-6.482014924813484E-11</v>
      </c>
      <c r="J4" s="7">
        <f t="shared" si="1"/>
        <v>1.0430729496489448</v>
      </c>
      <c r="K4">
        <f t="shared" si="2"/>
        <v>1.3151777263340928E-5</v>
      </c>
      <c r="O4" s="8">
        <f t="shared" si="4"/>
        <v>1.8718021769015913</v>
      </c>
      <c r="P4" s="8">
        <f t="shared" si="5"/>
        <v>3.557452863749555E-3</v>
      </c>
      <c r="Q4" s="8">
        <f t="shared" si="6"/>
        <v>3.5443010864862142E-3</v>
      </c>
    </row>
    <row r="5" spans="1:20" x14ac:dyDescent="0.25">
      <c r="A5" s="9"/>
      <c r="B5" s="9"/>
      <c r="C5" s="5">
        <v>9.15</v>
      </c>
      <c r="D5" s="6">
        <v>282.3</v>
      </c>
      <c r="E5" s="5">
        <v>74</v>
      </c>
      <c r="F5" s="5">
        <v>7.4</v>
      </c>
      <c r="G5" s="6">
        <v>7400000</v>
      </c>
      <c r="H5" s="6">
        <v>283.33617681639771</v>
      </c>
      <c r="I5" s="7">
        <f t="shared" si="0"/>
        <v>4.5520032188051118E-11</v>
      </c>
      <c r="J5" s="7">
        <f t="shared" si="1"/>
        <v>1.036176816397699</v>
      </c>
      <c r="K5">
        <f t="shared" si="2"/>
        <v>1.2954509190665352E-5</v>
      </c>
      <c r="O5" s="8">
        <f t="shared" si="4"/>
        <v>2.0014800002101243</v>
      </c>
      <c r="P5" s="8">
        <f t="shared" si="5"/>
        <v>3.5423308537017354E-3</v>
      </c>
      <c r="Q5" s="8">
        <f t="shared" si="6"/>
        <v>3.5293763445110701E-3</v>
      </c>
    </row>
    <row r="6" spans="1:20" x14ac:dyDescent="0.25">
      <c r="A6" s="9"/>
      <c r="B6" s="9"/>
      <c r="C6" s="5">
        <v>10.050000000000001</v>
      </c>
      <c r="D6" s="6">
        <v>283.2</v>
      </c>
      <c r="E6" s="6">
        <v>82.5</v>
      </c>
      <c r="F6" s="6">
        <v>8.25</v>
      </c>
      <c r="G6" s="6">
        <v>8250000</v>
      </c>
      <c r="H6" s="6">
        <v>284.31394629596122</v>
      </c>
      <c r="I6" s="7">
        <f t="shared" si="0"/>
        <v>6.6872729576061829E-11</v>
      </c>
      <c r="J6" s="7">
        <f t="shared" si="1"/>
        <v>1.1139462959612274</v>
      </c>
      <c r="K6">
        <f t="shared" si="2"/>
        <v>1.3834798600449958E-5</v>
      </c>
      <c r="O6" s="8">
        <f t="shared" si="4"/>
        <v>2.1102132003465894</v>
      </c>
      <c r="P6" s="8">
        <f t="shared" si="5"/>
        <v>3.5310734463276836E-3</v>
      </c>
      <c r="Q6" s="8">
        <f t="shared" si="6"/>
        <v>3.5172386477272336E-3</v>
      </c>
    </row>
  </sheetData>
  <mergeCells count="2">
    <mergeCell ref="A2:A6"/>
    <mergeCell ref="B2:B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76FF9-13C4-4D39-9BE0-DF8F1AE4A5AC}">
  <dimension ref="A1:T5"/>
  <sheetViews>
    <sheetView workbookViewId="0">
      <selection activeCell="E10" sqref="E10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 t="s">
        <v>27</v>
      </c>
      <c r="B2" s="3" t="s">
        <v>28</v>
      </c>
      <c r="C2" s="5">
        <v>10.35</v>
      </c>
      <c r="D2" s="6">
        <v>283.5</v>
      </c>
      <c r="E2" s="5">
        <v>80.5</v>
      </c>
      <c r="F2" s="5">
        <v>8.5</v>
      </c>
      <c r="G2" s="6">
        <v>8050000</v>
      </c>
      <c r="H2" s="6">
        <v>284.57902842527238</v>
      </c>
      <c r="I2" s="7">
        <f t="shared" ref="I2:I5" si="0">F2-10^(-4646.471 +5314653/H2 -2271392000/H2^2 +430306500000/H2^3 -30511740000000/H2^4)</f>
        <v>1.6790124846011167E-11</v>
      </c>
      <c r="J2" s="7">
        <f t="shared" ref="J2:J5" si="1">H2-D2</f>
        <v>1.0790284252723836</v>
      </c>
      <c r="K2">
        <f t="shared" ref="K2:K5" si="2">(H2-D2)/(H2*D2)</f>
        <v>1.3374480752272425E-5</v>
      </c>
      <c r="L2">
        <f>_xlfn.STDEV.S(K2:K5)</f>
        <v>9.4191421196678602E-6</v>
      </c>
      <c r="M2">
        <f>AVERAGE(K2:K5)</f>
        <v>1.1703134980136834E-5</v>
      </c>
      <c r="N2">
        <f t="shared" ref="N2" si="3">100*L2/M2</f>
        <v>80.48392277500443</v>
      </c>
      <c r="O2" s="8">
        <f t="shared" ref="O2:O5" si="4">LN(F2)</f>
        <v>2.1400661634962708</v>
      </c>
      <c r="P2" s="8">
        <f t="shared" ref="P2:P5" si="5">1/D2</f>
        <v>3.5273368606701938E-3</v>
      </c>
      <c r="Q2" s="8">
        <f t="shared" ref="Q2:Q5" si="6">1/H2</f>
        <v>3.5139623799179216E-3</v>
      </c>
      <c r="R2">
        <f>SLOPE(O2:O5,P2:P5)</f>
        <v>-8464.9010749128756</v>
      </c>
      <c r="S2">
        <f>SLOPE(O2:O5,Q2:Q5)</f>
        <v>-8080.2885467408069</v>
      </c>
      <c r="T2">
        <f>100*ABS(S2-R2)/ABS(S2)</f>
        <v>4.7598860603462319</v>
      </c>
    </row>
    <row r="3" spans="1:20" x14ac:dyDescent="0.25">
      <c r="A3" s="9"/>
      <c r="B3" s="9"/>
      <c r="C3" s="5">
        <v>8.4499999999999993</v>
      </c>
      <c r="D3" s="6">
        <v>281.60000000000002</v>
      </c>
      <c r="E3" s="5">
        <v>65.099999999999994</v>
      </c>
      <c r="F3" s="6">
        <v>6.51</v>
      </c>
      <c r="G3" s="6">
        <v>6510000</v>
      </c>
      <c r="H3" s="6">
        <v>282.15739852487923</v>
      </c>
      <c r="I3" s="7">
        <f t="shared" si="0"/>
        <v>-3.7902125882283144E-11</v>
      </c>
      <c r="J3" s="7">
        <f t="shared" si="1"/>
        <v>0.55739852487920416</v>
      </c>
      <c r="K3">
        <f t="shared" si="2"/>
        <v>7.0152268949321086E-6</v>
      </c>
      <c r="O3" s="8">
        <f t="shared" si="4"/>
        <v>1.8733394562204779</v>
      </c>
      <c r="P3" s="8">
        <f t="shared" si="5"/>
        <v>3.5511363636363635E-3</v>
      </c>
      <c r="Q3" s="8">
        <f t="shared" si="6"/>
        <v>3.5441211367414314E-3</v>
      </c>
    </row>
    <row r="4" spans="1:20" x14ac:dyDescent="0.25">
      <c r="A4" s="9"/>
      <c r="B4" s="9"/>
      <c r="C4" s="5">
        <v>5.35</v>
      </c>
      <c r="D4" s="6">
        <v>278.5</v>
      </c>
      <c r="E4" s="5">
        <v>50.4</v>
      </c>
      <c r="F4" s="5">
        <v>5.4</v>
      </c>
      <c r="G4" s="6">
        <v>5040000</v>
      </c>
      <c r="H4" s="6">
        <v>280.38137287203091</v>
      </c>
      <c r="I4" s="7">
        <f t="shared" si="0"/>
        <v>2.1903368008224788E-11</v>
      </c>
      <c r="J4" s="7">
        <f t="shared" si="1"/>
        <v>1.8813728720309086</v>
      </c>
      <c r="K4">
        <f t="shared" si="2"/>
        <v>2.4093534767981797E-5</v>
      </c>
      <c r="O4" s="8">
        <f t="shared" si="4"/>
        <v>1.6863989535702288</v>
      </c>
      <c r="P4" s="8">
        <f t="shared" si="5"/>
        <v>3.5906642728904849E-3</v>
      </c>
      <c r="Q4" s="8">
        <f t="shared" si="6"/>
        <v>3.566570738122503E-3</v>
      </c>
    </row>
    <row r="5" spans="1:20" x14ac:dyDescent="0.25">
      <c r="A5" s="9"/>
      <c r="B5" s="9"/>
      <c r="C5" s="5">
        <v>2.75</v>
      </c>
      <c r="D5" s="6">
        <v>275.89999999999998</v>
      </c>
      <c r="E5" s="5">
        <v>35.299999999999997</v>
      </c>
      <c r="F5" s="6">
        <v>3.53</v>
      </c>
      <c r="G5" s="6">
        <v>3530000</v>
      </c>
      <c r="H5" s="6">
        <v>276.07742203367349</v>
      </c>
      <c r="I5" s="7">
        <f t="shared" si="0"/>
        <v>3.5749181392930041E-12</v>
      </c>
      <c r="J5" s="7">
        <f t="shared" si="1"/>
        <v>0.17742203367350839</v>
      </c>
      <c r="K5">
        <f t="shared" si="2"/>
        <v>2.3292975053610084E-6</v>
      </c>
      <c r="O5" s="8">
        <f t="shared" si="4"/>
        <v>1.2612978709452054</v>
      </c>
      <c r="P5" s="8">
        <f t="shared" si="5"/>
        <v>3.6245016310257343E-3</v>
      </c>
      <c r="Q5" s="8">
        <f t="shared" si="6"/>
        <v>3.6221723335203731E-3</v>
      </c>
    </row>
  </sheetData>
  <mergeCells count="2">
    <mergeCell ref="A2:A5"/>
    <mergeCell ref="B2:B5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B04A9-CA79-441C-A2C8-41EA95174603}">
  <dimension ref="A1:T5"/>
  <sheetViews>
    <sheetView workbookViewId="0">
      <selection activeCell="G13" sqref="G1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 t="s">
        <v>27</v>
      </c>
      <c r="B2" s="3" t="s">
        <v>29</v>
      </c>
      <c r="C2" s="5">
        <v>11.15</v>
      </c>
      <c r="D2" s="6">
        <v>284.3</v>
      </c>
      <c r="E2" s="5">
        <v>80.5</v>
      </c>
      <c r="F2" s="5">
        <v>8.5</v>
      </c>
      <c r="G2" s="6">
        <v>8050000</v>
      </c>
      <c r="H2" s="6">
        <v>284.57902842536811</v>
      </c>
      <c r="I2" s="7">
        <f t="shared" ref="I2:I5" si="0">F2-10^(-4646.471 +5314653/H2 -2271392000/H2^2 +430306500000/H2^3 -30511740000000/H2^4)</f>
        <v>-9.0016882836607692E-11</v>
      </c>
      <c r="J2" s="7">
        <f t="shared" ref="J2:J5" si="1">H2-D2</f>
        <v>0.27902842536809658</v>
      </c>
      <c r="K2">
        <f>(H2-D2)/(H2*D2)</f>
        <v>3.4488054508297467E-6</v>
      </c>
      <c r="L2">
        <f>_xlfn.STDEV.S(K2:K5)</f>
        <v>9.1001538362924893E-6</v>
      </c>
      <c r="M2">
        <f>AVERAGE(K2:K5)</f>
        <v>3.1044344106556293E-6</v>
      </c>
      <c r="N2">
        <f t="shared" ref="N2" si="2">100*L2/M2</f>
        <v>293.13403449778849</v>
      </c>
      <c r="O2" s="8">
        <f t="shared" ref="O2:O5" si="3">LN(F2)</f>
        <v>2.1400661634962708</v>
      </c>
      <c r="P2" s="8">
        <f t="shared" ref="P2:P5" si="4">1/D2</f>
        <v>3.5174111853675692E-3</v>
      </c>
      <c r="Q2" s="8">
        <f t="shared" ref="Q2:Q5" si="5">1/H2</f>
        <v>3.5139623799167394E-3</v>
      </c>
      <c r="R2">
        <f>SLOPE(O2:O5,P2:P5)</f>
        <v>-8521.7304126810795</v>
      </c>
      <c r="S2">
        <f t="shared" ref="S2" si="6">SLOPE(O2:O5,Q2:Q5)</f>
        <v>-8080.2885466586113</v>
      </c>
      <c r="T2">
        <f t="shared" ref="T2" si="7">100*ABS(S2-R2)/ABS(S2)</f>
        <v>5.4631943336357072</v>
      </c>
    </row>
    <row r="3" spans="1:20" x14ac:dyDescent="0.25">
      <c r="A3" s="9"/>
      <c r="B3" s="9"/>
      <c r="C3" s="5">
        <v>8.9499999999999993</v>
      </c>
      <c r="D3" s="6">
        <v>282.10000000000002</v>
      </c>
      <c r="E3" s="5">
        <v>65.099999999999994</v>
      </c>
      <c r="F3" s="6">
        <v>6.51</v>
      </c>
      <c r="G3" s="6">
        <v>6510000</v>
      </c>
      <c r="H3" s="6">
        <v>282.15739852487678</v>
      </c>
      <c r="I3" s="7">
        <f t="shared" si="0"/>
        <v>1.6631140908884845E-11</v>
      </c>
      <c r="J3" s="7">
        <f t="shared" si="1"/>
        <v>5.7398524876759893E-2</v>
      </c>
      <c r="K3">
        <f t="shared" ref="K3:K5" si="8">(H3-D3)/(H3*D3)</f>
        <v>7.2111777821164598E-7</v>
      </c>
      <c r="O3" s="8">
        <f t="shared" si="3"/>
        <v>1.8733394562204779</v>
      </c>
      <c r="P3" s="8">
        <f t="shared" si="4"/>
        <v>3.5448422545196734E-3</v>
      </c>
      <c r="Q3" s="8">
        <f t="shared" si="5"/>
        <v>3.5441211367414618E-3</v>
      </c>
    </row>
    <row r="4" spans="1:20" x14ac:dyDescent="0.25">
      <c r="A4" s="9"/>
      <c r="B4" s="9"/>
      <c r="C4" s="5">
        <v>6.05</v>
      </c>
      <c r="D4" s="6">
        <v>279.2</v>
      </c>
      <c r="E4" s="5">
        <v>50.4</v>
      </c>
      <c r="F4" s="5">
        <v>5.4</v>
      </c>
      <c r="G4" s="6">
        <v>5040000</v>
      </c>
      <c r="H4" s="6">
        <v>280.38137287208059</v>
      </c>
      <c r="I4" s="7">
        <f t="shared" si="0"/>
        <v>-1.2023271267480595E-11</v>
      </c>
      <c r="J4" s="7">
        <f t="shared" si="1"/>
        <v>1.1813728720806012</v>
      </c>
      <c r="K4">
        <f t="shared" si="8"/>
        <v>1.509115299560768E-5</v>
      </c>
      <c r="O4" s="8">
        <f t="shared" si="3"/>
        <v>1.6863989535702288</v>
      </c>
      <c r="P4" s="8">
        <f t="shared" si="4"/>
        <v>3.5816618911174787E-3</v>
      </c>
      <c r="Q4" s="8">
        <f t="shared" si="5"/>
        <v>3.5665707381218712E-3</v>
      </c>
    </row>
    <row r="5" spans="1:20" x14ac:dyDescent="0.25">
      <c r="A5" s="9"/>
      <c r="B5" s="9"/>
      <c r="C5" s="5">
        <v>3.45</v>
      </c>
      <c r="D5" s="6">
        <v>276.60000000000002</v>
      </c>
      <c r="E5" s="5">
        <v>35.299999999999997</v>
      </c>
      <c r="F5" s="6">
        <v>3.53</v>
      </c>
      <c r="G5" s="6">
        <v>3530000</v>
      </c>
      <c r="H5" s="6">
        <v>276.07742203365882</v>
      </c>
      <c r="I5" s="7">
        <f t="shared" si="0"/>
        <v>1.8359980202831139E-11</v>
      </c>
      <c r="J5" s="7">
        <f t="shared" si="1"/>
        <v>-0.52257796634120268</v>
      </c>
      <c r="K5">
        <f t="shared" si="8"/>
        <v>-6.8433385820265568E-6</v>
      </c>
      <c r="O5" s="8">
        <f t="shared" si="3"/>
        <v>1.2612978709452054</v>
      </c>
      <c r="P5" s="8">
        <f t="shared" si="4"/>
        <v>3.6153289949385392E-3</v>
      </c>
      <c r="Q5" s="8">
        <f t="shared" si="5"/>
        <v>3.6221723335205657E-3</v>
      </c>
    </row>
  </sheetData>
  <mergeCells count="2">
    <mergeCell ref="A2:A5"/>
    <mergeCell ref="B2:B5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0BD3E-3224-476F-A590-E5615FAA37D6}">
  <dimension ref="A1:T5"/>
  <sheetViews>
    <sheetView workbookViewId="0">
      <selection activeCell="E10" sqref="E10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 t="s">
        <v>27</v>
      </c>
      <c r="B2" s="3" t="s">
        <v>30</v>
      </c>
      <c r="C2" s="5">
        <v>10.35</v>
      </c>
      <c r="D2" s="6">
        <v>283.5</v>
      </c>
      <c r="E2" s="5">
        <v>80.5</v>
      </c>
      <c r="F2" s="5">
        <v>8.5</v>
      </c>
      <c r="G2" s="6">
        <v>8050000</v>
      </c>
      <c r="H2" s="6">
        <v>284.57902842532161</v>
      </c>
      <c r="I2" s="7">
        <f t="shared" ref="I2:I5" si="0">F2-10^(-4646.471 +5314653/H2 -2271392000/H2^2 +430306500000/H2^3 -30511740000000/H2^4)</f>
        <v>-1.8813395286088053E-11</v>
      </c>
      <c r="J2" s="7">
        <f t="shared" ref="J2:J5" si="1">H2-D2</f>
        <v>1.07902842532161</v>
      </c>
      <c r="K2">
        <f>(H2-D2)/(H2*D2)</f>
        <v>1.3374480752880269E-5</v>
      </c>
      <c r="L2">
        <f>_xlfn.STDEV.S(K2:K5)</f>
        <v>9.4191421200531281E-6</v>
      </c>
      <c r="M2">
        <f t="shared" ref="M2" si="2">AVERAGE(K2:K5)</f>
        <v>1.1703134980565151E-5</v>
      </c>
      <c r="N2">
        <f t="shared" ref="N2" si="3">100*L2/M2</f>
        <v>80.483922775350848</v>
      </c>
      <c r="O2" s="8">
        <f t="shared" ref="O2:O5" si="4">LN(F2)</f>
        <v>2.1400661634962708</v>
      </c>
      <c r="P2" s="8">
        <f t="shared" ref="P2:P5" si="5">1/D2</f>
        <v>3.5273368606701938E-3</v>
      </c>
      <c r="Q2" s="8">
        <f t="shared" ref="Q2:Q5" si="6">1/H2</f>
        <v>3.5139623799173136E-3</v>
      </c>
      <c r="R2">
        <f>SLOPE(O2:O5,P2:P5)</f>
        <v>-8464.9010749128756</v>
      </c>
      <c r="S2">
        <f>SLOPE(O2:O5,Q2:Q5)</f>
        <v>-8080.2885467368351</v>
      </c>
      <c r="T2">
        <f t="shared" ref="T2" si="7">100*ABS(S2-R2)/ABS(S2)</f>
        <v>4.7598860603977249</v>
      </c>
    </row>
    <row r="3" spans="1:20" x14ac:dyDescent="0.25">
      <c r="A3" s="9"/>
      <c r="B3" s="9"/>
      <c r="C3" s="5">
        <v>8.4499999999999993</v>
      </c>
      <c r="D3" s="6">
        <v>281.60000000000002</v>
      </c>
      <c r="E3" s="5">
        <v>65.099999999999994</v>
      </c>
      <c r="F3" s="6">
        <v>6.51</v>
      </c>
      <c r="G3" s="6">
        <v>6510000</v>
      </c>
      <c r="H3" s="6">
        <v>282.15739852486604</v>
      </c>
      <c r="I3" s="7">
        <f t="shared" si="0"/>
        <v>5.7530868957655912E-11</v>
      </c>
      <c r="J3" s="7">
        <f t="shared" si="1"/>
        <v>0.55739852486601649</v>
      </c>
      <c r="K3">
        <f t="shared" ref="K3:K5" si="8">(H3-D3)/(H3*D3)</f>
        <v>7.0152268947664603E-6</v>
      </c>
      <c r="O3" s="8">
        <f t="shared" si="4"/>
        <v>1.8733394562204779</v>
      </c>
      <c r="P3" s="8">
        <f t="shared" si="5"/>
        <v>3.5511363636363635E-3</v>
      </c>
      <c r="Q3" s="8">
        <f t="shared" si="6"/>
        <v>3.5441211367415967E-3</v>
      </c>
    </row>
    <row r="4" spans="1:20" x14ac:dyDescent="0.25">
      <c r="A4" s="9"/>
      <c r="B4" s="9"/>
      <c r="C4" s="5">
        <v>5.35</v>
      </c>
      <c r="D4" s="6">
        <v>278.5</v>
      </c>
      <c r="E4" s="5">
        <v>50.4</v>
      </c>
      <c r="F4" s="5">
        <v>5.4</v>
      </c>
      <c r="G4" s="6">
        <v>5040000</v>
      </c>
      <c r="H4" s="6">
        <v>280.38137287210679</v>
      </c>
      <c r="I4" s="7">
        <f t="shared" si="0"/>
        <v>-6.8566485822429968E-11</v>
      </c>
      <c r="J4" s="7">
        <f t="shared" si="1"/>
        <v>1.8813728721067946</v>
      </c>
      <c r="K4">
        <f t="shared" si="8"/>
        <v>2.4093534768947099E-5</v>
      </c>
      <c r="O4" s="8">
        <f t="shared" si="4"/>
        <v>1.6863989535702288</v>
      </c>
      <c r="P4" s="8">
        <f t="shared" si="5"/>
        <v>3.5906642728904849E-3</v>
      </c>
      <c r="Q4" s="8">
        <f t="shared" si="6"/>
        <v>3.5665707381215377E-3</v>
      </c>
    </row>
    <row r="5" spans="1:20" x14ac:dyDescent="0.25">
      <c r="A5" s="9"/>
      <c r="B5" s="9"/>
      <c r="C5" s="5">
        <v>2.75</v>
      </c>
      <c r="D5" s="6">
        <v>275.89999999999998</v>
      </c>
      <c r="E5" s="5">
        <v>35.299999999999997</v>
      </c>
      <c r="F5" s="6">
        <v>3.53</v>
      </c>
      <c r="G5" s="6">
        <v>3530000</v>
      </c>
      <c r="H5" s="6">
        <v>276.07742203369679</v>
      </c>
      <c r="I5" s="7">
        <f t="shared" si="0"/>
        <v>-2.5995650076993115E-11</v>
      </c>
      <c r="J5" s="7">
        <f t="shared" si="1"/>
        <v>0.1774220336968142</v>
      </c>
      <c r="K5">
        <f t="shared" si="8"/>
        <v>2.3292975056667835E-6</v>
      </c>
      <c r="O5" s="8">
        <f t="shared" si="4"/>
        <v>1.2612978709452054</v>
      </c>
      <c r="P5" s="8">
        <f t="shared" si="5"/>
        <v>3.6245016310257343E-3</v>
      </c>
      <c r="Q5" s="8">
        <f t="shared" si="6"/>
        <v>3.6221723335200674E-3</v>
      </c>
    </row>
  </sheetData>
  <mergeCells count="2">
    <mergeCell ref="A2:A5"/>
    <mergeCell ref="B2:B5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DD9F-806E-45D4-BC99-636C9970EC5F}">
  <dimension ref="A1:T5"/>
  <sheetViews>
    <sheetView workbookViewId="0">
      <selection activeCell="G12" sqref="G1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 t="s">
        <v>31</v>
      </c>
      <c r="B2" s="3" t="s">
        <v>32</v>
      </c>
      <c r="C2" s="6">
        <f>D2-273.15</f>
        <v>3.0500000000000114</v>
      </c>
      <c r="D2">
        <v>276.2</v>
      </c>
      <c r="E2" s="6">
        <f>F2*10</f>
        <v>35</v>
      </c>
      <c r="F2">
        <v>3.5</v>
      </c>
      <c r="G2" s="6">
        <f>F2*10^6</f>
        <v>3500000</v>
      </c>
      <c r="H2">
        <v>275.98747179076429</v>
      </c>
      <c r="I2" s="7">
        <f t="shared" ref="I2:I5" si="0">F2-10^(-4646.471 +5314653/H2 -2271392000/H2^2 +430306500000/H2^3 -30511740000000/H2^4)</f>
        <v>-2.5826452088040242E-11</v>
      </c>
      <c r="J2" s="7">
        <f t="shared" ref="J2:J5" si="1">H2-D2</f>
        <v>-0.21252820923569971</v>
      </c>
      <c r="K2">
        <f>(H2-D2)/(H2*D2)</f>
        <v>-2.7880691471125563E-6</v>
      </c>
      <c r="L2">
        <f>_xlfn.STDEV.S(K2:K5)</f>
        <v>4.6052528865098818E-6</v>
      </c>
      <c r="M2">
        <f>AVERAGE(K2:K5)</f>
        <v>2.1678218157341864E-6</v>
      </c>
      <c r="N2">
        <f t="shared" ref="N2" si="2">100*L2/M2</f>
        <v>212.43687341296541</v>
      </c>
      <c r="O2" s="8">
        <f t="shared" ref="O2:O5" si="3">LN(F2)</f>
        <v>1.2527629684953681</v>
      </c>
      <c r="P2" s="8">
        <f t="shared" ref="P2:P5" si="4">1/D2</f>
        <v>3.6205648081100651E-3</v>
      </c>
      <c r="Q2" s="8">
        <f t="shared" ref="Q2:Q5" si="5">1/H2</f>
        <v>3.6233528772571777E-3</v>
      </c>
      <c r="R2">
        <f>SLOPE(O2:O5,P2:P5)</f>
        <v>-8152.0098046003905</v>
      </c>
      <c r="S2">
        <f>SLOPE(O2:O5,Q2:Q5)</f>
        <v>-8018.9609563847162</v>
      </c>
      <c r="T2">
        <f t="shared" ref="T2" si="6">100*ABS(S2-R2)/ABS(S2)</f>
        <v>1.6591781521238169</v>
      </c>
    </row>
    <row r="3" spans="1:20" x14ac:dyDescent="0.25">
      <c r="A3" s="3"/>
      <c r="B3" s="3"/>
      <c r="C3" s="6">
        <f t="shared" ref="C3:C5" si="7">D3-273.15</f>
        <v>5.5500000000000114</v>
      </c>
      <c r="D3">
        <v>278.7</v>
      </c>
      <c r="E3" s="6">
        <f t="shared" ref="E3:E5" si="8">F3*10</f>
        <v>48.5</v>
      </c>
      <c r="F3">
        <v>4.8499999999999996</v>
      </c>
      <c r="G3" s="6">
        <f t="shared" ref="G3:G5" si="9">F3*10^6</f>
        <v>4850000</v>
      </c>
      <c r="H3">
        <v>279.32861083092621</v>
      </c>
      <c r="I3" s="7">
        <f t="shared" si="0"/>
        <v>2.5586643914721208E-11</v>
      </c>
      <c r="J3" s="7">
        <f t="shared" si="1"/>
        <v>0.62861083092622039</v>
      </c>
      <c r="K3">
        <f t="shared" ref="K3:K5" si="10">(H3-D3)/(H3*D3)</f>
        <v>8.0747571439772306E-6</v>
      </c>
      <c r="O3" s="8">
        <f t="shared" si="3"/>
        <v>1.5789787049493917</v>
      </c>
      <c r="P3" s="8">
        <f t="shared" si="4"/>
        <v>3.5880875493362039E-3</v>
      </c>
      <c r="Q3" s="8">
        <f t="shared" si="5"/>
        <v>3.5800127921922268E-3</v>
      </c>
    </row>
    <row r="4" spans="1:20" x14ac:dyDescent="0.25">
      <c r="A4" s="3"/>
      <c r="B4" s="3"/>
      <c r="C4" s="6">
        <f t="shared" si="7"/>
        <v>8.75</v>
      </c>
      <c r="D4">
        <v>281.89999999999998</v>
      </c>
      <c r="E4" s="6">
        <f t="shared" si="8"/>
        <v>65</v>
      </c>
      <c r="F4">
        <v>6.5</v>
      </c>
      <c r="G4" s="6">
        <f t="shared" si="9"/>
        <v>6500000</v>
      </c>
      <c r="H4">
        <v>282.14307294952278</v>
      </c>
      <c r="I4" s="7">
        <f t="shared" si="0"/>
        <v>4.4076742256038415E-11</v>
      </c>
      <c r="J4" s="7">
        <f t="shared" si="1"/>
        <v>0.2430729495227979</v>
      </c>
      <c r="K4">
        <f t="shared" si="10"/>
        <v>3.0561323841413503E-6</v>
      </c>
      <c r="O4" s="8">
        <f t="shared" si="3"/>
        <v>1.8718021769015913</v>
      </c>
      <c r="P4" s="8">
        <f t="shared" si="4"/>
        <v>3.5473572188719407E-3</v>
      </c>
      <c r="Q4" s="8">
        <f t="shared" si="5"/>
        <v>3.5443010864877993E-3</v>
      </c>
    </row>
    <row r="5" spans="1:20" x14ac:dyDescent="0.25">
      <c r="A5" s="3"/>
      <c r="B5" s="3"/>
      <c r="C5" s="6">
        <f t="shared" si="7"/>
        <v>10.75</v>
      </c>
      <c r="D5">
        <v>283.89999999999998</v>
      </c>
      <c r="E5" s="6">
        <f t="shared" si="8"/>
        <v>79</v>
      </c>
      <c r="F5">
        <v>7.9</v>
      </c>
      <c r="G5" s="6">
        <f t="shared" si="9"/>
        <v>7900000</v>
      </c>
      <c r="H5">
        <v>283.92647664018773</v>
      </c>
      <c r="I5" s="7">
        <f t="shared" si="0"/>
        <v>-3.9883651936634124E-11</v>
      </c>
      <c r="J5" s="7">
        <f t="shared" si="1"/>
        <v>2.6476640187752309E-2</v>
      </c>
      <c r="K5">
        <f t="shared" si="10"/>
        <v>3.2846688193072191E-7</v>
      </c>
      <c r="O5" s="8">
        <f t="shared" si="3"/>
        <v>2.066862759472976</v>
      </c>
      <c r="P5" s="8">
        <f t="shared" si="4"/>
        <v>3.5223670306445934E-3</v>
      </c>
      <c r="Q5" s="8">
        <f t="shared" si="5"/>
        <v>3.5220385637626628E-3</v>
      </c>
    </row>
  </sheetData>
  <mergeCells count="2">
    <mergeCell ref="A2:A5"/>
    <mergeCell ref="B2:B5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A1972-2815-4655-A8FE-113D0EA4A615}">
  <dimension ref="A1:T5"/>
  <sheetViews>
    <sheetView workbookViewId="0">
      <selection activeCell="E13" sqref="E1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 t="s">
        <v>31</v>
      </c>
      <c r="B2" s="3" t="s">
        <v>33</v>
      </c>
      <c r="C2" s="6">
        <f t="shared" ref="C2:C5" si="0">D2-273.15</f>
        <v>2.8500000000000227</v>
      </c>
      <c r="D2">
        <v>276</v>
      </c>
      <c r="E2" s="6">
        <f t="shared" ref="E2:E5" si="1">F2*10</f>
        <v>35</v>
      </c>
      <c r="F2">
        <v>3.5</v>
      </c>
      <c r="G2" s="6">
        <f t="shared" ref="G2:G5" si="2">F2*10^6</f>
        <v>3500000</v>
      </c>
      <c r="H2">
        <v>275.98747179139241</v>
      </c>
      <c r="I2" s="7">
        <f t="shared" ref="I2:I5" si="3">F2-10^(-4646.471 +5314653/H2 -2271392000/H2^2 +430306500000/H2^3 -30511740000000/H2^4)</f>
        <v>-2.8236435412054561E-10</v>
      </c>
      <c r="J2" s="7">
        <f t="shared" ref="J2:J5" si="4">H2-D2</f>
        <v>-1.2528208607591296E-2</v>
      </c>
      <c r="K2">
        <f t="shared" ref="K2:K5" si="5">(H2-D2)/(H2*D2)</f>
        <v>-1.6447145183003896E-7</v>
      </c>
      <c r="L2">
        <f>_xlfn.STDEV.S(K2:K5)</f>
        <v>4.887343259426931E-6</v>
      </c>
      <c r="M2">
        <f>AVERAGE(K2:K5)</f>
        <v>5.265741730977569E-6</v>
      </c>
      <c r="N2">
        <f>100*L2/M2</f>
        <v>92.813956876681274</v>
      </c>
      <c r="O2" s="8">
        <f t="shared" ref="O2:O5" si="6">LN(F2)</f>
        <v>1.2527629684953681</v>
      </c>
      <c r="P2" s="8">
        <f t="shared" ref="P2:P5" si="7">1/D2</f>
        <v>3.6231884057971015E-3</v>
      </c>
      <c r="Q2" s="8">
        <f t="shared" ref="Q2:Q5" si="8">1/H2</f>
        <v>3.6233528772489313E-3</v>
      </c>
      <c r="R2">
        <f>SLOPE(O2:O5,P2:P5)</f>
        <v>-8204.5679726152575</v>
      </c>
      <c r="S2">
        <f>SLOPE(O2:O5,Q2:Q5)</f>
        <v>-8020.1792170610743</v>
      </c>
      <c r="T2">
        <f t="shared" ref="T2" si="9">100*ABS(S2-R2)/ABS(S2)</f>
        <v>2.2990602898491206</v>
      </c>
    </row>
    <row r="3" spans="1:20" x14ac:dyDescent="0.25">
      <c r="A3" s="3"/>
      <c r="B3" s="3"/>
      <c r="C3" s="6">
        <f t="shared" si="0"/>
        <v>5.4500000000000455</v>
      </c>
      <c r="D3">
        <v>278.60000000000002</v>
      </c>
      <c r="E3" s="6">
        <f t="shared" si="1"/>
        <v>49.3</v>
      </c>
      <c r="F3">
        <v>4.93</v>
      </c>
      <c r="G3" s="6">
        <f t="shared" si="2"/>
        <v>4930000</v>
      </c>
      <c r="H3">
        <v>279.49050262359646</v>
      </c>
      <c r="I3" s="7">
        <f t="shared" si="3"/>
        <v>-1.538955629598604E-10</v>
      </c>
      <c r="J3" s="7">
        <f t="shared" si="4"/>
        <v>0.89050262359643284</v>
      </c>
      <c r="K3">
        <f t="shared" si="5"/>
        <v>1.1436339425170579E-5</v>
      </c>
      <c r="O3" s="8">
        <f t="shared" si="6"/>
        <v>1.5953389880545987</v>
      </c>
      <c r="P3" s="8">
        <f t="shared" si="7"/>
        <v>3.5893754486719309E-3</v>
      </c>
      <c r="Q3" s="8">
        <f t="shared" si="8"/>
        <v>3.5779391092467601E-3</v>
      </c>
    </row>
    <row r="4" spans="1:20" x14ac:dyDescent="0.25">
      <c r="A4" s="3"/>
      <c r="B4" s="3"/>
      <c r="C4" s="6">
        <f t="shared" si="0"/>
        <v>8.3500000000000227</v>
      </c>
      <c r="D4">
        <v>281.5</v>
      </c>
      <c r="E4" s="6">
        <f t="shared" si="1"/>
        <v>64</v>
      </c>
      <c r="F4">
        <v>6.4</v>
      </c>
      <c r="G4" s="6">
        <f t="shared" si="2"/>
        <v>6400000</v>
      </c>
      <c r="H4">
        <v>281.99834140130969</v>
      </c>
      <c r="I4" s="7">
        <f t="shared" si="3"/>
        <v>-7.4559025620146713E-11</v>
      </c>
      <c r="J4" s="7">
        <f t="shared" si="4"/>
        <v>0.49834140130968763</v>
      </c>
      <c r="K4">
        <f t="shared" si="5"/>
        <v>6.2777210781855803E-6</v>
      </c>
      <c r="O4" s="8">
        <f t="shared" si="6"/>
        <v>1.8562979903656263</v>
      </c>
      <c r="P4" s="8">
        <f t="shared" si="7"/>
        <v>3.552397868561279E-3</v>
      </c>
      <c r="Q4" s="8">
        <f t="shared" si="8"/>
        <v>3.5461201474830933E-3</v>
      </c>
    </row>
    <row r="5" spans="1:20" x14ac:dyDescent="0.25">
      <c r="A5" s="3"/>
      <c r="B5" s="3"/>
      <c r="C5" s="6">
        <f t="shared" si="0"/>
        <v>10.550000000000011</v>
      </c>
      <c r="D5">
        <v>283.7</v>
      </c>
      <c r="E5" s="6">
        <f t="shared" si="1"/>
        <v>79.5</v>
      </c>
      <c r="F5">
        <v>7.95</v>
      </c>
      <c r="G5" s="6">
        <f t="shared" si="2"/>
        <v>7950000</v>
      </c>
      <c r="H5">
        <v>283.98305877979863</v>
      </c>
      <c r="I5" s="7">
        <f t="shared" si="3"/>
        <v>-4.8633985727519757E-11</v>
      </c>
      <c r="J5" s="7">
        <f t="shared" si="4"/>
        <v>0.28305877979863681</v>
      </c>
      <c r="K5">
        <f t="shared" si="5"/>
        <v>3.513377872384156E-6</v>
      </c>
      <c r="O5" s="8">
        <f t="shared" si="6"/>
        <v>2.0731719286662407</v>
      </c>
      <c r="P5" s="8">
        <f t="shared" si="7"/>
        <v>3.5248501938667607E-3</v>
      </c>
      <c r="Q5" s="8">
        <f t="shared" si="8"/>
        <v>3.5213368159943766E-3</v>
      </c>
    </row>
  </sheetData>
  <mergeCells count="2">
    <mergeCell ref="A2:A5"/>
    <mergeCell ref="B2:B5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E969F-13DE-4F14-9F86-B4E47AFE11E6}">
  <dimension ref="A1:T5"/>
  <sheetViews>
    <sheetView tabSelected="1" workbookViewId="0">
      <selection activeCell="E10" sqref="E10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 t="s">
        <v>31</v>
      </c>
      <c r="B2" s="3" t="s">
        <v>34</v>
      </c>
      <c r="C2" s="6">
        <f t="shared" ref="C2:C5" si="0">D2-273.15</f>
        <v>2.6500000000000341</v>
      </c>
      <c r="D2">
        <v>275.8</v>
      </c>
      <c r="E2" s="6">
        <f t="shared" ref="E2:E5" si="1">F2*10</f>
        <v>36.200000000000003</v>
      </c>
      <c r="F2">
        <v>3.62</v>
      </c>
      <c r="G2" s="6">
        <f t="shared" ref="G2:G5" si="2">F2*10^6</f>
        <v>3620000</v>
      </c>
      <c r="H2">
        <v>276.34205510793896</v>
      </c>
      <c r="I2" s="7">
        <f t="shared" ref="I2:I5" si="3">F2-10^(-4646.471 +5314653/H2 -2271392000/H2^2 +430306500000/H2^3 -30511740000000/H2^4)</f>
        <v>-3.1595082106150585E-10</v>
      </c>
      <c r="J2" s="7">
        <f t="shared" ref="J2:J5" si="4">H2-D2</f>
        <v>0.54205510793894973</v>
      </c>
      <c r="K2">
        <f t="shared" ref="K2:K5" si="5">(H2-D2)/(H2*D2)</f>
        <v>7.1121711051413952E-6</v>
      </c>
      <c r="L2">
        <f>_xlfn.STDEV.S(K2:K5)</f>
        <v>3.3495209735661268E-6</v>
      </c>
      <c r="M2">
        <f>AVERAGE(K2:K5)</f>
        <v>1.0092192130285444E-5</v>
      </c>
      <c r="N2">
        <f t="shared" ref="N2" si="6">100*L2/M2</f>
        <v>33.189231143495782</v>
      </c>
      <c r="O2" s="8">
        <f t="shared" ref="O2:O5" si="7">LN(F2)</f>
        <v>1.2864740258376797</v>
      </c>
      <c r="P2" s="8">
        <f t="shared" ref="P2:P5" si="8">1/D2</f>
        <v>3.6258158085569251E-3</v>
      </c>
      <c r="Q2" s="8">
        <f t="shared" ref="Q2:Q5" si="9">1/H2</f>
        <v>3.6187036374517837E-3</v>
      </c>
      <c r="R2">
        <f>SLOPE(O2:O5,P2:P5)</f>
        <v>-8077.0065269669976</v>
      </c>
      <c r="S2">
        <f>SLOPE(O2:O5,Q2:Q5)</f>
        <v>-8071.0733294762931</v>
      </c>
      <c r="T2">
        <f t="shared" ref="T2" si="10">100*ABS(S2-R2)/ABS(S2)</f>
        <v>7.351187690286419E-2</v>
      </c>
    </row>
    <row r="3" spans="1:20" x14ac:dyDescent="0.25">
      <c r="A3" s="3"/>
      <c r="B3" s="3"/>
      <c r="C3" s="6">
        <f t="shared" si="0"/>
        <v>5.25</v>
      </c>
      <c r="D3">
        <v>278.39999999999998</v>
      </c>
      <c r="E3" s="6">
        <f t="shared" si="1"/>
        <v>49.5</v>
      </c>
      <c r="F3">
        <v>4.95</v>
      </c>
      <c r="G3" s="6">
        <f t="shared" si="2"/>
        <v>4950000</v>
      </c>
      <c r="H3">
        <v>279.53047863476274</v>
      </c>
      <c r="I3" s="7">
        <f t="shared" si="3"/>
        <v>-6.0949467695081694E-11</v>
      </c>
      <c r="J3" s="7">
        <f t="shared" si="4"/>
        <v>1.1304786347627669</v>
      </c>
      <c r="K3">
        <f t="shared" si="5"/>
        <v>1.4526599388628135E-5</v>
      </c>
      <c r="O3" s="8">
        <f t="shared" si="7"/>
        <v>1.5993875765805989</v>
      </c>
      <c r="P3" s="8">
        <f t="shared" si="8"/>
        <v>3.5919540229885061E-3</v>
      </c>
      <c r="Q3" s="8">
        <f t="shared" si="9"/>
        <v>3.577427423599878E-3</v>
      </c>
    </row>
    <row r="4" spans="1:20" x14ac:dyDescent="0.25">
      <c r="A4" s="3"/>
      <c r="B4" s="3"/>
      <c r="C4" s="6">
        <f t="shared" si="0"/>
        <v>8.25</v>
      </c>
      <c r="D4">
        <v>281.39999999999998</v>
      </c>
      <c r="E4" s="6">
        <f t="shared" si="1"/>
        <v>65.8</v>
      </c>
      <c r="F4">
        <v>6.58</v>
      </c>
      <c r="G4" s="6">
        <f t="shared" si="2"/>
        <v>6580000</v>
      </c>
      <c r="H4">
        <v>282.25694183479459</v>
      </c>
      <c r="I4" s="7">
        <f t="shared" si="3"/>
        <v>-5.5775828400328464E-11</v>
      </c>
      <c r="J4" s="7">
        <f t="shared" si="4"/>
        <v>0.85694183479461117</v>
      </c>
      <c r="K4">
        <f t="shared" si="5"/>
        <v>1.0789035452172923E-5</v>
      </c>
      <c r="O4" s="8">
        <f t="shared" si="7"/>
        <v>1.8840347453372259</v>
      </c>
      <c r="P4" s="8">
        <f t="shared" si="8"/>
        <v>3.5536602700781809E-3</v>
      </c>
      <c r="Q4" s="8">
        <f t="shared" si="9"/>
        <v>3.5428712346260078E-3</v>
      </c>
    </row>
    <row r="5" spans="1:20" x14ac:dyDescent="0.25">
      <c r="A5" s="3"/>
      <c r="B5" s="3"/>
      <c r="C5" s="6">
        <f t="shared" si="0"/>
        <v>10.25</v>
      </c>
      <c r="D5">
        <v>283.39999999999998</v>
      </c>
      <c r="E5" s="6">
        <f t="shared" si="1"/>
        <v>80</v>
      </c>
      <c r="F5">
        <v>8</v>
      </c>
      <c r="G5" s="6">
        <f t="shared" si="2"/>
        <v>8000000</v>
      </c>
      <c r="H5">
        <v>284.03922140398817</v>
      </c>
      <c r="I5" s="7">
        <f t="shared" si="3"/>
        <v>-4.716227408607665E-12</v>
      </c>
      <c r="J5" s="7">
        <f t="shared" si="4"/>
        <v>0.63922140398818783</v>
      </c>
      <c r="K5">
        <f t="shared" si="5"/>
        <v>7.9409625751993273E-6</v>
      </c>
      <c r="O5" s="8">
        <f t="shared" si="7"/>
        <v>2.0794415416798357</v>
      </c>
      <c r="P5" s="8">
        <f t="shared" si="8"/>
        <v>3.5285815102328866E-3</v>
      </c>
      <c r="Q5" s="8">
        <f t="shared" si="9"/>
        <v>3.5206405476576872E-3</v>
      </c>
    </row>
  </sheetData>
  <mergeCells count="2">
    <mergeCell ref="A2:A5"/>
    <mergeCell ref="B2:B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tmaac_1_tariq</vt:lpstr>
      <vt:lpstr>tmaac_5_tariq</vt:lpstr>
      <vt:lpstr>tmabr_1_qasim</vt:lpstr>
      <vt:lpstr>tmabr_5_qasim</vt:lpstr>
      <vt:lpstr>tmabr_10_qasim</vt:lpstr>
      <vt:lpstr>tmacl_1_khan</vt:lpstr>
      <vt:lpstr>tmacl_5_khan</vt:lpstr>
      <vt:lpstr>tmacl_10_khan</vt:lpstr>
      <vt:lpstr>tmaoh_1_khan</vt:lpstr>
      <vt:lpstr>tmaoh_5_khan</vt:lpstr>
      <vt:lpstr>tmaoh_10_khan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2024-04-09T04:13:21Z</dcterms:created>
  <dcterms:modified xsi:type="dcterms:W3CDTF">2024-04-09T04:18:07Z</dcterms:modified>
</cp:coreProperties>
</file>