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DESC\ThermoPhase - 2024\Testes de Consistência\consistency_tests_2024-01\"/>
    </mc:Choice>
  </mc:AlternateContent>
  <xr:revisionPtr revIDLastSave="0" documentId="8_{7B04313B-B2FA-4512-99AE-86B1F7126C04}" xr6:coauthVersionLast="45" xr6:coauthVersionMax="45" xr10:uidLastSave="{00000000-0000-0000-0000-000000000000}"/>
  <bookViews>
    <workbookView xWindow="-120" yWindow="-120" windowWidth="20730" windowHeight="11160" activeTab="1" xr2:uid="{35D56D3F-F57D-420C-B598-51476CACF5C2}"/>
  </bookViews>
  <sheets>
    <sheet name="dmaof_5_altamash" sheetId="1" r:id="rId1"/>
    <sheet name="dmaof_10_altamas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2" l="1"/>
  <c r="P4" i="2"/>
  <c r="O4" i="2"/>
  <c r="K4" i="2"/>
  <c r="J4" i="2"/>
  <c r="I4" i="2"/>
  <c r="Q3" i="2"/>
  <c r="P3" i="2"/>
  <c r="O3" i="2"/>
  <c r="K3" i="2"/>
  <c r="J3" i="2"/>
  <c r="I3" i="2"/>
  <c r="S2" i="2"/>
  <c r="T2" i="2" s="1"/>
  <c r="Q2" i="2"/>
  <c r="P2" i="2"/>
  <c r="O2" i="2"/>
  <c r="R2" i="2" s="1"/>
  <c r="M2" i="2"/>
  <c r="K2" i="2"/>
  <c r="L2" i="2" s="1"/>
  <c r="N2" i="2" s="1"/>
  <c r="J2" i="2"/>
  <c r="I2" i="2"/>
  <c r="Q5" i="1"/>
  <c r="P5" i="1"/>
  <c r="O5" i="1"/>
  <c r="K5" i="1"/>
  <c r="J5" i="1"/>
  <c r="I5" i="1"/>
  <c r="Q4" i="1"/>
  <c r="P4" i="1"/>
  <c r="O4" i="1"/>
  <c r="K4" i="1"/>
  <c r="J4" i="1"/>
  <c r="I4" i="1"/>
  <c r="Q3" i="1"/>
  <c r="P3" i="1"/>
  <c r="O3" i="1"/>
  <c r="K3" i="1"/>
  <c r="J3" i="1"/>
  <c r="I3" i="1"/>
  <c r="Q2" i="1"/>
  <c r="P2" i="1"/>
  <c r="O2" i="1"/>
  <c r="R2" i="1" s="1"/>
  <c r="M2" i="1"/>
  <c r="K2" i="1"/>
  <c r="L2" i="1" s="1"/>
  <c r="N2" i="1" s="1"/>
  <c r="J2" i="1"/>
  <c r="I2" i="1"/>
  <c r="S2" i="1" l="1"/>
  <c r="T2" i="1" s="1"/>
</calcChain>
</file>

<file path=xl/sharedStrings.xml><?xml version="1.0" encoding="utf-8"?>
<sst xmlns="http://schemas.openxmlformats.org/spreadsheetml/2006/main" count="56" uniqueCount="29">
  <si>
    <t>Author</t>
  </si>
  <si>
    <t>System</t>
  </si>
  <si>
    <t>T [K]</t>
  </si>
  <si>
    <t>P [bar]</t>
  </si>
  <si>
    <t>P[MPa]</t>
  </si>
  <si>
    <t>P[Pa]</t>
  </si>
  <si>
    <r>
      <t>T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[K]</t>
    </r>
  </si>
  <si>
    <t>ΔT [K]</t>
  </si>
  <si>
    <t>dT(T0T)</t>
  </si>
  <si>
    <t>ln(P)</t>
  </si>
  <si>
    <t>1/T</t>
  </si>
  <si>
    <r>
      <t>1/T</t>
    </r>
    <r>
      <rPr>
        <vertAlign val="subscript"/>
        <sz val="11"/>
        <color theme="1"/>
        <rFont val="Calibri"/>
        <family val="2"/>
        <scheme val="minor"/>
      </rPr>
      <t>0</t>
    </r>
  </si>
  <si>
    <t>f</t>
  </si>
  <si>
    <t>aw</t>
  </si>
  <si>
    <t>ln(aw)</t>
  </si>
  <si>
    <t>ln(COSMO-RS)</t>
  </si>
  <si>
    <r>
      <t xml:space="preserve">COSMO-RS </t>
    </r>
    <r>
      <rPr>
        <sz val="11"/>
        <color theme="1"/>
        <rFont val="Calibri"/>
        <family val="2"/>
      </rPr>
      <t>γw</t>
    </r>
  </si>
  <si>
    <r>
      <t xml:space="preserve">COSMO-RS </t>
    </r>
    <r>
      <rPr>
        <sz val="11"/>
        <color theme="1"/>
        <rFont val="Calibri"/>
        <family val="2"/>
      </rPr>
      <t>γw  CORR</t>
    </r>
  </si>
  <si>
    <t>COSMO-RS aw</t>
  </si>
  <si>
    <t>ln(aw) COSMO-RS</t>
  </si>
  <si>
    <t>xw</t>
  </si>
  <si>
    <t>xIL</t>
  </si>
  <si>
    <t>xIL cosmo</t>
  </si>
  <si>
    <t>RD COSMO-RS - aw</t>
  </si>
  <si>
    <t>RD COSMO-RS - LN(aw)</t>
  </si>
  <si>
    <t>xIL eff</t>
  </si>
  <si>
    <t>ALTAMASH et al. [34]</t>
  </si>
  <si>
    <t>[DMA][Of] 5 wt%</t>
  </si>
  <si>
    <t>[DMA][Of] 10 wt%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</si>
</sst>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4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2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5A82-8A7F-4E33-BE8D-098BAD260BB1}">
  <dimension ref="A1:Z5"/>
  <sheetViews>
    <sheetView workbookViewId="0">
      <selection activeCell="B9" sqref="B9"/>
    </sheetView>
  </sheetViews>
  <sheetFormatPr defaultRowHeight="15" x14ac:dyDescent="0.25"/>
  <cols>
    <col min="1" max="1" width="19.140625" bestFit="1" customWidth="1"/>
    <col min="2" max="2" width="15.42578125" bestFit="1" customWidth="1"/>
  </cols>
  <sheetData>
    <row r="1" spans="1:26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6" t="s">
        <v>26</v>
      </c>
      <c r="B2" s="6" t="s">
        <v>27</v>
      </c>
      <c r="C2" s="7">
        <v>3.62</v>
      </c>
      <c r="D2" s="8">
        <v>276.77</v>
      </c>
      <c r="E2" s="7">
        <v>39.51</v>
      </c>
      <c r="F2" s="7">
        <v>3.9510000000000001</v>
      </c>
      <c r="G2" s="8">
        <v>3951000</v>
      </c>
      <c r="H2" s="8">
        <v>277.25302327874698</v>
      </c>
      <c r="I2" s="9">
        <f t="shared" ref="I2:I5" si="0">F2-10^(-4646.471 +5314653/H2 -2271392000/H2^2 +430306500000/H2^3 -30511740000000/H2^4)</f>
        <v>2.2695045842624495E-10</v>
      </c>
      <c r="J2" s="9">
        <f t="shared" ref="J2:J5" si="1">H2-D2</f>
        <v>0.48302327874699813</v>
      </c>
      <c r="K2">
        <f t="shared" ref="K2:K5" si="2">(H2-D2)/(H2*D2)</f>
        <v>6.2946669597520824E-6</v>
      </c>
      <c r="L2">
        <f>_xlfn.STDEV.S(K2:K5)</f>
        <v>8.7101058478535959E-7</v>
      </c>
      <c r="M2">
        <f t="shared" ref="M2" si="3">AVERAGE(K2:K5)</f>
        <v>7.1735921161864125E-6</v>
      </c>
      <c r="N2">
        <f t="shared" ref="N2" si="4">100*L2/M2</f>
        <v>12.141902838607468</v>
      </c>
      <c r="O2" s="10">
        <f t="shared" ref="O2:O5" si="5">LN(F2)</f>
        <v>1.3739687114292538</v>
      </c>
      <c r="P2" s="10">
        <f t="shared" ref="P2:P5" si="6">1/D2</f>
        <v>3.6131083571196302E-3</v>
      </c>
      <c r="Q2" s="10">
        <f t="shared" ref="Q2:Q5" si="7">1/H2</f>
        <v>3.606813690159878E-3</v>
      </c>
      <c r="R2">
        <f t="shared" ref="R2" si="8">SLOPE(O2:O5,P2:P5)</f>
        <v>-8518.1387245161186</v>
      </c>
      <c r="S2">
        <f t="shared" ref="S2" si="9">SLOPE(O2:O5,Q2:Q5)</f>
        <v>-8381.6844732349527</v>
      </c>
      <c r="T2">
        <f t="shared" ref="T2" si="10">100*ABS(S2-R2)/ABS(S2)</f>
        <v>1.6280051070510013</v>
      </c>
    </row>
    <row r="3" spans="1:26" x14ac:dyDescent="0.25">
      <c r="A3" s="11"/>
      <c r="B3" s="11"/>
      <c r="C3" s="7">
        <v>7.46</v>
      </c>
      <c r="D3" s="8">
        <v>280.61</v>
      </c>
      <c r="E3" s="7">
        <v>58.37</v>
      </c>
      <c r="F3" s="7">
        <v>5.8369999999999997</v>
      </c>
      <c r="G3" s="8">
        <v>5837000</v>
      </c>
      <c r="H3" s="8">
        <v>281.12914885512777</v>
      </c>
      <c r="I3" s="9">
        <f t="shared" si="0"/>
        <v>-4.3023362650274066E-12</v>
      </c>
      <c r="J3" s="9">
        <f t="shared" si="1"/>
        <v>0.519148855127753</v>
      </c>
      <c r="K3">
        <f t="shared" si="2"/>
        <v>6.5808634443920373E-6</v>
      </c>
      <c r="O3" s="10">
        <f t="shared" si="5"/>
        <v>1.764216966221654</v>
      </c>
      <c r="P3" s="10">
        <f t="shared" si="6"/>
        <v>3.5636648729553471E-3</v>
      </c>
      <c r="Q3" s="10">
        <f t="shared" si="7"/>
        <v>3.5570840095109552E-3</v>
      </c>
    </row>
    <row r="4" spans="1:26" x14ac:dyDescent="0.25">
      <c r="A4" s="11"/>
      <c r="B4" s="11"/>
      <c r="C4" s="7">
        <v>9.9700000000000006</v>
      </c>
      <c r="D4" s="8">
        <v>283.12</v>
      </c>
      <c r="E4" s="7">
        <v>77.64</v>
      </c>
      <c r="F4" s="7">
        <v>7.7640000000000002</v>
      </c>
      <c r="G4" s="8">
        <v>7764000</v>
      </c>
      <c r="H4" s="8">
        <v>283.77040192251656</v>
      </c>
      <c r="I4" s="9">
        <f t="shared" si="0"/>
        <v>-5.3250737153121008E-11</v>
      </c>
      <c r="J4" s="9">
        <f t="shared" si="1"/>
        <v>0.65040192251655071</v>
      </c>
      <c r="K4">
        <f t="shared" si="2"/>
        <v>8.0955092132418153E-6</v>
      </c>
      <c r="O4" s="10">
        <f t="shared" si="5"/>
        <v>2.049497665306764</v>
      </c>
      <c r="P4" s="10">
        <f t="shared" si="6"/>
        <v>3.5320712065555239E-3</v>
      </c>
      <c r="Q4" s="10">
        <f t="shared" si="7"/>
        <v>3.5239756973422824E-3</v>
      </c>
    </row>
    <row r="5" spans="1:26" x14ac:dyDescent="0.25">
      <c r="A5" s="11"/>
      <c r="B5" s="11"/>
      <c r="C5" s="7">
        <v>12.12</v>
      </c>
      <c r="D5" s="8">
        <v>285.27</v>
      </c>
      <c r="E5" s="7">
        <v>98.86</v>
      </c>
      <c r="F5" s="7">
        <v>9.8859999999999992</v>
      </c>
      <c r="G5" s="8">
        <v>9886000</v>
      </c>
      <c r="H5" s="8">
        <v>285.89990439576133</v>
      </c>
      <c r="I5" s="9">
        <f t="shared" si="0"/>
        <v>3.9225511727636331E-11</v>
      </c>
      <c r="J5" s="9">
        <f t="shared" si="1"/>
        <v>0.62990439576134349</v>
      </c>
      <c r="K5">
        <f t="shared" si="2"/>
        <v>7.7233288473597132E-6</v>
      </c>
      <c r="O5" s="10">
        <f t="shared" si="5"/>
        <v>2.2911196148847677</v>
      </c>
      <c r="P5" s="10">
        <f t="shared" si="6"/>
        <v>3.505450976268097E-3</v>
      </c>
      <c r="Q5" s="10">
        <f t="shared" si="7"/>
        <v>3.4977276474207372E-3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37B4B-6033-4743-829F-1F885DE8F5E8}">
  <dimension ref="A1:Z4"/>
  <sheetViews>
    <sheetView tabSelected="1" workbookViewId="0">
      <selection activeCell="H12" sqref="H12"/>
    </sheetView>
  </sheetViews>
  <sheetFormatPr defaultRowHeight="15" x14ac:dyDescent="0.25"/>
  <cols>
    <col min="1" max="1" width="19.140625" bestFit="1" customWidth="1"/>
    <col min="2" max="2" width="16.5703125" bestFit="1" customWidth="1"/>
  </cols>
  <sheetData>
    <row r="1" spans="1:26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12" t="s">
        <v>26</v>
      </c>
      <c r="B2" s="13" t="s">
        <v>28</v>
      </c>
      <c r="C2" s="14">
        <v>6.93</v>
      </c>
      <c r="D2" s="15">
        <v>280.08</v>
      </c>
      <c r="E2" s="14">
        <v>62.91</v>
      </c>
      <c r="F2" s="14">
        <v>6.2910000000000004</v>
      </c>
      <c r="G2" s="15">
        <v>6291000</v>
      </c>
      <c r="H2" s="15">
        <v>281.83744762056403</v>
      </c>
      <c r="I2" s="9">
        <f t="shared" ref="I2:I4" si="0">F2-10^(-4646.471 +5314653/H2 -2271392000/H2^2 +430306500000/H2^3 -30511740000000/H2^4)</f>
        <v>8.5640827762745175E-11</v>
      </c>
      <c r="J2" s="9">
        <f t="shared" ref="J2:J4" si="1">H2-D2</f>
        <v>1.7574476205640508</v>
      </c>
      <c r="K2">
        <f t="shared" ref="K2:K4" si="2">(H2-D2)/(H2*D2)</f>
        <v>2.2263918071135299E-5</v>
      </c>
      <c r="L2">
        <f>_xlfn.STDEV.S(K2:K4)</f>
        <v>4.0279571014017118E-7</v>
      </c>
      <c r="M2">
        <f>AVERAGE(K2:K4)</f>
        <v>2.2463590405229428E-5</v>
      </c>
      <c r="N2" s="16">
        <f t="shared" ref="N2" si="3">100*L2/M2</f>
        <v>1.7931047658632613</v>
      </c>
      <c r="O2" s="10">
        <f t="shared" ref="O2:O4" si="4">LN(F2)</f>
        <v>1.8391200405878927</v>
      </c>
      <c r="P2" s="10">
        <f t="shared" ref="P2:P4" si="5">1/D2</f>
        <v>3.5704084547272209E-3</v>
      </c>
      <c r="Q2" s="10">
        <f t="shared" ref="Q2:Q4" si="6">1/H2</f>
        <v>3.5481445366560855E-3</v>
      </c>
      <c r="R2">
        <f>SLOPE(O2:O4,P2:P4)</f>
        <v>-9081.9358042048134</v>
      </c>
      <c r="S2">
        <f>SLOPE(O2:O4,Q2:Q4)</f>
        <v>-8974.466853506312</v>
      </c>
      <c r="T2">
        <f t="shared" ref="T2" si="7">100*ABS(S2-R2)/ABS(S2)</f>
        <v>1.1974967700339041</v>
      </c>
    </row>
    <row r="3" spans="1:26" x14ac:dyDescent="0.25">
      <c r="A3" s="17"/>
      <c r="B3" s="17"/>
      <c r="C3" s="14">
        <v>9.23</v>
      </c>
      <c r="D3" s="15">
        <v>282.38</v>
      </c>
      <c r="E3" s="14">
        <v>81.099999999999994</v>
      </c>
      <c r="F3" s="14">
        <v>8.11</v>
      </c>
      <c r="G3" s="15">
        <v>8110000</v>
      </c>
      <c r="H3" s="15">
        <v>284.1613316857443</v>
      </c>
      <c r="I3" s="9">
        <f t="shared" si="0"/>
        <v>3.461231301571388E-11</v>
      </c>
      <c r="J3" s="9">
        <f t="shared" si="1"/>
        <v>1.7813316857443056</v>
      </c>
      <c r="K3">
        <f t="shared" si="2"/>
        <v>2.2199637342975547E-5</v>
      </c>
      <c r="O3" s="10">
        <f t="shared" si="4"/>
        <v>2.0930978681273213</v>
      </c>
      <c r="P3" s="10">
        <f t="shared" si="5"/>
        <v>3.5413272894680927E-3</v>
      </c>
      <c r="Q3" s="10">
        <f t="shared" si="6"/>
        <v>3.5191276521251173E-3</v>
      </c>
    </row>
    <row r="4" spans="1:26" x14ac:dyDescent="0.25">
      <c r="A4" s="17"/>
      <c r="B4" s="17"/>
      <c r="C4" s="14">
        <v>11.04</v>
      </c>
      <c r="D4" s="15">
        <v>284.19</v>
      </c>
      <c r="E4" s="14">
        <v>100.64</v>
      </c>
      <c r="F4" s="14">
        <v>10.064</v>
      </c>
      <c r="G4" s="15">
        <v>10064000</v>
      </c>
      <c r="H4" s="15">
        <v>286.05383682499172</v>
      </c>
      <c r="I4" s="9">
        <f t="shared" si="0"/>
        <v>1.0649259252204502E-11</v>
      </c>
      <c r="J4" s="9">
        <f t="shared" si="1"/>
        <v>1.8638368249917221</v>
      </c>
      <c r="K4">
        <f t="shared" si="2"/>
        <v>2.292721580157744E-5</v>
      </c>
      <c r="O4" s="10">
        <f t="shared" si="4"/>
        <v>2.3089646999580848</v>
      </c>
      <c r="P4" s="10">
        <f t="shared" si="5"/>
        <v>3.5187726520989481E-3</v>
      </c>
      <c r="Q4" s="10">
        <f t="shared" si="6"/>
        <v>3.4958454362973707E-3</v>
      </c>
    </row>
  </sheetData>
  <mergeCells count="2">
    <mergeCell ref="A2:A4"/>
    <mergeCell ref="B2:B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dmaof_5_altamash</vt:lpstr>
      <vt:lpstr>dmaof_10_altamash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2024-04-06T19:00:46Z</dcterms:created>
  <dcterms:modified xsi:type="dcterms:W3CDTF">2024-04-06T19:03:19Z</dcterms:modified>
</cp:coreProperties>
</file>