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3950025081\Desktop\consistency_tests_2024-01\Ammonium\Test_1\"/>
    </mc:Choice>
  </mc:AlternateContent>
  <bookViews>
    <workbookView xWindow="1125" yWindow="1125" windowWidth="10245" windowHeight="8715" firstSheet="31" activeTab="33"/>
  </bookViews>
  <sheets>
    <sheet name="deahso4_1_gupta" sheetId="1" r:id="rId1"/>
    <sheet name="dmaof_5_altamash" sheetId="2" r:id="rId2"/>
    <sheet name="dmaof_10_altamash" sheetId="3" r:id="rId3"/>
    <sheet name="dmeaof_5_altamsh" sheetId="4" r:id="rId4"/>
    <sheet name="dmeaof_10_altamash" sheetId="5" r:id="rId5"/>
    <sheet name="eaof_5_altamash" sheetId="6" r:id="rId6"/>
    <sheet name="eaof_10_altamash" sheetId="7" r:id="rId7"/>
    <sheet name="teacl_10_25_kazemi" sheetId="8" r:id="rId8"/>
    <sheet name="tbmaof_5_altamash" sheetId="9" r:id="rId9"/>
    <sheet name="tbmaof_10_altamash" sheetId="11" r:id="rId10"/>
    <sheet name="teabr_1_qasim" sheetId="12" r:id="rId11"/>
    <sheet name="teabr_5_qasim" sheetId="13" r:id="rId12"/>
    <sheet name="teabr_10_qasim" sheetId="14" r:id="rId13"/>
    <sheet name="teai_1_qasim" sheetId="15" r:id="rId14"/>
    <sheet name="teai_5_qasim" sheetId="16" r:id="rId15"/>
    <sheet name="teai_10_nashed" sheetId="17" r:id="rId16"/>
    <sheet name="teai_10_qasim" sheetId="18" r:id="rId17"/>
    <sheet name="tmaac_1_tariq" sheetId="19" r:id="rId18"/>
    <sheet name="tmaac_5_tariq" sheetId="20" r:id="rId19"/>
    <sheet name="tmabr_1_qasim" sheetId="21" r:id="rId20"/>
    <sheet name="tmabr_5_qasim" sheetId="22" r:id="rId21"/>
    <sheet name="tmabr_10_qasim" sheetId="23" r:id="rId22"/>
    <sheet name="tmacl_1_khan" sheetId="24" r:id="rId23"/>
    <sheet name="tmacl_5_khan" sheetId="25" r:id="rId24"/>
    <sheet name="tmacl_10_khan" sheetId="26" r:id="rId25"/>
    <sheet name="tmaoh_1_khan" sheetId="27" r:id="rId26"/>
    <sheet name="tmaoh_5_khan" sheetId="28" r:id="rId27"/>
    <sheet name="tmaoh_10_khan" sheetId="29" r:id="rId28"/>
    <sheet name="triprahso4_1_gupta" sheetId="30" r:id="rId29"/>
    <sheet name="tribahso4_1_gupta" sheetId="31" r:id="rId30"/>
    <sheet name="tests" sheetId="37" r:id="rId31"/>
    <sheet name="test_1_pass" sheetId="32" r:id="rId32"/>
    <sheet name="test_2_pass" sheetId="33" r:id="rId33"/>
    <sheet name="test_1_nopass" sheetId="34" r:id="rId34"/>
    <sheet name="test_2_nopass" sheetId="35" r:id="rId3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Q6" i="31" l="1"/>
  <c r="P6" i="31"/>
  <c r="O6" i="31"/>
  <c r="K6" i="31"/>
  <c r="J6" i="31"/>
  <c r="I6" i="31"/>
  <c r="G6" i="31"/>
  <c r="E6" i="31"/>
  <c r="C6" i="31"/>
  <c r="Q5" i="31"/>
  <c r="P5" i="31"/>
  <c r="O5" i="31"/>
  <c r="K5" i="31"/>
  <c r="J5" i="31"/>
  <c r="I5" i="31"/>
  <c r="G5" i="31"/>
  <c r="E5" i="31"/>
  <c r="C5" i="31"/>
  <c r="Q4" i="31"/>
  <c r="P4" i="31"/>
  <c r="R2" i="31" s="1"/>
  <c r="O4" i="31"/>
  <c r="K4" i="31"/>
  <c r="J4" i="31"/>
  <c r="I4" i="31"/>
  <c r="G4" i="31"/>
  <c r="E4" i="31"/>
  <c r="C4" i="31"/>
  <c r="Q3" i="31"/>
  <c r="P3" i="31"/>
  <c r="O3" i="31"/>
  <c r="K3" i="31"/>
  <c r="J3" i="31"/>
  <c r="I3" i="31"/>
  <c r="G3" i="31"/>
  <c r="E3" i="31"/>
  <c r="C3" i="31"/>
  <c r="Q2" i="31"/>
  <c r="P2" i="31"/>
  <c r="O2" i="31"/>
  <c r="S2" i="31" s="1"/>
  <c r="M2" i="31"/>
  <c r="K2" i="31"/>
  <c r="L2" i="31" s="1"/>
  <c r="N2" i="31" s="1"/>
  <c r="J2" i="31"/>
  <c r="I2" i="31"/>
  <c r="G2" i="31"/>
  <c r="E2" i="31"/>
  <c r="C2" i="31"/>
  <c r="Q6" i="30"/>
  <c r="P6" i="30"/>
  <c r="O6" i="30"/>
  <c r="K6" i="30"/>
  <c r="J6" i="30"/>
  <c r="I6" i="30"/>
  <c r="G6" i="30"/>
  <c r="E6" i="30"/>
  <c r="C6" i="30"/>
  <c r="Q5" i="30"/>
  <c r="P5" i="30"/>
  <c r="O5" i="30"/>
  <c r="K5" i="30"/>
  <c r="J5" i="30"/>
  <c r="I5" i="30"/>
  <c r="G5" i="30"/>
  <c r="E5" i="30"/>
  <c r="C5" i="30"/>
  <c r="Q4" i="30"/>
  <c r="P4" i="30"/>
  <c r="O4" i="30"/>
  <c r="K4" i="30"/>
  <c r="J4" i="30"/>
  <c r="I4" i="30"/>
  <c r="G4" i="30"/>
  <c r="E4" i="30"/>
  <c r="C4" i="30"/>
  <c r="Q3" i="30"/>
  <c r="P3" i="30"/>
  <c r="O3" i="30"/>
  <c r="K3" i="30"/>
  <c r="J3" i="30"/>
  <c r="I3" i="30"/>
  <c r="G3" i="30"/>
  <c r="E3" i="30"/>
  <c r="C3" i="30"/>
  <c r="Q2" i="30"/>
  <c r="P2" i="30"/>
  <c r="O2" i="30"/>
  <c r="S2" i="30" s="1"/>
  <c r="K2" i="30"/>
  <c r="L2" i="30" s="1"/>
  <c r="J2" i="30"/>
  <c r="I2" i="30"/>
  <c r="G2" i="30"/>
  <c r="E2" i="30"/>
  <c r="C2" i="30"/>
  <c r="Q5" i="29"/>
  <c r="P5" i="29"/>
  <c r="O5" i="29"/>
  <c r="K5" i="29"/>
  <c r="J5" i="29"/>
  <c r="I5" i="29"/>
  <c r="G5" i="29"/>
  <c r="E5" i="29"/>
  <c r="C5" i="29"/>
  <c r="Q4" i="29"/>
  <c r="P4" i="29"/>
  <c r="O4" i="29"/>
  <c r="K4" i="29"/>
  <c r="J4" i="29"/>
  <c r="I4" i="29"/>
  <c r="G4" i="29"/>
  <c r="E4" i="29"/>
  <c r="C4" i="29"/>
  <c r="Q3" i="29"/>
  <c r="P3" i="29"/>
  <c r="O3" i="29"/>
  <c r="K3" i="29"/>
  <c r="J3" i="29"/>
  <c r="I3" i="29"/>
  <c r="G3" i="29"/>
  <c r="E3" i="29"/>
  <c r="C3" i="29"/>
  <c r="Q2" i="29"/>
  <c r="P2" i="29"/>
  <c r="O2" i="29"/>
  <c r="S2" i="29" s="1"/>
  <c r="L2" i="29"/>
  <c r="K2" i="29"/>
  <c r="M2" i="29" s="1"/>
  <c r="J2" i="29"/>
  <c r="I2" i="29"/>
  <c r="G2" i="29"/>
  <c r="E2" i="29"/>
  <c r="C2" i="29"/>
  <c r="Q5" i="28"/>
  <c r="P5" i="28"/>
  <c r="O5" i="28"/>
  <c r="K5" i="28"/>
  <c r="J5" i="28"/>
  <c r="I5" i="28"/>
  <c r="G5" i="28"/>
  <c r="E5" i="28"/>
  <c r="C5" i="28"/>
  <c r="Q4" i="28"/>
  <c r="P4" i="28"/>
  <c r="O4" i="28"/>
  <c r="K4" i="28"/>
  <c r="J4" i="28"/>
  <c r="I4" i="28"/>
  <c r="G4" i="28"/>
  <c r="E4" i="28"/>
  <c r="C4" i="28"/>
  <c r="Q3" i="28"/>
  <c r="P3" i="28"/>
  <c r="O3" i="28"/>
  <c r="K3" i="28"/>
  <c r="J3" i="28"/>
  <c r="I3" i="28"/>
  <c r="G3" i="28"/>
  <c r="E3" i="28"/>
  <c r="C3" i="28"/>
  <c r="Q2" i="28"/>
  <c r="P2" i="28"/>
  <c r="O2" i="28"/>
  <c r="S2" i="28" s="1"/>
  <c r="L2" i="28"/>
  <c r="K2" i="28"/>
  <c r="M2" i="28" s="1"/>
  <c r="J2" i="28"/>
  <c r="I2" i="28"/>
  <c r="G2" i="28"/>
  <c r="E2" i="28"/>
  <c r="C2" i="28"/>
  <c r="Q5" i="27"/>
  <c r="P5" i="27"/>
  <c r="O5" i="27"/>
  <c r="K5" i="27"/>
  <c r="J5" i="27"/>
  <c r="I5" i="27"/>
  <c r="G5" i="27"/>
  <c r="E5" i="27"/>
  <c r="C5" i="27"/>
  <c r="Q4" i="27"/>
  <c r="P4" i="27"/>
  <c r="O4" i="27"/>
  <c r="K4" i="27"/>
  <c r="J4" i="27"/>
  <c r="I4" i="27"/>
  <c r="G4" i="27"/>
  <c r="E4" i="27"/>
  <c r="C4" i="27"/>
  <c r="Q3" i="27"/>
  <c r="P3" i="27"/>
  <c r="O3" i="27"/>
  <c r="K3" i="27"/>
  <c r="J3" i="27"/>
  <c r="I3" i="27"/>
  <c r="G3" i="27"/>
  <c r="E3" i="27"/>
  <c r="C3" i="27"/>
  <c r="Q2" i="27"/>
  <c r="P2" i="27"/>
  <c r="O2" i="27"/>
  <c r="S2" i="27" s="1"/>
  <c r="L2" i="27"/>
  <c r="K2" i="27"/>
  <c r="M2" i="27" s="1"/>
  <c r="J2" i="27"/>
  <c r="I2" i="27"/>
  <c r="G2" i="27"/>
  <c r="E2" i="27"/>
  <c r="C2" i="27"/>
  <c r="Q5" i="26"/>
  <c r="P5" i="26"/>
  <c r="O5" i="26"/>
  <c r="K5" i="26"/>
  <c r="J5" i="26"/>
  <c r="I5" i="26"/>
  <c r="Q4" i="26"/>
  <c r="P4" i="26"/>
  <c r="O4" i="26"/>
  <c r="K4" i="26"/>
  <c r="J4" i="26"/>
  <c r="I4" i="26"/>
  <c r="Q3" i="26"/>
  <c r="P3" i="26"/>
  <c r="O3" i="26"/>
  <c r="K3" i="26"/>
  <c r="J3" i="26"/>
  <c r="I3" i="26"/>
  <c r="Q2" i="26"/>
  <c r="P2" i="26"/>
  <c r="R2" i="26" s="1"/>
  <c r="O2" i="26"/>
  <c r="S2" i="26" s="1"/>
  <c r="K2" i="26"/>
  <c r="L2" i="26" s="1"/>
  <c r="J2" i="26"/>
  <c r="I2" i="26"/>
  <c r="Q5" i="25"/>
  <c r="P5" i="25"/>
  <c r="O5" i="25"/>
  <c r="K5" i="25"/>
  <c r="J5" i="25"/>
  <c r="I5" i="25"/>
  <c r="Q4" i="25"/>
  <c r="P4" i="25"/>
  <c r="O4" i="25"/>
  <c r="K4" i="25"/>
  <c r="J4" i="25"/>
  <c r="I4" i="25"/>
  <c r="Q3" i="25"/>
  <c r="P3" i="25"/>
  <c r="O3" i="25"/>
  <c r="K3" i="25"/>
  <c r="J3" i="25"/>
  <c r="I3" i="25"/>
  <c r="Q2" i="25"/>
  <c r="P2" i="25"/>
  <c r="O2" i="25"/>
  <c r="R2" i="25" s="1"/>
  <c r="K2" i="25"/>
  <c r="M2" i="25" s="1"/>
  <c r="J2" i="25"/>
  <c r="I2" i="25"/>
  <c r="Q5" i="24"/>
  <c r="P5" i="24"/>
  <c r="O5" i="24"/>
  <c r="K5" i="24"/>
  <c r="J5" i="24"/>
  <c r="I5" i="24"/>
  <c r="Q4" i="24"/>
  <c r="P4" i="24"/>
  <c r="O4" i="24"/>
  <c r="K4" i="24"/>
  <c r="J4" i="24"/>
  <c r="I4" i="24"/>
  <c r="Q3" i="24"/>
  <c r="P3" i="24"/>
  <c r="O3" i="24"/>
  <c r="K3" i="24"/>
  <c r="J3" i="24"/>
  <c r="I3" i="24"/>
  <c r="Q2" i="24"/>
  <c r="P2" i="24"/>
  <c r="R2" i="24" s="1"/>
  <c r="O2" i="24"/>
  <c r="S2" i="24" s="1"/>
  <c r="K2" i="24"/>
  <c r="M2" i="24" s="1"/>
  <c r="J2" i="24"/>
  <c r="I2" i="24"/>
  <c r="Q6" i="23"/>
  <c r="P6" i="23"/>
  <c r="O6" i="23"/>
  <c r="K6" i="23"/>
  <c r="J6" i="23"/>
  <c r="I6" i="23"/>
  <c r="Q5" i="23"/>
  <c r="P5" i="23"/>
  <c r="O5" i="23"/>
  <c r="K5" i="23"/>
  <c r="J5" i="23"/>
  <c r="I5" i="23"/>
  <c r="Q4" i="23"/>
  <c r="P4" i="23"/>
  <c r="O4" i="23"/>
  <c r="K4" i="23"/>
  <c r="J4" i="23"/>
  <c r="I4" i="23"/>
  <c r="Q3" i="23"/>
  <c r="P3" i="23"/>
  <c r="O3" i="23"/>
  <c r="K3" i="23"/>
  <c r="J3" i="23"/>
  <c r="I3" i="23"/>
  <c r="Q2" i="23"/>
  <c r="P2" i="23"/>
  <c r="O2" i="23"/>
  <c r="S2" i="23" s="1"/>
  <c r="M2" i="23"/>
  <c r="K2" i="23"/>
  <c r="L2" i="23" s="1"/>
  <c r="N2" i="23" s="1"/>
  <c r="J2" i="23"/>
  <c r="I2" i="23"/>
  <c r="Q6" i="22"/>
  <c r="P6" i="22"/>
  <c r="O6" i="22"/>
  <c r="K6" i="22"/>
  <c r="J6" i="22"/>
  <c r="I6" i="22"/>
  <c r="G6" i="22"/>
  <c r="E6" i="22"/>
  <c r="C6" i="22"/>
  <c r="Q5" i="22"/>
  <c r="P5" i="22"/>
  <c r="O5" i="22"/>
  <c r="K5" i="22"/>
  <c r="J5" i="22"/>
  <c r="I5" i="22"/>
  <c r="G5" i="22"/>
  <c r="E5" i="22"/>
  <c r="C5" i="22"/>
  <c r="Q4" i="22"/>
  <c r="P4" i="22"/>
  <c r="O4" i="22"/>
  <c r="K4" i="22"/>
  <c r="J4" i="22"/>
  <c r="I4" i="22"/>
  <c r="G4" i="22"/>
  <c r="E4" i="22"/>
  <c r="C4" i="22"/>
  <c r="Q3" i="22"/>
  <c r="P3" i="22"/>
  <c r="O3" i="22"/>
  <c r="K3" i="22"/>
  <c r="J3" i="22"/>
  <c r="I3" i="22"/>
  <c r="G3" i="22"/>
  <c r="E3" i="22"/>
  <c r="C3" i="22"/>
  <c r="Q2" i="22"/>
  <c r="P2" i="22"/>
  <c r="O2" i="22"/>
  <c r="S2" i="22" s="1"/>
  <c r="M2" i="22"/>
  <c r="K2" i="22"/>
  <c r="L2" i="22" s="1"/>
  <c r="N2" i="22" s="1"/>
  <c r="J2" i="22"/>
  <c r="I2" i="22"/>
  <c r="G2" i="22"/>
  <c r="E2" i="22"/>
  <c r="C2" i="22"/>
  <c r="Q6" i="21"/>
  <c r="P6" i="21"/>
  <c r="O6" i="21"/>
  <c r="K6" i="21"/>
  <c r="J6" i="21"/>
  <c r="I6" i="21"/>
  <c r="G6" i="21"/>
  <c r="E6" i="21"/>
  <c r="C6" i="21"/>
  <c r="Q5" i="21"/>
  <c r="P5" i="21"/>
  <c r="O5" i="21"/>
  <c r="K5" i="21"/>
  <c r="J5" i="21"/>
  <c r="I5" i="21"/>
  <c r="G5" i="21"/>
  <c r="E5" i="21"/>
  <c r="C5" i="21"/>
  <c r="Q4" i="21"/>
  <c r="P4" i="21"/>
  <c r="O4" i="21"/>
  <c r="K4" i="21"/>
  <c r="J4" i="21"/>
  <c r="I4" i="21"/>
  <c r="G4" i="21"/>
  <c r="E4" i="21"/>
  <c r="C4" i="21"/>
  <c r="Q3" i="21"/>
  <c r="P3" i="21"/>
  <c r="O3" i="21"/>
  <c r="K3" i="21"/>
  <c r="J3" i="21"/>
  <c r="I3" i="21"/>
  <c r="G3" i="21"/>
  <c r="E3" i="21"/>
  <c r="C3" i="21"/>
  <c r="Q2" i="21"/>
  <c r="P2" i="21"/>
  <c r="O2" i="21"/>
  <c r="S2" i="21" s="1"/>
  <c r="M2" i="21"/>
  <c r="K2" i="21"/>
  <c r="L2" i="21" s="1"/>
  <c r="N2" i="21" s="1"/>
  <c r="J2" i="21"/>
  <c r="I2" i="21"/>
  <c r="G2" i="21"/>
  <c r="E2" i="21"/>
  <c r="C2" i="21"/>
  <c r="Q6" i="20"/>
  <c r="P6" i="20"/>
  <c r="O6" i="20"/>
  <c r="K6" i="20"/>
  <c r="J6" i="20"/>
  <c r="I6" i="20"/>
  <c r="Q5" i="20"/>
  <c r="P5" i="20"/>
  <c r="O5" i="20"/>
  <c r="K5" i="20"/>
  <c r="J5" i="20"/>
  <c r="I5" i="20"/>
  <c r="Q4" i="20"/>
  <c r="P4" i="20"/>
  <c r="O4" i="20"/>
  <c r="K4" i="20"/>
  <c r="J4" i="20"/>
  <c r="I4" i="20"/>
  <c r="Q3" i="20"/>
  <c r="P3" i="20"/>
  <c r="O3" i="20"/>
  <c r="K3" i="20"/>
  <c r="J3" i="20"/>
  <c r="I3" i="20"/>
  <c r="Q2" i="20"/>
  <c r="P2" i="20"/>
  <c r="O2" i="20"/>
  <c r="S2" i="20" s="1"/>
  <c r="M2" i="20"/>
  <c r="K2" i="20"/>
  <c r="L2" i="20" s="1"/>
  <c r="N2" i="20" s="1"/>
  <c r="J2" i="20"/>
  <c r="I2" i="20"/>
  <c r="Q6" i="19"/>
  <c r="P6" i="19"/>
  <c r="O6" i="19"/>
  <c r="K6" i="19"/>
  <c r="J6" i="19"/>
  <c r="I6" i="19"/>
  <c r="Q5" i="19"/>
  <c r="P5" i="19"/>
  <c r="O5" i="19"/>
  <c r="K5" i="19"/>
  <c r="J5" i="19"/>
  <c r="I5" i="19"/>
  <c r="Q4" i="19"/>
  <c r="P4" i="19"/>
  <c r="O4" i="19"/>
  <c r="K4" i="19"/>
  <c r="J4" i="19"/>
  <c r="I4" i="19"/>
  <c r="Q3" i="19"/>
  <c r="P3" i="19"/>
  <c r="O3" i="19"/>
  <c r="K3" i="19"/>
  <c r="J3" i="19"/>
  <c r="I3" i="19"/>
  <c r="Q2" i="19"/>
  <c r="P2" i="19"/>
  <c r="O2" i="19"/>
  <c r="S2" i="19" s="1"/>
  <c r="M2" i="19"/>
  <c r="K2" i="19"/>
  <c r="L2" i="19" s="1"/>
  <c r="N2" i="19" s="1"/>
  <c r="J2" i="19"/>
  <c r="I2" i="19"/>
  <c r="Q6" i="18"/>
  <c r="P6" i="18"/>
  <c r="O6" i="18"/>
  <c r="K6" i="18"/>
  <c r="J6" i="18"/>
  <c r="I6" i="18"/>
  <c r="Q5" i="18"/>
  <c r="P5" i="18"/>
  <c r="O5" i="18"/>
  <c r="K5" i="18"/>
  <c r="J5" i="18"/>
  <c r="I5" i="18"/>
  <c r="Q4" i="18"/>
  <c r="P4" i="18"/>
  <c r="O4" i="18"/>
  <c r="K4" i="18"/>
  <c r="J4" i="18"/>
  <c r="I4" i="18"/>
  <c r="Q3" i="18"/>
  <c r="P3" i="18"/>
  <c r="O3" i="18"/>
  <c r="K3" i="18"/>
  <c r="J3" i="18"/>
  <c r="I3" i="18"/>
  <c r="Q2" i="18"/>
  <c r="P2" i="18"/>
  <c r="O2" i="18"/>
  <c r="S2" i="18" s="1"/>
  <c r="M2" i="18"/>
  <c r="K2" i="18"/>
  <c r="L2" i="18" s="1"/>
  <c r="N2" i="18" s="1"/>
  <c r="J2" i="18"/>
  <c r="I2" i="18"/>
  <c r="Q5" i="17"/>
  <c r="P5" i="17"/>
  <c r="O5" i="17"/>
  <c r="K5" i="17"/>
  <c r="J5" i="17"/>
  <c r="I5" i="17"/>
  <c r="C5" i="17"/>
  <c r="Q4" i="17"/>
  <c r="P4" i="17"/>
  <c r="O4" i="17"/>
  <c r="K4" i="17"/>
  <c r="J4" i="17"/>
  <c r="I4" i="17"/>
  <c r="C4" i="17"/>
  <c r="Q3" i="17"/>
  <c r="P3" i="17"/>
  <c r="O3" i="17"/>
  <c r="K3" i="17"/>
  <c r="J3" i="17"/>
  <c r="I3" i="17"/>
  <c r="C3" i="17"/>
  <c r="R2" i="17"/>
  <c r="Q2" i="17"/>
  <c r="P2" i="17"/>
  <c r="O2" i="17"/>
  <c r="S2" i="17" s="1"/>
  <c r="T2" i="17" s="1"/>
  <c r="K2" i="17"/>
  <c r="M2" i="17" s="1"/>
  <c r="J2" i="17"/>
  <c r="I2" i="17"/>
  <c r="C2" i="17"/>
  <c r="Q6" i="16"/>
  <c r="P6" i="16"/>
  <c r="O6" i="16"/>
  <c r="K6" i="16"/>
  <c r="J6" i="16"/>
  <c r="I6" i="16"/>
  <c r="G6" i="16"/>
  <c r="E6" i="16"/>
  <c r="C6" i="16"/>
  <c r="Q5" i="16"/>
  <c r="P5" i="16"/>
  <c r="O5" i="16"/>
  <c r="K5" i="16"/>
  <c r="J5" i="16"/>
  <c r="I5" i="16"/>
  <c r="G5" i="16"/>
  <c r="E5" i="16"/>
  <c r="C5" i="16"/>
  <c r="Q4" i="16"/>
  <c r="P4" i="16"/>
  <c r="O4" i="16"/>
  <c r="K4" i="16"/>
  <c r="J4" i="16"/>
  <c r="I4" i="16"/>
  <c r="G4" i="16"/>
  <c r="E4" i="16"/>
  <c r="C4" i="16"/>
  <c r="Q3" i="16"/>
  <c r="P3" i="16"/>
  <c r="O3" i="16"/>
  <c r="K3" i="16"/>
  <c r="J3" i="16"/>
  <c r="I3" i="16"/>
  <c r="G3" i="16"/>
  <c r="E3" i="16"/>
  <c r="C3" i="16"/>
  <c r="Q2" i="16"/>
  <c r="P2" i="16"/>
  <c r="O2" i="16"/>
  <c r="S2" i="16" s="1"/>
  <c r="M2" i="16"/>
  <c r="K2" i="16"/>
  <c r="L2" i="16" s="1"/>
  <c r="N2" i="16" s="1"/>
  <c r="J2" i="16"/>
  <c r="I2" i="16"/>
  <c r="G2" i="16"/>
  <c r="E2" i="16"/>
  <c r="C2" i="16"/>
  <c r="Q6" i="15"/>
  <c r="P6" i="15"/>
  <c r="O6" i="15"/>
  <c r="K6" i="15"/>
  <c r="J6" i="15"/>
  <c r="I6" i="15"/>
  <c r="G6" i="15"/>
  <c r="E6" i="15"/>
  <c r="C6" i="15"/>
  <c r="Q5" i="15"/>
  <c r="P5" i="15"/>
  <c r="O5" i="15"/>
  <c r="K5" i="15"/>
  <c r="J5" i="15"/>
  <c r="I5" i="15"/>
  <c r="G5" i="15"/>
  <c r="E5" i="15"/>
  <c r="C5" i="15"/>
  <c r="Q4" i="15"/>
  <c r="P4" i="15"/>
  <c r="R2" i="15" s="1"/>
  <c r="O4" i="15"/>
  <c r="K4" i="15"/>
  <c r="J4" i="15"/>
  <c r="I4" i="15"/>
  <c r="G4" i="15"/>
  <c r="E4" i="15"/>
  <c r="C4" i="15"/>
  <c r="Q3" i="15"/>
  <c r="P3" i="15"/>
  <c r="O3" i="15"/>
  <c r="K3" i="15"/>
  <c r="J3" i="15"/>
  <c r="I3" i="15"/>
  <c r="G3" i="15"/>
  <c r="E3" i="15"/>
  <c r="C3" i="15"/>
  <c r="Q2" i="15"/>
  <c r="P2" i="15"/>
  <c r="O2" i="15"/>
  <c r="S2" i="15" s="1"/>
  <c r="M2" i="15"/>
  <c r="K2" i="15"/>
  <c r="L2" i="15" s="1"/>
  <c r="N2" i="15" s="1"/>
  <c r="J2" i="15"/>
  <c r="I2" i="15"/>
  <c r="G2" i="15"/>
  <c r="E2" i="15"/>
  <c r="C2" i="15"/>
  <c r="Q6" i="14"/>
  <c r="P6" i="14"/>
  <c r="O6" i="14"/>
  <c r="K6" i="14"/>
  <c r="J6" i="14"/>
  <c r="I6" i="14"/>
  <c r="G6" i="14"/>
  <c r="C6" i="14"/>
  <c r="Q5" i="14"/>
  <c r="P5" i="14"/>
  <c r="O5" i="14"/>
  <c r="K5" i="14"/>
  <c r="J5" i="14"/>
  <c r="I5" i="14"/>
  <c r="C5" i="14"/>
  <c r="Q4" i="14"/>
  <c r="P4" i="14"/>
  <c r="O4" i="14"/>
  <c r="K4" i="14"/>
  <c r="J4" i="14"/>
  <c r="I4" i="14"/>
  <c r="C4" i="14"/>
  <c r="Q3" i="14"/>
  <c r="P3" i="14"/>
  <c r="O3" i="14"/>
  <c r="K3" i="14"/>
  <c r="J3" i="14"/>
  <c r="I3" i="14"/>
  <c r="C3" i="14"/>
  <c r="R2" i="14"/>
  <c r="Q2" i="14"/>
  <c r="P2" i="14"/>
  <c r="O2" i="14"/>
  <c r="S2" i="14" s="1"/>
  <c r="T2" i="14" s="1"/>
  <c r="K2" i="14"/>
  <c r="M2" i="14" s="1"/>
  <c r="J2" i="14"/>
  <c r="I2" i="14"/>
  <c r="C2" i="14"/>
  <c r="Q6" i="13"/>
  <c r="P6" i="13"/>
  <c r="O6" i="13"/>
  <c r="K6" i="13"/>
  <c r="J6" i="13"/>
  <c r="I6" i="13"/>
  <c r="G6" i="13"/>
  <c r="E6" i="13"/>
  <c r="C6" i="13"/>
  <c r="Q5" i="13"/>
  <c r="P5" i="13"/>
  <c r="O5" i="13"/>
  <c r="K5" i="13"/>
  <c r="J5" i="13"/>
  <c r="I5" i="13"/>
  <c r="G5" i="13"/>
  <c r="E5" i="13"/>
  <c r="C5" i="13"/>
  <c r="Q4" i="13"/>
  <c r="P4" i="13"/>
  <c r="R2" i="13" s="1"/>
  <c r="O4" i="13"/>
  <c r="K4" i="13"/>
  <c r="J4" i="13"/>
  <c r="I4" i="13"/>
  <c r="G4" i="13"/>
  <c r="E4" i="13"/>
  <c r="C4" i="13"/>
  <c r="Q3" i="13"/>
  <c r="P3" i="13"/>
  <c r="O3" i="13"/>
  <c r="K3" i="13"/>
  <c r="J3" i="13"/>
  <c r="I3" i="13"/>
  <c r="G3" i="13"/>
  <c r="E3" i="13"/>
  <c r="C3" i="13"/>
  <c r="Q2" i="13"/>
  <c r="P2" i="13"/>
  <c r="O2" i="13"/>
  <c r="S2" i="13" s="1"/>
  <c r="M2" i="13"/>
  <c r="K2" i="13"/>
  <c r="L2" i="13" s="1"/>
  <c r="N2" i="13" s="1"/>
  <c r="J2" i="13"/>
  <c r="I2" i="13"/>
  <c r="G2" i="13"/>
  <c r="E2" i="13"/>
  <c r="C2" i="13"/>
  <c r="Q6" i="12"/>
  <c r="P6" i="12"/>
  <c r="O6" i="12"/>
  <c r="K6" i="12"/>
  <c r="J6" i="12"/>
  <c r="I6" i="12"/>
  <c r="G6" i="12"/>
  <c r="E6" i="12"/>
  <c r="C6" i="12"/>
  <c r="Q5" i="12"/>
  <c r="P5" i="12"/>
  <c r="O5" i="12"/>
  <c r="K5" i="12"/>
  <c r="J5" i="12"/>
  <c r="I5" i="12"/>
  <c r="G5" i="12"/>
  <c r="E5" i="12"/>
  <c r="C5" i="12"/>
  <c r="Q4" i="12"/>
  <c r="P4" i="12"/>
  <c r="O4" i="12"/>
  <c r="K4" i="12"/>
  <c r="J4" i="12"/>
  <c r="I4" i="12"/>
  <c r="G4" i="12"/>
  <c r="E4" i="12"/>
  <c r="C4" i="12"/>
  <c r="Q3" i="12"/>
  <c r="P3" i="12"/>
  <c r="O3" i="12"/>
  <c r="K3" i="12"/>
  <c r="J3" i="12"/>
  <c r="I3" i="12"/>
  <c r="G3" i="12"/>
  <c r="E3" i="12"/>
  <c r="C3" i="12"/>
  <c r="Q2" i="12"/>
  <c r="P2" i="12"/>
  <c r="O2" i="12"/>
  <c r="S2" i="12" s="1"/>
  <c r="M2" i="12"/>
  <c r="K2" i="12"/>
  <c r="L2" i="12" s="1"/>
  <c r="N2" i="12" s="1"/>
  <c r="J2" i="12"/>
  <c r="I2" i="12"/>
  <c r="G2" i="12"/>
  <c r="E2" i="12"/>
  <c r="C2" i="12"/>
  <c r="Q5" i="11"/>
  <c r="P5" i="11"/>
  <c r="O5" i="11"/>
  <c r="K5" i="11"/>
  <c r="J5" i="11"/>
  <c r="I5" i="11"/>
  <c r="Q4" i="11"/>
  <c r="P4" i="11"/>
  <c r="O4" i="11"/>
  <c r="K4" i="11"/>
  <c r="J4" i="11"/>
  <c r="I4" i="11"/>
  <c r="Q3" i="11"/>
  <c r="P3" i="11"/>
  <c r="O3" i="11"/>
  <c r="K3" i="11"/>
  <c r="J3" i="11"/>
  <c r="I3" i="11"/>
  <c r="S2" i="11"/>
  <c r="Q2" i="11"/>
  <c r="P2" i="11"/>
  <c r="O2" i="11"/>
  <c r="R2" i="11" s="1"/>
  <c r="K2" i="11"/>
  <c r="M2" i="11" s="1"/>
  <c r="J2" i="11"/>
  <c r="I2" i="11"/>
  <c r="Q6" i="9"/>
  <c r="P6" i="9"/>
  <c r="O6" i="9"/>
  <c r="K6" i="9"/>
  <c r="J6" i="9"/>
  <c r="I6" i="9"/>
  <c r="Q5" i="9"/>
  <c r="P5" i="9"/>
  <c r="O5" i="9"/>
  <c r="K5" i="9"/>
  <c r="J5" i="9"/>
  <c r="I5" i="9"/>
  <c r="Q4" i="9"/>
  <c r="P4" i="9"/>
  <c r="O4" i="9"/>
  <c r="K4" i="9"/>
  <c r="J4" i="9"/>
  <c r="I4" i="9"/>
  <c r="Q3" i="9"/>
  <c r="P3" i="9"/>
  <c r="O3" i="9"/>
  <c r="K3" i="9"/>
  <c r="J3" i="9"/>
  <c r="I3" i="9"/>
  <c r="Q2" i="9"/>
  <c r="P2" i="9"/>
  <c r="O2" i="9"/>
  <c r="S2" i="9" s="1"/>
  <c r="M2" i="9"/>
  <c r="K2" i="9"/>
  <c r="L2" i="9" s="1"/>
  <c r="N2" i="9" s="1"/>
  <c r="J2" i="9"/>
  <c r="I2" i="9"/>
  <c r="T2" i="31" l="1"/>
  <c r="N2" i="30"/>
  <c r="T2" i="30"/>
  <c r="M2" i="30"/>
  <c r="R2" i="30"/>
  <c r="N2" i="29"/>
  <c r="R2" i="29"/>
  <c r="T2" i="29" s="1"/>
  <c r="N2" i="28"/>
  <c r="R2" i="28"/>
  <c r="T2" i="28" s="1"/>
  <c r="N2" i="27"/>
  <c r="R2" i="27"/>
  <c r="T2" i="27" s="1"/>
  <c r="T2" i="26"/>
  <c r="M2" i="26"/>
  <c r="N2" i="26" s="1"/>
  <c r="S2" i="25"/>
  <c r="T2" i="25" s="1"/>
  <c r="L2" i="25"/>
  <c r="N2" i="25" s="1"/>
  <c r="T2" i="24"/>
  <c r="L2" i="24"/>
  <c r="N2" i="24" s="1"/>
  <c r="R2" i="23"/>
  <c r="T2" i="23" s="1"/>
  <c r="R2" i="22"/>
  <c r="T2" i="22" s="1"/>
  <c r="R2" i="21"/>
  <c r="T2" i="21" s="1"/>
  <c r="R2" i="20"/>
  <c r="T2" i="20" s="1"/>
  <c r="R2" i="19"/>
  <c r="T2" i="19" s="1"/>
  <c r="R2" i="18"/>
  <c r="T2" i="18" s="1"/>
  <c r="L2" i="17"/>
  <c r="N2" i="17" s="1"/>
  <c r="R2" i="16"/>
  <c r="T2" i="16" s="1"/>
  <c r="T2" i="15"/>
  <c r="L2" i="14"/>
  <c r="N2" i="14" s="1"/>
  <c r="T2" i="13"/>
  <c r="R2" i="12"/>
  <c r="T2" i="12" s="1"/>
  <c r="T2" i="11"/>
  <c r="L2" i="11"/>
  <c r="N2" i="11" s="1"/>
  <c r="R2" i="9"/>
  <c r="T2" i="9" s="1"/>
  <c r="Q11" i="8"/>
  <c r="P11" i="8"/>
  <c r="O11" i="8"/>
  <c r="K11" i="8"/>
  <c r="J11" i="8"/>
  <c r="I11" i="8"/>
  <c r="Q10" i="8"/>
  <c r="P10" i="8"/>
  <c r="O10" i="8"/>
  <c r="K10" i="8"/>
  <c r="J10" i="8"/>
  <c r="I10" i="8"/>
  <c r="Q9" i="8"/>
  <c r="P9" i="8"/>
  <c r="O9" i="8"/>
  <c r="K9" i="8"/>
  <c r="J9" i="8"/>
  <c r="I9" i="8"/>
  <c r="Q8" i="8"/>
  <c r="P8" i="8"/>
  <c r="O8" i="8"/>
  <c r="K8" i="8"/>
  <c r="J8" i="8"/>
  <c r="I8" i="8"/>
  <c r="Q7" i="8"/>
  <c r="P7" i="8"/>
  <c r="O7" i="8"/>
  <c r="K7" i="8"/>
  <c r="J7" i="8"/>
  <c r="I7" i="8"/>
  <c r="Q6" i="8"/>
  <c r="P6" i="8"/>
  <c r="O6" i="8"/>
  <c r="K6" i="8"/>
  <c r="J6" i="8"/>
  <c r="I6" i="8"/>
  <c r="Q5" i="8"/>
  <c r="P5" i="8"/>
  <c r="O5" i="8"/>
  <c r="K5" i="8"/>
  <c r="J5" i="8"/>
  <c r="I5" i="8"/>
  <c r="Q4" i="8"/>
  <c r="P4" i="8"/>
  <c r="O4" i="8"/>
  <c r="K4" i="8"/>
  <c r="J4" i="8"/>
  <c r="I4" i="8"/>
  <c r="Q3" i="8"/>
  <c r="P3" i="8"/>
  <c r="O3" i="8"/>
  <c r="K3" i="8"/>
  <c r="J3" i="8"/>
  <c r="I3" i="8"/>
  <c r="Q2" i="8"/>
  <c r="P2" i="8"/>
  <c r="O2" i="8"/>
  <c r="R2" i="8" s="1"/>
  <c r="K2" i="8"/>
  <c r="M2" i="8" s="1"/>
  <c r="J2" i="8"/>
  <c r="I2" i="8"/>
  <c r="Q4" i="7"/>
  <c r="P4" i="7"/>
  <c r="O4" i="7"/>
  <c r="K4" i="7"/>
  <c r="J4" i="7"/>
  <c r="I4" i="7"/>
  <c r="Q3" i="7"/>
  <c r="P3" i="7"/>
  <c r="R2" i="7" s="1"/>
  <c r="O3" i="7"/>
  <c r="K3" i="7"/>
  <c r="J3" i="7"/>
  <c r="I3" i="7"/>
  <c r="Q2" i="7"/>
  <c r="P2" i="7"/>
  <c r="O2" i="7"/>
  <c r="S2" i="7" s="1"/>
  <c r="M2" i="7"/>
  <c r="K2" i="7"/>
  <c r="L2" i="7" s="1"/>
  <c r="N2" i="7" s="1"/>
  <c r="J2" i="7"/>
  <c r="I2" i="7"/>
  <c r="Q5" i="6"/>
  <c r="P5" i="6"/>
  <c r="O5" i="6"/>
  <c r="K5" i="6"/>
  <c r="J5" i="6"/>
  <c r="I5" i="6"/>
  <c r="Q4" i="6"/>
  <c r="P4" i="6"/>
  <c r="O4" i="6"/>
  <c r="K4" i="6"/>
  <c r="J4" i="6"/>
  <c r="I4" i="6"/>
  <c r="Q3" i="6"/>
  <c r="P3" i="6"/>
  <c r="O3" i="6"/>
  <c r="K3" i="6"/>
  <c r="J3" i="6"/>
  <c r="I3" i="6"/>
  <c r="S2" i="6"/>
  <c r="Q2" i="6"/>
  <c r="P2" i="6"/>
  <c r="O2" i="6"/>
  <c r="R2" i="6" s="1"/>
  <c r="K2" i="6"/>
  <c r="M2" i="6" s="1"/>
  <c r="J2" i="6"/>
  <c r="I2" i="6"/>
  <c r="Q4" i="5"/>
  <c r="P4" i="5"/>
  <c r="O4" i="5"/>
  <c r="K4" i="5"/>
  <c r="J4" i="5"/>
  <c r="I4" i="5"/>
  <c r="Q3" i="5"/>
  <c r="P3" i="5"/>
  <c r="O3" i="5"/>
  <c r="K3" i="5"/>
  <c r="J3" i="5"/>
  <c r="I3" i="5"/>
  <c r="Q2" i="5"/>
  <c r="P2" i="5"/>
  <c r="O2" i="5"/>
  <c r="S2" i="5" s="1"/>
  <c r="M2" i="5"/>
  <c r="K2" i="5"/>
  <c r="L2" i="5" s="1"/>
  <c r="N2" i="5" s="1"/>
  <c r="J2" i="5"/>
  <c r="I2" i="5"/>
  <c r="Q5" i="4"/>
  <c r="P5" i="4"/>
  <c r="O5" i="4"/>
  <c r="K5" i="4"/>
  <c r="J5" i="4"/>
  <c r="I5" i="4"/>
  <c r="Q4" i="4"/>
  <c r="P4" i="4"/>
  <c r="O4" i="4"/>
  <c r="K4" i="4"/>
  <c r="J4" i="4"/>
  <c r="I4" i="4"/>
  <c r="Q3" i="4"/>
  <c r="P3" i="4"/>
  <c r="O3" i="4"/>
  <c r="K3" i="4"/>
  <c r="J3" i="4"/>
  <c r="I3" i="4"/>
  <c r="S2" i="4"/>
  <c r="Q2" i="4"/>
  <c r="P2" i="4"/>
  <c r="O2" i="4"/>
  <c r="R2" i="4" s="1"/>
  <c r="K2" i="4"/>
  <c r="M2" i="4" s="1"/>
  <c r="J2" i="4"/>
  <c r="I2" i="4"/>
  <c r="Q4" i="3"/>
  <c r="P4" i="3"/>
  <c r="O4" i="3"/>
  <c r="K4" i="3"/>
  <c r="J4" i="3"/>
  <c r="I4" i="3"/>
  <c r="Q3" i="3"/>
  <c r="P3" i="3"/>
  <c r="O3" i="3"/>
  <c r="K3" i="3"/>
  <c r="J3" i="3"/>
  <c r="I3" i="3"/>
  <c r="Q2" i="3"/>
  <c r="P2" i="3"/>
  <c r="O2" i="3"/>
  <c r="S2" i="3" s="1"/>
  <c r="M2" i="3"/>
  <c r="K2" i="3"/>
  <c r="L2" i="3" s="1"/>
  <c r="N2" i="3" s="1"/>
  <c r="J2" i="3"/>
  <c r="I2" i="3"/>
  <c r="Q5" i="1"/>
  <c r="P5" i="1"/>
  <c r="O5" i="1"/>
  <c r="K5" i="1"/>
  <c r="J5" i="1"/>
  <c r="I5" i="1"/>
  <c r="G5" i="1"/>
  <c r="E5" i="1"/>
  <c r="C5" i="1"/>
  <c r="Q4" i="1"/>
  <c r="P4" i="1"/>
  <c r="O4" i="1"/>
  <c r="K4" i="1"/>
  <c r="J4" i="1"/>
  <c r="I4" i="1"/>
  <c r="G4" i="1"/>
  <c r="E4" i="1"/>
  <c r="C4" i="1"/>
  <c r="Q3" i="1"/>
  <c r="P3" i="1"/>
  <c r="O3" i="1"/>
  <c r="K3" i="1"/>
  <c r="J3" i="1"/>
  <c r="I3" i="1"/>
  <c r="G3" i="1"/>
  <c r="E3" i="1"/>
  <c r="C3" i="1"/>
  <c r="S2" i="1"/>
  <c r="T2" i="1" s="1"/>
  <c r="R2" i="1"/>
  <c r="Q2" i="1"/>
  <c r="P2" i="1"/>
  <c r="O2" i="1"/>
  <c r="M2" i="1"/>
  <c r="J2" i="1"/>
  <c r="I2" i="1"/>
  <c r="G2" i="1"/>
  <c r="E2" i="1"/>
  <c r="C2" i="1"/>
  <c r="Q5" i="2"/>
  <c r="P5" i="2"/>
  <c r="O5" i="2"/>
  <c r="K5" i="2"/>
  <c r="J5" i="2"/>
  <c r="I5" i="2"/>
  <c r="Q4" i="2"/>
  <c r="P4" i="2"/>
  <c r="O4" i="2"/>
  <c r="K4" i="2"/>
  <c r="J4" i="2"/>
  <c r="I4" i="2"/>
  <c r="Q3" i="2"/>
  <c r="P3" i="2"/>
  <c r="O3" i="2"/>
  <c r="K3" i="2"/>
  <c r="J3" i="2"/>
  <c r="I3" i="2"/>
  <c r="Q2" i="2"/>
  <c r="P2" i="2"/>
  <c r="O2" i="2"/>
  <c r="R2" i="2" s="1"/>
  <c r="K2" i="2"/>
  <c r="M2" i="2" s="1"/>
  <c r="J2" i="2"/>
  <c r="I2" i="2"/>
  <c r="S2" i="8" l="1"/>
  <c r="T2" i="8" s="1"/>
  <c r="L2" i="8"/>
  <c r="N2" i="8" s="1"/>
  <c r="T2" i="7"/>
  <c r="T2" i="6"/>
  <c r="L2" i="6"/>
  <c r="N2" i="6" s="1"/>
  <c r="R2" i="5"/>
  <c r="T2" i="5" s="1"/>
  <c r="T2" i="4"/>
  <c r="L2" i="4"/>
  <c r="N2" i="4" s="1"/>
  <c r="R2" i="3"/>
  <c r="T2" i="3" s="1"/>
  <c r="L2" i="1"/>
  <c r="N2" i="1" s="1"/>
  <c r="L2" i="2"/>
  <c r="N2" i="2" s="1"/>
  <c r="S2" i="2"/>
  <c r="T2" i="2" s="1"/>
</calcChain>
</file>

<file path=xl/sharedStrings.xml><?xml version="1.0" encoding="utf-8"?>
<sst xmlns="http://schemas.openxmlformats.org/spreadsheetml/2006/main" count="856" uniqueCount="78">
  <si>
    <t>GUPTA et al. 2018 [12]</t>
  </si>
  <si>
    <t>[DEA][HSO4] 1wt%</t>
  </si>
  <si>
    <t>ALTAMASH et al. [34]</t>
  </si>
  <si>
    <t xml:space="preserve"> [TBMA][Of] 10 wt% </t>
  </si>
  <si>
    <t xml:space="preserve">Author </t>
  </si>
  <si>
    <t xml:space="preserve">System </t>
  </si>
  <si>
    <t>T [°C]</t>
  </si>
  <si>
    <t>T [K]</t>
  </si>
  <si>
    <t>P [bar]</t>
  </si>
  <si>
    <t>P[MPa]</t>
  </si>
  <si>
    <t>P[Pa]</t>
  </si>
  <si>
    <t>T0 [K]</t>
  </si>
  <si>
    <t>f</t>
  </si>
  <si>
    <t>DT</t>
  </si>
  <si>
    <t>DT/T0T</t>
  </si>
  <si>
    <t>Sdev</t>
  </si>
  <si>
    <t>Average</t>
  </si>
  <si>
    <t>Error1</t>
  </si>
  <si>
    <t>ln(P)</t>
  </si>
  <si>
    <t>1/T</t>
  </si>
  <si>
    <t>1/T0</t>
  </si>
  <si>
    <t>Slope</t>
  </si>
  <si>
    <t>Slope0</t>
  </si>
  <si>
    <t>Error2</t>
  </si>
  <si>
    <t>QASIM et al. [36]</t>
  </si>
  <si>
    <t xml:space="preserve"> [TEA][Br] 1 wt% </t>
  </si>
  <si>
    <t>[DMA][Of] 5 wt%</t>
  </si>
  <si>
    <t>[DMA][Of] 10 wt%</t>
  </si>
  <si>
    <t xml:space="preserve"> [DMEA][Of] 5 wt% </t>
  </si>
  <si>
    <t xml:space="preserve"> [DMEA][Of] 10 wt% </t>
  </si>
  <si>
    <t xml:space="preserve"> [EA][Of] 5 wt% </t>
  </si>
  <si>
    <t xml:space="preserve"> [EA][Of] 10 wt% </t>
  </si>
  <si>
    <t>KAZEMI et al. 2019 [5]</t>
  </si>
  <si>
    <t>[TEA][Cl] 10-25 wt%</t>
  </si>
  <si>
    <t xml:space="preserve"> [TBMA][Of] 5 wt% </t>
  </si>
  <si>
    <t xml:space="preserve"> [TEA][Br] 5 wt% </t>
  </si>
  <si>
    <t xml:space="preserve"> [TEA][Br] 10 wt% </t>
  </si>
  <si>
    <t xml:space="preserve"> [TEA][I] 1 wt% </t>
  </si>
  <si>
    <t xml:space="preserve"> [TEA][I] 5 wt% </t>
  </si>
  <si>
    <t>NASHED et al. [26]</t>
  </si>
  <si>
    <t>[TEA][I] 10 wt%</t>
  </si>
  <si>
    <t xml:space="preserve"> [TEA][I] 10 wt% </t>
  </si>
  <si>
    <t>TARIQ et al. [29]</t>
  </si>
  <si>
    <t>[TMA][Ac] 1 wt%</t>
  </si>
  <si>
    <t>[TMA][Ac] 5 wt%</t>
  </si>
  <si>
    <t xml:space="preserve"> [TMA][Br] 1 wt% </t>
  </si>
  <si>
    <t xml:space="preserve"> [TMA][Br] 5 wt% </t>
  </si>
  <si>
    <t xml:space="preserve"> [TMA][Br] 10 wt% </t>
  </si>
  <si>
    <t>KHAN et al. 2019 [37]</t>
  </si>
  <si>
    <t>[TMA][Cl] 1 wt%</t>
  </si>
  <si>
    <t>[TMA][Cl] 5 wt%</t>
  </si>
  <si>
    <t>[TMA][Cl] 10 wt%</t>
  </si>
  <si>
    <t>KHAN et al. 2017 [39]</t>
  </si>
  <si>
    <t>[TMA][OH] 1 wt%</t>
  </si>
  <si>
    <t>[TMA][OH] 5 wt%</t>
  </si>
  <si>
    <t>[TMA][OH] 10 wt%</t>
  </si>
  <si>
    <t>GUPTA 2018 [12]</t>
  </si>
  <si>
    <t>[TriPrA][HSO4] 1 wt%</t>
  </si>
  <si>
    <t>[TriBA][HSO4] 1 wt%</t>
  </si>
  <si>
    <t>Author</t>
  </si>
  <si>
    <t>System</t>
  </si>
  <si>
    <t>Error 1 [%]</t>
  </si>
  <si>
    <t>Error2 [%]</t>
  </si>
  <si>
    <t>[DMEA][Of] 5 wt%</t>
  </si>
  <si>
    <t>[DMEA][Of] 10 wt%</t>
  </si>
  <si>
    <t>[EA][Of] 5 wt%</t>
  </si>
  <si>
    <t>[EA][Of] 10 wt%</t>
  </si>
  <si>
    <t>[TBMA][Of] 5 wt%</t>
  </si>
  <si>
    <t>[TBMA][Of] 10 wt%</t>
  </si>
  <si>
    <t>[TEA][Br] 1 wt%</t>
  </si>
  <si>
    <t>[TEA][Br] 5 wt%</t>
  </si>
  <si>
    <t>[TEA][Br] 10 wt%</t>
  </si>
  <si>
    <t>[TEA][I] 1 wt%</t>
  </si>
  <si>
    <t>[TEA][I] 5 wt%</t>
  </si>
  <si>
    <t>[TMA][Br] 1 wt%</t>
  </si>
  <si>
    <t>[TMA][Br] 5 wt%</t>
  </si>
  <si>
    <t>[TMA][Br] 10 wt%</t>
  </si>
  <si>
    <t>Error 2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</si>
</sst>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D7D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2" fontId="5" fillId="0" borderId="0" xfId="0" applyNumberFormat="1" applyFont="1" applyAlignment="1">
      <alignment horizontal="center"/>
    </xf>
    <xf numFmtId="0" fontId="2" fillId="0" borderId="0" xfId="0" applyFont="1" applyAlignment="1"/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3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0" borderId="0" xfId="0" applyFont="1"/>
    <xf numFmtId="2" fontId="8" fillId="0" borderId="0" xfId="0" applyNumberFormat="1" applyFont="1"/>
    <xf numFmtId="0" fontId="10" fillId="0" borderId="0" xfId="0" applyFont="1"/>
    <xf numFmtId="0" fontId="9" fillId="0" borderId="0" xfId="0" applyFont="1"/>
    <xf numFmtId="0" fontId="1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H1" zoomScaleNormal="100" workbookViewId="0">
      <selection sqref="A1:T5"/>
    </sheetView>
  </sheetViews>
  <sheetFormatPr defaultRowHeight="15" x14ac:dyDescent="0.25"/>
  <cols>
    <col min="1" max="1" width="20.7109375" bestFit="1" customWidth="1"/>
    <col min="2" max="2" width="18.42578125" bestFit="1" customWidth="1"/>
    <col min="9" max="9" width="4.5703125" bestFit="1" customWidth="1"/>
    <col min="11" max="11" width="12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0</v>
      </c>
      <c r="B2" s="26" t="s">
        <v>1</v>
      </c>
      <c r="C2" s="1">
        <f>D2-273.15</f>
        <v>10.03000000000003</v>
      </c>
      <c r="D2" s="11">
        <v>283.18</v>
      </c>
      <c r="E2" s="1">
        <f>F2*10</f>
        <v>76.599999999999994</v>
      </c>
      <c r="F2" s="12">
        <v>7.66</v>
      </c>
      <c r="G2" s="2">
        <f>F2*10^6</f>
        <v>7660000</v>
      </c>
      <c r="H2" s="11">
        <v>283.6488467894726</v>
      </c>
      <c r="I2" s="3">
        <f>F2-10^(-4646.471 +5314653/H2 -2271392000/H2^2 +430306500000/H2^3 -30511740000000/H2^4)</f>
        <v>-1.4213519250461104E-11</v>
      </c>
      <c r="J2" s="3">
        <f>H2-D2</f>
        <v>0.46884678947259317</v>
      </c>
      <c r="K2">
        <f>(H2-D2)/(H2*D2)</f>
        <v>5.8369684623546403E-6</v>
      </c>
      <c r="L2">
        <f>_xlfn.STDEV.S(K2:K5)</f>
        <v>4.629504201161252E-6</v>
      </c>
      <c r="M2">
        <f>AVERAGE(K2:K5)</f>
        <v>1.9647588150421916E-6</v>
      </c>
      <c r="N2">
        <f>100*L2/M2</f>
        <v>235.62709914915624</v>
      </c>
      <c r="O2" s="4">
        <f>LN(F2)</f>
        <v>2.0360119837525001</v>
      </c>
      <c r="P2" s="4">
        <f>1/D2</f>
        <v>3.5313228335334414E-3</v>
      </c>
      <c r="Q2" s="4">
        <f>1/H2</f>
        <v>3.5254858650710869E-3</v>
      </c>
      <c r="R2">
        <f>SLOPE(O2:O5,P2:P5)</f>
        <v>-9306.3313483956044</v>
      </c>
      <c r="S2">
        <f>SLOPE(O2:O5,Q2:Q5)</f>
        <v>-8115.2770137180923</v>
      </c>
      <c r="T2" s="13">
        <f>100*ABS(S2-R2)/ABS(S2)</f>
        <v>14.676693508602968</v>
      </c>
    </row>
    <row r="3" spans="1:20" x14ac:dyDescent="0.25">
      <c r="A3" s="27"/>
      <c r="B3" s="27"/>
      <c r="C3" s="1">
        <f t="shared" ref="C3:C5" si="0">D3-273.15</f>
        <v>9.0400000000000205</v>
      </c>
      <c r="D3" s="11">
        <v>282.19</v>
      </c>
      <c r="E3" s="1">
        <f t="shared" ref="E3:E5" si="1">F3*10</f>
        <v>68.400000000000006</v>
      </c>
      <c r="F3" s="12">
        <v>6.84</v>
      </c>
      <c r="G3" s="2">
        <f t="shared" ref="G3:G5" si="2">F3*10^6</f>
        <v>6840000</v>
      </c>
      <c r="H3" s="11">
        <v>282.61582977425536</v>
      </c>
      <c r="I3" s="22">
        <f t="shared" ref="I3:I5" si="3">F3-10^(-4646.471 +5314653/H3 -2271392000/H3^2 +430306500000/H3^3 -30511740000000/H3^4)</f>
        <v>-2.0541790490824496E-11</v>
      </c>
      <c r="J3" s="3">
        <f t="shared" ref="J3:J5" si="4">H3-D3</f>
        <v>0.42582977425536228</v>
      </c>
      <c r="K3">
        <f t="shared" ref="K3:K5" si="5">(H3-D3)/(H3*D3)</f>
        <v>5.3394671751623122E-6</v>
      </c>
      <c r="O3" s="4">
        <f t="shared" ref="O3:O5" si="6">LN(F3)</f>
        <v>1.922787731634459</v>
      </c>
      <c r="P3" s="4">
        <f t="shared" ref="P3:P5" si="7">1/D3</f>
        <v>3.5437116836174211E-3</v>
      </c>
      <c r="Q3" s="4">
        <f t="shared" ref="Q3:Q5" si="8">1/H3</f>
        <v>3.5383722164422588E-3</v>
      </c>
    </row>
    <row r="4" spans="1:20" x14ac:dyDescent="0.25">
      <c r="A4" s="27"/>
      <c r="B4" s="27"/>
      <c r="C4" s="1">
        <f t="shared" si="0"/>
        <v>7.5400000000000205</v>
      </c>
      <c r="D4" s="11">
        <v>280.69</v>
      </c>
      <c r="E4" s="1">
        <f t="shared" si="1"/>
        <v>56.1</v>
      </c>
      <c r="F4" s="12">
        <v>5.61</v>
      </c>
      <c r="G4" s="2">
        <f t="shared" si="2"/>
        <v>5610000</v>
      </c>
      <c r="H4" s="11">
        <v>280.74952491116335</v>
      </c>
      <c r="I4" s="3">
        <f t="shared" si="3"/>
        <v>-5.4933835258452746E-12</v>
      </c>
      <c r="J4" s="3">
        <f t="shared" si="4"/>
        <v>5.952491116335068E-2</v>
      </c>
      <c r="K4">
        <f t="shared" si="5"/>
        <v>7.5535791686930824E-7</v>
      </c>
      <c r="O4" s="4">
        <f t="shared" si="6"/>
        <v>1.724550719534605</v>
      </c>
      <c r="P4" s="4">
        <f t="shared" si="7"/>
        <v>3.5626491859346611E-3</v>
      </c>
      <c r="Q4" s="4">
        <f t="shared" si="8"/>
        <v>3.5618938280177919E-3</v>
      </c>
    </row>
    <row r="5" spans="1:20" x14ac:dyDescent="0.25">
      <c r="A5" s="27"/>
      <c r="B5" s="27"/>
      <c r="C5" s="1">
        <f t="shared" si="0"/>
        <v>4.4399999999999977</v>
      </c>
      <c r="D5" s="11">
        <v>277.58999999999997</v>
      </c>
      <c r="E5" s="1">
        <f t="shared" si="1"/>
        <v>39.6</v>
      </c>
      <c r="F5" s="12">
        <v>3.96</v>
      </c>
      <c r="G5" s="2">
        <f t="shared" si="2"/>
        <v>3960000</v>
      </c>
      <c r="H5" s="11">
        <v>277.2765230928436</v>
      </c>
      <c r="I5" s="3">
        <f t="shared" si="3"/>
        <v>2.2257529153080213E-10</v>
      </c>
      <c r="J5" s="3">
        <f t="shared" si="4"/>
        <v>-0.313476907156371</v>
      </c>
      <c r="K5">
        <f t="shared" si="5"/>
        <v>-4.0727582942174934E-6</v>
      </c>
      <c r="O5" s="4">
        <f t="shared" si="6"/>
        <v>1.3762440252663892</v>
      </c>
      <c r="P5" s="4">
        <f t="shared" si="7"/>
        <v>3.6024352462264496E-3</v>
      </c>
      <c r="Q5" s="4">
        <f t="shared" si="8"/>
        <v>3.6065080045206668E-3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B11" sqref="B11"/>
    </sheetView>
  </sheetViews>
  <sheetFormatPr defaultRowHeight="15" x14ac:dyDescent="0.25"/>
  <cols>
    <col min="1" max="1" width="19.140625" bestFit="1" customWidth="1"/>
    <col min="2" max="2" width="18.42578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2</v>
      </c>
      <c r="B2" s="30" t="s">
        <v>3</v>
      </c>
      <c r="C2" s="1">
        <v>4.54</v>
      </c>
      <c r="D2" s="2">
        <v>277.69</v>
      </c>
      <c r="E2" s="1">
        <v>42.411999999999999</v>
      </c>
      <c r="F2" s="1">
        <v>4.24</v>
      </c>
      <c r="G2" s="2">
        <v>4241200</v>
      </c>
      <c r="H2" s="2">
        <v>277.97740727874003</v>
      </c>
      <c r="I2" s="3">
        <f t="shared" ref="I2:I5" si="0">F2-10^(-4646.471 +5314653/H2 -2271392000/H2^2 +430306500000/H2^3 -30511740000000/H2^4)</f>
        <v>2.0955681634404755E-11</v>
      </c>
      <c r="J2" s="3">
        <f t="shared" ref="J2:J5" si="1">H2-D2</f>
        <v>0.28740727874003369</v>
      </c>
      <c r="K2">
        <f t="shared" ref="K2:K5" si="2">(H2-D2)/(H2*D2)</f>
        <v>3.7232999309791755E-6</v>
      </c>
      <c r="L2">
        <f>_xlfn.STDEV.S(K2:K5)</f>
        <v>2.2069091113032218E-6</v>
      </c>
      <c r="M2">
        <f t="shared" ref="M2" si="3">AVERAGE(K2:K5)</f>
        <v>6.8502282264069339E-6</v>
      </c>
      <c r="N2">
        <f t="shared" ref="N2" si="4">100*L2/M2</f>
        <v>32.216577876862722</v>
      </c>
      <c r="O2" s="4">
        <f t="shared" ref="O2:O5" si="5">LN(F2)</f>
        <v>1.4445632692438664</v>
      </c>
      <c r="P2" s="4">
        <f t="shared" ref="P2:P5" si="6">1/D2</f>
        <v>3.6011379595952322E-3</v>
      </c>
      <c r="Q2" s="4">
        <f t="shared" ref="Q2:Q5" si="7">1/H2</f>
        <v>3.5974146596642531E-3</v>
      </c>
      <c r="R2">
        <f>SLOPE(O2:O5,P2:P5)</f>
        <v>-9014.6654426144742</v>
      </c>
      <c r="S2">
        <f>SLOPE(O2:O5,Q2:Q5)</f>
        <v>-8645.2624020927742</v>
      </c>
      <c r="T2">
        <f>100*ABS(S2-R2)/ABS(S2)</f>
        <v>4.2728956431938707</v>
      </c>
    </row>
    <row r="3" spans="1:20" x14ac:dyDescent="0.25">
      <c r="A3" s="27"/>
      <c r="B3" s="27"/>
      <c r="C3" s="1">
        <v>8.0500000000000007</v>
      </c>
      <c r="D3" s="2">
        <v>281.2</v>
      </c>
      <c r="E3" s="1">
        <v>62.32</v>
      </c>
      <c r="F3" s="1">
        <v>6.2320000000000002</v>
      </c>
      <c r="G3" s="2">
        <v>6232000</v>
      </c>
      <c r="H3" s="2">
        <v>281.74894956596677</v>
      </c>
      <c r="I3" s="3">
        <f t="shared" si="0"/>
        <v>-5.7990945379060577E-11</v>
      </c>
      <c r="J3" s="3">
        <f t="shared" si="1"/>
        <v>0.54894956596677957</v>
      </c>
      <c r="K3">
        <f t="shared" si="2"/>
        <v>6.9287489236122235E-6</v>
      </c>
      <c r="O3" s="4">
        <f t="shared" si="5"/>
        <v>1.8296973085684471</v>
      </c>
      <c r="P3" s="4">
        <f t="shared" si="6"/>
        <v>3.5561877667140826E-3</v>
      </c>
      <c r="Q3" s="4">
        <f t="shared" si="7"/>
        <v>3.5492590177904704E-3</v>
      </c>
    </row>
    <row r="4" spans="1:20" x14ac:dyDescent="0.25">
      <c r="A4" s="27"/>
      <c r="B4" s="27"/>
      <c r="C4" s="1">
        <v>12.19</v>
      </c>
      <c r="D4" s="2">
        <v>285.33999999999997</v>
      </c>
      <c r="E4" s="1">
        <v>100</v>
      </c>
      <c r="F4" s="1">
        <v>10</v>
      </c>
      <c r="G4" s="2">
        <v>10000000</v>
      </c>
      <c r="H4" s="2">
        <v>285.99885457943827</v>
      </c>
      <c r="I4" s="3">
        <f t="shared" si="0"/>
        <v>1.0470557754160836E-10</v>
      </c>
      <c r="J4" s="3">
        <f t="shared" si="1"/>
        <v>0.65885457943829806</v>
      </c>
      <c r="K4">
        <f t="shared" si="2"/>
        <v>8.0735142879444745E-6</v>
      </c>
      <c r="O4" s="4">
        <f t="shared" si="5"/>
        <v>2.3025850929940459</v>
      </c>
      <c r="P4" s="4">
        <f t="shared" si="6"/>
        <v>3.50459101422864E-3</v>
      </c>
      <c r="Q4" s="4">
        <f t="shared" si="7"/>
        <v>3.4965174999406954E-3</v>
      </c>
    </row>
    <row r="5" spans="1:20" x14ac:dyDescent="0.25">
      <c r="A5" s="27"/>
      <c r="B5" s="27"/>
      <c r="C5" s="1">
        <v>13.25</v>
      </c>
      <c r="D5" s="2">
        <v>286.39999999999998</v>
      </c>
      <c r="E5" s="1">
        <v>113.94</v>
      </c>
      <c r="F5" s="1">
        <v>11.394</v>
      </c>
      <c r="G5" s="2">
        <v>11394000</v>
      </c>
      <c r="H5" s="2">
        <v>287.1133676649942</v>
      </c>
      <c r="I5" s="3">
        <f t="shared" si="0"/>
        <v>1.1951328815484885E-11</v>
      </c>
      <c r="J5" s="3">
        <f t="shared" si="1"/>
        <v>0.71336766499422311</v>
      </c>
      <c r="K5">
        <f t="shared" si="2"/>
        <v>8.6753497630918607E-6</v>
      </c>
      <c r="O5" s="4">
        <f t="shared" si="5"/>
        <v>2.4330869010582039</v>
      </c>
      <c r="P5" s="4">
        <f t="shared" si="6"/>
        <v>3.4916201117318438E-3</v>
      </c>
      <c r="Q5" s="4">
        <f t="shared" si="7"/>
        <v>3.482944761968752E-3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24</v>
      </c>
      <c r="B2" s="26" t="s">
        <v>25</v>
      </c>
      <c r="C2" s="7">
        <f>D2-273.15</f>
        <v>2.75</v>
      </c>
      <c r="D2" s="5">
        <v>275.89999999999998</v>
      </c>
      <c r="E2" s="7">
        <f>F2*10</f>
        <v>35</v>
      </c>
      <c r="F2" s="7">
        <v>3.5</v>
      </c>
      <c r="G2" s="5">
        <f>F2*10^6</f>
        <v>3500000</v>
      </c>
      <c r="H2" s="5">
        <v>275.98747179067249</v>
      </c>
      <c r="I2" s="3">
        <f t="shared" ref="I2:I6" si="0">F2-10^(-4646.471 +5314653/H2 -2271392000/H2^2 +430306500000/H2^3 -30511740000000/H2^4)</f>
        <v>-1.8496315590255108E-11</v>
      </c>
      <c r="J2" s="3">
        <f t="shared" ref="J2:J6" si="1">H2-D2</f>
        <v>8.7471790672509542E-2</v>
      </c>
      <c r="K2">
        <f t="shared" ref="K2:K6" si="2">(H2-D2)/(H2*D2)</f>
        <v>1.1487537673511435E-6</v>
      </c>
      <c r="L2">
        <f>_xlfn.STDEV.S(K2:K6)</f>
        <v>1.2981634543067993E-6</v>
      </c>
      <c r="M2">
        <f>AVERAGE(K2:K6)</f>
        <v>9.6819079968689171E-7</v>
      </c>
      <c r="N2">
        <f>100*L2/M2</f>
        <v>134.08136647514303</v>
      </c>
      <c r="O2" s="4">
        <f t="shared" ref="O2:O6" si="3">LN(F2)</f>
        <v>1.2527629684953681</v>
      </c>
      <c r="P2" s="4">
        <f t="shared" ref="P2:P6" si="4">1/D2</f>
        <v>3.6245016310257343E-3</v>
      </c>
      <c r="Q2" s="4">
        <f t="shared" ref="Q2:Q6" si="5">1/H2</f>
        <v>3.6233528772583829E-3</v>
      </c>
      <c r="R2">
        <f>SLOPE(O2:O6,P2:P6)</f>
        <v>-7966.6024062867355</v>
      </c>
      <c r="S2">
        <f>SLOPE(O2:O6,Q2:Q6)</f>
        <v>-8068.9475745070549</v>
      </c>
      <c r="T2">
        <f t="shared" ref="T2" si="6">100*ABS(S2-R2)/ABS(S2)</f>
        <v>1.2683831103782068</v>
      </c>
    </row>
    <row r="3" spans="1:20" x14ac:dyDescent="0.25">
      <c r="A3" s="27"/>
      <c r="B3" s="27"/>
      <c r="C3" s="7">
        <f t="shared" ref="C3:C6" si="7">D3-273.15</f>
        <v>5.4500000000000455</v>
      </c>
      <c r="D3" s="5">
        <v>278.60000000000002</v>
      </c>
      <c r="E3" s="7">
        <f t="shared" ref="E3:E6" si="8">F3*10</f>
        <v>46</v>
      </c>
      <c r="F3" s="7">
        <v>4.5999999999999996</v>
      </c>
      <c r="G3" s="5">
        <f t="shared" ref="G3:G6" si="9">F3*10^6</f>
        <v>4600000</v>
      </c>
      <c r="H3" s="5">
        <v>278.80108720555177</v>
      </c>
      <c r="I3" s="3">
        <f t="shared" si="0"/>
        <v>-1.4453327423780138E-11</v>
      </c>
      <c r="J3" s="3">
        <f t="shared" si="1"/>
        <v>0.20108720555174386</v>
      </c>
      <c r="K3">
        <f t="shared" si="2"/>
        <v>2.588861779141235E-6</v>
      </c>
      <c r="O3" s="4">
        <f t="shared" si="3"/>
        <v>1.5260563034950492</v>
      </c>
      <c r="P3" s="4">
        <f t="shared" si="4"/>
        <v>3.5893754486719309E-3</v>
      </c>
      <c r="Q3" s="4">
        <f t="shared" si="5"/>
        <v>3.5867865868927894E-3</v>
      </c>
    </row>
    <row r="4" spans="1:20" x14ac:dyDescent="0.25">
      <c r="A4" s="27"/>
      <c r="B4" s="27"/>
      <c r="C4" s="7">
        <f t="shared" si="7"/>
        <v>9.0500000000000114</v>
      </c>
      <c r="D4" s="5">
        <v>282.2</v>
      </c>
      <c r="E4" s="7">
        <f t="shared" si="8"/>
        <v>65</v>
      </c>
      <c r="F4" s="7">
        <v>6.5</v>
      </c>
      <c r="G4" s="5">
        <f t="shared" si="9"/>
        <v>6500000</v>
      </c>
      <c r="H4" s="5">
        <v>282.14307294960298</v>
      </c>
      <c r="I4" s="3">
        <f t="shared" si="0"/>
        <v>3.240963053485757E-12</v>
      </c>
      <c r="J4" s="3">
        <f t="shared" si="1"/>
        <v>-5.6927050397007406E-2</v>
      </c>
      <c r="K4">
        <f t="shared" si="2"/>
        <v>-7.1497734433948161E-7</v>
      </c>
      <c r="O4" s="4">
        <f t="shared" si="3"/>
        <v>1.8718021769015913</v>
      </c>
      <c r="P4" s="4">
        <f t="shared" si="4"/>
        <v>3.5435861091424525E-3</v>
      </c>
      <c r="Q4" s="4">
        <f t="shared" si="5"/>
        <v>3.5443010864867918E-3</v>
      </c>
    </row>
    <row r="5" spans="1:20" x14ac:dyDescent="0.25">
      <c r="A5" s="27"/>
      <c r="B5" s="27"/>
      <c r="C5" s="7">
        <f t="shared" si="7"/>
        <v>10.050000000000011</v>
      </c>
      <c r="D5" s="5">
        <v>283.2</v>
      </c>
      <c r="E5" s="7">
        <f t="shared" si="8"/>
        <v>74</v>
      </c>
      <c r="F5" s="7">
        <v>7.4</v>
      </c>
      <c r="G5" s="5">
        <f t="shared" si="9"/>
        <v>7400000</v>
      </c>
      <c r="H5" s="5">
        <v>283.33617681645228</v>
      </c>
      <c r="I5" s="3">
        <f t="shared" si="0"/>
        <v>-4.7461590213515592E-11</v>
      </c>
      <c r="J5" s="3">
        <f t="shared" si="1"/>
        <v>0.1361768164522914</v>
      </c>
      <c r="K5">
        <f t="shared" si="2"/>
        <v>1.697101817293258E-6</v>
      </c>
      <c r="O5" s="4">
        <f t="shared" si="3"/>
        <v>2.0014800002101243</v>
      </c>
      <c r="P5" s="4">
        <f t="shared" si="4"/>
        <v>3.5310734463276836E-3</v>
      </c>
      <c r="Q5" s="4">
        <f t="shared" si="5"/>
        <v>3.5293763445103906E-3</v>
      </c>
    </row>
    <row r="6" spans="1:20" x14ac:dyDescent="0.25">
      <c r="A6" s="27"/>
      <c r="B6" s="27"/>
      <c r="C6" s="7">
        <f t="shared" si="7"/>
        <v>11.100000000000023</v>
      </c>
      <c r="D6" s="5">
        <v>284.25</v>
      </c>
      <c r="E6" s="7">
        <f t="shared" si="8"/>
        <v>82</v>
      </c>
      <c r="F6" s="7">
        <v>8.1999999999999993</v>
      </c>
      <c r="G6" s="5">
        <f t="shared" si="9"/>
        <v>8199999.9999999991</v>
      </c>
      <c r="H6" s="5">
        <v>284.25979419210978</v>
      </c>
      <c r="I6" s="3">
        <f t="shared" si="0"/>
        <v>1.3184120462028659E-10</v>
      </c>
      <c r="J6" s="3">
        <f t="shared" si="1"/>
        <v>9.7941921097799423E-3</v>
      </c>
      <c r="K6">
        <f t="shared" si="2"/>
        <v>1.2121397898830379E-7</v>
      </c>
      <c r="O6" s="4">
        <f t="shared" si="3"/>
        <v>2.1041341542702074</v>
      </c>
      <c r="P6" s="4">
        <f t="shared" si="4"/>
        <v>3.5180299032541778E-3</v>
      </c>
      <c r="Q6" s="4">
        <f t="shared" si="5"/>
        <v>3.5179086892751892E-3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24</v>
      </c>
      <c r="B2" s="26" t="s">
        <v>35</v>
      </c>
      <c r="C2" s="7">
        <f t="shared" ref="C2:C6" si="0">D2-273.15</f>
        <v>2.5</v>
      </c>
      <c r="D2" s="5">
        <v>275.64999999999998</v>
      </c>
      <c r="E2" s="7">
        <f t="shared" ref="E2:E6" si="1">F2*10</f>
        <v>35</v>
      </c>
      <c r="F2" s="7">
        <v>3.5</v>
      </c>
      <c r="G2" s="5">
        <f t="shared" ref="G2:G6" si="2">F2*10^6</f>
        <v>3500000</v>
      </c>
      <c r="H2" s="5">
        <v>275.98747179061019</v>
      </c>
      <c r="I2" s="3">
        <f t="shared" ref="I2:I6" si="3">F2-10^(-4646.471 +5314653/H2 -2271392000/H2^2 +430306500000/H2^3 -30511740000000/H2^4)</f>
        <v>-1.8496315590255108E-11</v>
      </c>
      <c r="J2" s="3">
        <f t="shared" ref="J2:J6" si="4">H2-D2</f>
        <v>0.33747179061020915</v>
      </c>
      <c r="K2">
        <f t="shared" ref="K2:K6" si="5">(H2-D2)/(H2*D2)</f>
        <v>4.4359854289908071E-6</v>
      </c>
      <c r="L2">
        <f>_xlfn.STDEV.S(K2:K6)</f>
        <v>1.5285229825523811E-6</v>
      </c>
      <c r="M2">
        <f>AVERAGE(K2:K6)</f>
        <v>3.5145720464400402E-6</v>
      </c>
      <c r="N2">
        <f t="shared" ref="N2" si="6">100*L2/M2</f>
        <v>43.491012912956037</v>
      </c>
      <c r="O2" s="4">
        <f t="shared" ref="O2:O6" si="7">LN(F2)</f>
        <v>1.2527629684953681</v>
      </c>
      <c r="P2" s="4">
        <f t="shared" ref="P2:P6" si="8">1/D2</f>
        <v>3.627788862688192E-3</v>
      </c>
      <c r="Q2" s="4">
        <f t="shared" ref="Q2:Q6" si="9">1/H2</f>
        <v>3.6233528772592009E-3</v>
      </c>
      <c r="R2">
        <f>SLOPE(O2:O6,P2:P6)</f>
        <v>-7886.8931164537116</v>
      </c>
      <c r="S2">
        <f>SLOPE(O2:O6,Q2:Q6)</f>
        <v>-8068.947574446157</v>
      </c>
      <c r="T2">
        <f t="shared" ref="T2" si="10">100*ABS(S2-R2)/ABS(S2)</f>
        <v>2.2562354794446828</v>
      </c>
    </row>
    <row r="3" spans="1:20" x14ac:dyDescent="0.25">
      <c r="A3" s="27"/>
      <c r="B3" s="27"/>
      <c r="C3" s="7">
        <f t="shared" si="0"/>
        <v>5.25</v>
      </c>
      <c r="D3" s="5">
        <v>278.39999999999998</v>
      </c>
      <c r="E3" s="7">
        <f t="shared" si="1"/>
        <v>46</v>
      </c>
      <c r="F3" s="7">
        <v>4.5999999999999996</v>
      </c>
      <c r="G3" s="5">
        <f t="shared" si="2"/>
        <v>4600000</v>
      </c>
      <c r="H3" s="5">
        <v>278.80108720563538</v>
      </c>
      <c r="I3" s="3">
        <f t="shared" si="3"/>
        <v>-3.3720581882334955E-11</v>
      </c>
      <c r="J3" s="3">
        <f t="shared" si="4"/>
        <v>0.40108720563540601</v>
      </c>
      <c r="K3">
        <f t="shared" si="5"/>
        <v>5.1674360967922159E-6</v>
      </c>
      <c r="O3" s="4">
        <f t="shared" si="7"/>
        <v>1.5260563034950492</v>
      </c>
      <c r="P3" s="4">
        <f t="shared" si="8"/>
        <v>3.5919540229885061E-3</v>
      </c>
      <c r="Q3" s="4">
        <f t="shared" si="9"/>
        <v>3.5867865868917138E-3</v>
      </c>
    </row>
    <row r="4" spans="1:20" x14ac:dyDescent="0.25">
      <c r="A4" s="27"/>
      <c r="B4" s="27"/>
      <c r="C4" s="7">
        <f t="shared" si="0"/>
        <v>8.8500000000000227</v>
      </c>
      <c r="D4" s="5">
        <v>282</v>
      </c>
      <c r="E4" s="7">
        <f t="shared" si="1"/>
        <v>65</v>
      </c>
      <c r="F4" s="7">
        <v>6.5</v>
      </c>
      <c r="G4" s="5">
        <f t="shared" si="2"/>
        <v>6500000</v>
      </c>
      <c r="H4" s="5">
        <v>282.14307294955125</v>
      </c>
      <c r="I4" s="3">
        <f t="shared" si="3"/>
        <v>1.6852297335390176E-11</v>
      </c>
      <c r="J4" s="3">
        <f t="shared" si="4"/>
        <v>0.14307294955125371</v>
      </c>
      <c r="K4">
        <f t="shared" si="5"/>
        <v>1.7982042927002535E-6</v>
      </c>
      <c r="O4" s="4">
        <f t="shared" si="7"/>
        <v>1.8718021769015913</v>
      </c>
      <c r="P4" s="4">
        <f t="shared" si="8"/>
        <v>3.5460992907801418E-3</v>
      </c>
      <c r="Q4" s="4">
        <f t="shared" si="9"/>
        <v>3.5443010864874415E-3</v>
      </c>
    </row>
    <row r="5" spans="1:20" x14ac:dyDescent="0.25">
      <c r="A5" s="27"/>
      <c r="B5" s="27"/>
      <c r="C5" s="7">
        <f t="shared" si="0"/>
        <v>9.8500000000000227</v>
      </c>
      <c r="D5" s="5">
        <v>283</v>
      </c>
      <c r="E5" s="7">
        <f t="shared" si="1"/>
        <v>74</v>
      </c>
      <c r="F5" s="7">
        <v>7.4</v>
      </c>
      <c r="G5" s="5">
        <f t="shared" si="2"/>
        <v>7400000</v>
      </c>
      <c r="H5" s="5">
        <v>283.33617681652862</v>
      </c>
      <c r="I5" s="3">
        <f t="shared" si="3"/>
        <v>-9.7077901273223688E-13</v>
      </c>
      <c r="J5" s="3">
        <f t="shared" si="4"/>
        <v>0.33617681652862075</v>
      </c>
      <c r="K5">
        <f t="shared" si="5"/>
        <v>4.1925600842000141E-6</v>
      </c>
      <c r="O5" s="4">
        <f t="shared" si="7"/>
        <v>2.0014800002101243</v>
      </c>
      <c r="P5" s="4">
        <f t="shared" si="8"/>
        <v>3.5335689045936395E-3</v>
      </c>
      <c r="Q5" s="4">
        <f t="shared" si="9"/>
        <v>3.5293763445094395E-3</v>
      </c>
    </row>
    <row r="6" spans="1:20" x14ac:dyDescent="0.25">
      <c r="A6" s="27"/>
      <c r="B6" s="27"/>
      <c r="C6" s="7">
        <f t="shared" si="0"/>
        <v>10.950000000000045</v>
      </c>
      <c r="D6" s="5">
        <v>284.10000000000002</v>
      </c>
      <c r="E6" s="7">
        <f t="shared" si="1"/>
        <v>82</v>
      </c>
      <c r="F6" s="7">
        <v>8.1999999999999993</v>
      </c>
      <c r="G6" s="5">
        <f t="shared" si="2"/>
        <v>8199999.9999999991</v>
      </c>
      <c r="H6" s="5">
        <v>284.25979419213741</v>
      </c>
      <c r="I6" s="3">
        <f t="shared" si="3"/>
        <v>-3.9882763758214423E-11</v>
      </c>
      <c r="J6" s="3">
        <f t="shared" si="4"/>
        <v>0.15979419213738311</v>
      </c>
      <c r="K6">
        <f t="shared" si="5"/>
        <v>1.9786743295169113E-6</v>
      </c>
      <c r="O6" s="4">
        <f t="shared" si="7"/>
        <v>2.1041341542702074</v>
      </c>
      <c r="P6" s="4">
        <f t="shared" si="8"/>
        <v>3.5198873636043643E-3</v>
      </c>
      <c r="Q6" s="4">
        <f t="shared" si="9"/>
        <v>3.5179086892748474E-3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sqref="A1:T6"/>
    </sheetView>
  </sheetViews>
  <sheetFormatPr defaultRowHeight="15" x14ac:dyDescent="0.25"/>
  <cols>
    <col min="2" max="2" width="16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24</v>
      </c>
      <c r="B2" s="26" t="s">
        <v>36</v>
      </c>
      <c r="C2" s="7">
        <f>D2-273.15</f>
        <v>1.9000000000000341</v>
      </c>
      <c r="D2" s="5">
        <v>275.05</v>
      </c>
      <c r="E2" s="7">
        <v>35</v>
      </c>
      <c r="F2" s="7">
        <v>3.5</v>
      </c>
      <c r="G2" s="5">
        <v>3500000</v>
      </c>
      <c r="H2" s="5">
        <v>275.98747179068999</v>
      </c>
      <c r="I2" s="3">
        <f t="shared" ref="I2:I6" si="0">F2-10^(-4646.471 +5314653/H2 -2271392000/H2^2 +430306500000/H2^3 -30511740000000/H2^4)</f>
        <v>-1.8496315590255108E-11</v>
      </c>
      <c r="J2" s="3">
        <f t="shared" ref="J2:J6" si="1">H2-D2</f>
        <v>0.93747179068998321</v>
      </c>
      <c r="K2">
        <f t="shared" ref="K2:K6" si="2">(H2-D2)/(H2*D2)</f>
        <v>1.234972226920525E-5</v>
      </c>
      <c r="L2">
        <f>_xlfn.STDEV.S(K2:K6)</f>
        <v>1.5569433668326303E-6</v>
      </c>
      <c r="M2">
        <f>AVERAGE(K2:K6)</f>
        <v>1.0131411069608364E-5</v>
      </c>
      <c r="N2">
        <f t="shared" ref="N2" si="3">100*L2/M2</f>
        <v>15.36748786655258</v>
      </c>
      <c r="O2" s="4">
        <f t="shared" ref="O2:O6" si="4">LN(F2)</f>
        <v>1.2527629684953681</v>
      </c>
      <c r="P2" s="4">
        <f t="shared" ref="P2:P6" si="5">1/D2</f>
        <v>3.6357025995273585E-3</v>
      </c>
      <c r="Q2" s="4">
        <f t="shared" ref="Q2:Q6" si="6">1/H2</f>
        <v>3.6233528772581531E-3</v>
      </c>
      <c r="R2">
        <f>SLOPE(O2:O6,P2:P6)</f>
        <v>-7858.1811920462251</v>
      </c>
      <c r="S2">
        <f>SLOPE(O2:O6,Q2:Q6)</f>
        <v>-8068.9475743194525</v>
      </c>
      <c r="T2">
        <f t="shared" ref="T2" si="7">100*ABS(S2-R2)/ABS(S2)</f>
        <v>2.6120678109747644</v>
      </c>
    </row>
    <row r="3" spans="1:20" x14ac:dyDescent="0.25">
      <c r="A3" s="27"/>
      <c r="B3" s="27"/>
      <c r="C3" s="7">
        <f t="shared" ref="C3:C6" si="8">D3-273.15</f>
        <v>4.8500000000000227</v>
      </c>
      <c r="D3" s="5">
        <v>278</v>
      </c>
      <c r="E3" s="7">
        <v>46</v>
      </c>
      <c r="F3" s="7">
        <v>4.5999999999999996</v>
      </c>
      <c r="G3" s="5">
        <v>4600000</v>
      </c>
      <c r="H3" s="5">
        <v>278.80108720550709</v>
      </c>
      <c r="I3" s="3">
        <f t="shared" si="0"/>
        <v>1.4446221996422537E-11</v>
      </c>
      <c r="J3" s="3">
        <f t="shared" si="1"/>
        <v>0.80108720550708767</v>
      </c>
      <c r="K3">
        <f t="shared" si="2"/>
        <v>1.0335715264909028E-5</v>
      </c>
      <c r="O3" s="4">
        <f t="shared" si="4"/>
        <v>1.5260563034950492</v>
      </c>
      <c r="P3" s="4">
        <f t="shared" si="5"/>
        <v>3.5971223021582736E-3</v>
      </c>
      <c r="Q3" s="4">
        <f t="shared" si="6"/>
        <v>3.5867865868933644E-3</v>
      </c>
    </row>
    <row r="4" spans="1:20" x14ac:dyDescent="0.25">
      <c r="A4" s="27"/>
      <c r="B4" s="27"/>
      <c r="C4" s="7">
        <f t="shared" si="8"/>
        <v>8.3500000000000227</v>
      </c>
      <c r="D4" s="5">
        <v>281.5</v>
      </c>
      <c r="E4" s="7">
        <v>65</v>
      </c>
      <c r="F4" s="7">
        <v>6.5</v>
      </c>
      <c r="G4" s="5">
        <v>6500000</v>
      </c>
      <c r="H4" s="5">
        <v>282.14307294964749</v>
      </c>
      <c r="I4" s="3">
        <f t="shared" si="0"/>
        <v>-1.0371259406838362E-11</v>
      </c>
      <c r="J4" s="3">
        <f t="shared" si="1"/>
        <v>0.64307294964748962</v>
      </c>
      <c r="K4">
        <f t="shared" si="2"/>
        <v>8.0967820750461951E-6</v>
      </c>
      <c r="O4" s="4">
        <f t="shared" si="4"/>
        <v>1.8718021769015913</v>
      </c>
      <c r="P4" s="4">
        <f t="shared" si="5"/>
        <v>3.552397868561279E-3</v>
      </c>
      <c r="Q4" s="4">
        <f t="shared" si="6"/>
        <v>3.5443010864862328E-3</v>
      </c>
    </row>
    <row r="5" spans="1:20" x14ac:dyDescent="0.25">
      <c r="A5" s="27"/>
      <c r="B5" s="27"/>
      <c r="C5" s="7">
        <f t="shared" si="8"/>
        <v>9.3500000000000227</v>
      </c>
      <c r="D5" s="5">
        <v>282.5</v>
      </c>
      <c r="E5" s="7">
        <v>74</v>
      </c>
      <c r="F5" s="7">
        <v>7.4</v>
      </c>
      <c r="G5" s="5">
        <v>7400000</v>
      </c>
      <c r="H5" s="5">
        <v>283.33617681664259</v>
      </c>
      <c r="I5" s="3">
        <f t="shared" si="0"/>
        <v>-1.404432126150823E-10</v>
      </c>
      <c r="J5" s="3">
        <f t="shared" si="1"/>
        <v>0.8361768166425918</v>
      </c>
      <c r="K5">
        <f t="shared" si="2"/>
        <v>1.0446664341537641E-5</v>
      </c>
      <c r="O5" s="4">
        <f t="shared" si="4"/>
        <v>2.0014800002101243</v>
      </c>
      <c r="P5" s="4">
        <f t="shared" si="5"/>
        <v>3.5398230088495575E-3</v>
      </c>
      <c r="Q5" s="4">
        <f t="shared" si="6"/>
        <v>3.5293763445080201E-3</v>
      </c>
    </row>
    <row r="6" spans="1:20" x14ac:dyDescent="0.25">
      <c r="A6" s="27"/>
      <c r="B6" s="27"/>
      <c r="C6" s="7">
        <f t="shared" si="8"/>
        <v>10.350000000000023</v>
      </c>
      <c r="D6" s="5">
        <v>283.5</v>
      </c>
      <c r="E6" s="7">
        <v>82</v>
      </c>
      <c r="F6" s="7">
        <v>8.1999999999999993</v>
      </c>
      <c r="G6" s="5">
        <f>F6*10^6</f>
        <v>8199999.9999999991</v>
      </c>
      <c r="H6" s="5">
        <v>284.25979419229878</v>
      </c>
      <c r="I6" s="3">
        <f t="shared" si="0"/>
        <v>-1.9443291421339381E-10</v>
      </c>
      <c r="J6" s="3">
        <f t="shared" si="1"/>
        <v>0.75979419229878431</v>
      </c>
      <c r="K6">
        <f t="shared" si="2"/>
        <v>9.4281713973437058E-6</v>
      </c>
      <c r="O6" s="4">
        <f t="shared" si="4"/>
        <v>2.1041341542702074</v>
      </c>
      <c r="P6" s="4">
        <f t="shared" si="5"/>
        <v>3.5273368606701938E-3</v>
      </c>
      <c r="Q6" s="4">
        <f t="shared" si="6"/>
        <v>3.5179086892728503E-3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3.71093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24</v>
      </c>
      <c r="B2" s="26" t="s">
        <v>37</v>
      </c>
      <c r="C2" s="7">
        <f t="shared" ref="C2:C6" si="0">D2-273.15</f>
        <v>2.8500000000000227</v>
      </c>
      <c r="D2" s="5">
        <v>276</v>
      </c>
      <c r="E2" s="7">
        <f>10*F2</f>
        <v>35</v>
      </c>
      <c r="F2" s="7">
        <v>3.5</v>
      </c>
      <c r="G2" s="5">
        <f t="shared" ref="G2:G6" si="1">F2*10^6</f>
        <v>3500000</v>
      </c>
      <c r="H2" s="5">
        <v>275.98747179055164</v>
      </c>
      <c r="I2" s="3">
        <f t="shared" ref="I2:I6" si="2">F2-10^(-4646.471 +5314653/H2 -2271392000/H2^2 +430306500000/H2^3 -30511740000000/H2^4)</f>
        <v>4.014077958913731E-11</v>
      </c>
      <c r="J2" s="3">
        <f t="shared" ref="J2:J6" si="3">H2-D2</f>
        <v>-1.2528209448362304E-2</v>
      </c>
      <c r="K2">
        <f t="shared" ref="K2:K6" si="4">(H2-D2)/(H2*D2)</f>
        <v>-1.6447146286825758E-7</v>
      </c>
      <c r="L2">
        <f>_xlfn.STDEV.S(K2:K6)</f>
        <v>1.3218022751126862E-6</v>
      </c>
      <c r="M2">
        <f>AVERAGE(K2:K6)</f>
        <v>-5.1491566024903149E-8</v>
      </c>
      <c r="N2">
        <f>100*ABS(L2/M2)</f>
        <v>2567.0267524460523</v>
      </c>
      <c r="O2" s="4">
        <f t="shared" ref="O2:O6" si="5">LN(F2)</f>
        <v>1.2527629684953681</v>
      </c>
      <c r="P2" s="4">
        <f t="shared" ref="P2:P6" si="6">1/D2</f>
        <v>3.6231884057971015E-3</v>
      </c>
      <c r="Q2" s="4">
        <f t="shared" ref="Q2:Q6" si="7">1/H2</f>
        <v>3.6233528772599698E-3</v>
      </c>
      <c r="R2">
        <f>SLOPE(O2:O6,P2:P6)</f>
        <v>-8017.137149594897</v>
      </c>
      <c r="S2">
        <f>SLOPE(O2:O6,Q2:Q6)</f>
        <v>-8068.9475744217234</v>
      </c>
      <c r="T2">
        <f t="shared" ref="T2" si="8">100*ABS(S2-R2)/ABS(S2)</f>
        <v>0.6420964363563797</v>
      </c>
    </row>
    <row r="3" spans="1:20" x14ac:dyDescent="0.25">
      <c r="A3" s="27"/>
      <c r="B3" s="27"/>
      <c r="C3" s="7">
        <f t="shared" si="0"/>
        <v>5.5500000000000114</v>
      </c>
      <c r="D3" s="5">
        <v>278.7</v>
      </c>
      <c r="E3" s="7">
        <f t="shared" ref="E3:E6" si="9">10*F3</f>
        <v>46</v>
      </c>
      <c r="F3" s="7">
        <v>4.5999999999999996</v>
      </c>
      <c r="G3" s="5">
        <f t="shared" si="1"/>
        <v>4600000</v>
      </c>
      <c r="H3" s="5">
        <v>278.80108720561282</v>
      </c>
      <c r="I3" s="3">
        <f t="shared" si="2"/>
        <v>-4.8210324621322798E-12</v>
      </c>
      <c r="J3" s="3">
        <f t="shared" si="3"/>
        <v>0.1010872056128278</v>
      </c>
      <c r="K3">
        <f t="shared" si="4"/>
        <v>1.3009624441998022E-6</v>
      </c>
      <c r="O3" s="4">
        <f t="shared" si="5"/>
        <v>1.5260563034950492</v>
      </c>
      <c r="P3" s="4">
        <f t="shared" si="6"/>
        <v>3.5880875493362039E-3</v>
      </c>
      <c r="Q3" s="4">
        <f t="shared" si="7"/>
        <v>3.586786586892004E-3</v>
      </c>
    </row>
    <row r="4" spans="1:20" x14ac:dyDescent="0.25">
      <c r="A4" s="27"/>
      <c r="B4" s="27"/>
      <c r="C4" s="7">
        <f t="shared" si="0"/>
        <v>9.1500000000000341</v>
      </c>
      <c r="D4" s="5">
        <v>282.3</v>
      </c>
      <c r="E4" s="7">
        <f t="shared" si="9"/>
        <v>65</v>
      </c>
      <c r="F4" s="7">
        <v>6.5</v>
      </c>
      <c r="G4" s="5">
        <f t="shared" si="1"/>
        <v>6500000</v>
      </c>
      <c r="H4" s="5">
        <v>282.14307294956831</v>
      </c>
      <c r="I4" s="3">
        <f t="shared" si="2"/>
        <v>1.6852297335390176E-11</v>
      </c>
      <c r="J4" s="3">
        <f t="shared" si="3"/>
        <v>-0.15692705043170463</v>
      </c>
      <c r="K4">
        <f t="shared" si="4"/>
        <v>-1.97023278549177E-6</v>
      </c>
      <c r="O4" s="4">
        <f t="shared" si="5"/>
        <v>1.8718021769015913</v>
      </c>
      <c r="P4" s="4">
        <f t="shared" si="6"/>
        <v>3.5423308537017354E-3</v>
      </c>
      <c r="Q4" s="4">
        <f t="shared" si="7"/>
        <v>3.5443010864872272E-3</v>
      </c>
    </row>
    <row r="5" spans="1:20" x14ac:dyDescent="0.25">
      <c r="A5" s="27"/>
      <c r="B5" s="27"/>
      <c r="C5" s="7">
        <f t="shared" si="0"/>
        <v>10.100000000000023</v>
      </c>
      <c r="D5" s="5">
        <v>283.25</v>
      </c>
      <c r="E5" s="7">
        <f t="shared" si="9"/>
        <v>74</v>
      </c>
      <c r="F5" s="7">
        <v>7.4</v>
      </c>
      <c r="G5" s="5">
        <f t="shared" si="1"/>
        <v>7400000</v>
      </c>
      <c r="H5" s="5">
        <v>283.33617681645541</v>
      </c>
      <c r="I5" s="3">
        <f t="shared" si="2"/>
        <v>7.6515682678746089E-11</v>
      </c>
      <c r="J5" s="3">
        <f t="shared" si="3"/>
        <v>8.6176816455406424E-2</v>
      </c>
      <c r="K5">
        <f t="shared" si="4"/>
        <v>1.073787881528409E-6</v>
      </c>
      <c r="O5" s="4">
        <f t="shared" si="5"/>
        <v>2.0014800002101243</v>
      </c>
      <c r="P5" s="4">
        <f t="shared" si="6"/>
        <v>3.5304501323918801E-3</v>
      </c>
      <c r="Q5" s="4">
        <f t="shared" si="7"/>
        <v>3.5293763445103515E-3</v>
      </c>
    </row>
    <row r="6" spans="1:20" x14ac:dyDescent="0.25">
      <c r="A6" s="27"/>
      <c r="B6" s="27"/>
      <c r="C6" s="7">
        <f t="shared" si="0"/>
        <v>11.150000000000034</v>
      </c>
      <c r="D6" s="5">
        <v>284.3</v>
      </c>
      <c r="E6" s="7">
        <f t="shared" si="9"/>
        <v>82</v>
      </c>
      <c r="F6" s="7">
        <v>8.1999999999999993</v>
      </c>
      <c r="G6" s="5">
        <f t="shared" si="1"/>
        <v>8199999.9999999991</v>
      </c>
      <c r="H6" s="5">
        <v>284.25979419212007</v>
      </c>
      <c r="I6" s="3">
        <f t="shared" si="2"/>
        <v>-5.5351279115711804E-12</v>
      </c>
      <c r="J6" s="3">
        <f t="shared" si="3"/>
        <v>-4.0205807879942768E-2</v>
      </c>
      <c r="K6">
        <f t="shared" si="4"/>
        <v>-4.9750390749269936E-7</v>
      </c>
      <c r="O6" s="4">
        <f t="shared" si="5"/>
        <v>2.1041341542702074</v>
      </c>
      <c r="P6" s="4">
        <f t="shared" si="6"/>
        <v>3.5174111853675692E-3</v>
      </c>
      <c r="Q6" s="4">
        <f t="shared" si="7"/>
        <v>3.5179086892750621E-3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3.71093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24</v>
      </c>
      <c r="B2" s="26" t="s">
        <v>38</v>
      </c>
      <c r="C2" s="7">
        <f t="shared" ref="C2:C6" si="0">D2-273.15</f>
        <v>2.6500000000000341</v>
      </c>
      <c r="D2" s="5">
        <v>275.8</v>
      </c>
      <c r="E2" s="7">
        <f t="shared" ref="E2:E6" si="1">10*F2</f>
        <v>35</v>
      </c>
      <c r="F2" s="7">
        <v>3.5</v>
      </c>
      <c r="G2" s="5">
        <f t="shared" ref="G2:G6" si="2">F2*10^6</f>
        <v>3500000</v>
      </c>
      <c r="H2" s="5">
        <v>275.98747179067544</v>
      </c>
      <c r="I2" s="3">
        <f t="shared" ref="I2:I6" si="3">F2-10^(-4646.471 +5314653/H2 -2271392000/H2^2 +430306500000/H2^3 -30511740000000/H2^4)</f>
        <v>-1.8496315590255108E-11</v>
      </c>
      <c r="J2" s="3">
        <f t="shared" ref="J2:J6" si="4">H2-D2</f>
        <v>0.18747179067543129</v>
      </c>
      <c r="K2">
        <f t="shared" ref="K2:K6" si="5">(H2-D2)/(H2*D2)</f>
        <v>2.4629312985808486E-6</v>
      </c>
      <c r="L2">
        <f>_xlfn.STDEV.S(K2:K6)</f>
        <v>1.2111651139506739E-6</v>
      </c>
      <c r="M2">
        <f>AVERAGE(K2:K6)</f>
        <v>2.3110643410225242E-6</v>
      </c>
      <c r="N2">
        <f t="shared" ref="N2" si="6">100*L2/M2</f>
        <v>52.407243383574389</v>
      </c>
      <c r="O2" s="4">
        <f t="shared" ref="O2:O6" si="7">LN(F2)</f>
        <v>1.2527629684953681</v>
      </c>
      <c r="P2" s="4">
        <f t="shared" ref="P2:P6" si="8">1/D2</f>
        <v>3.6258158085569251E-3</v>
      </c>
      <c r="Q2" s="4">
        <f t="shared" ref="Q2:Q6" si="9">1/H2</f>
        <v>3.6233528772583443E-3</v>
      </c>
      <c r="R2">
        <f>SLOPE(O2:O6,P2:P6)</f>
        <v>-7979.683583677328</v>
      </c>
      <c r="S2">
        <f>SLOPE(O2:O6,Q2:Q6)</f>
        <v>-8068.947574528328</v>
      </c>
      <c r="T2">
        <f t="shared" ref="T2" si="10">100*ABS(S2-R2)/ABS(S2)</f>
        <v>1.1062655944473399</v>
      </c>
    </row>
    <row r="3" spans="1:20" x14ac:dyDescent="0.25">
      <c r="A3" s="27"/>
      <c r="B3" s="27"/>
      <c r="C3" s="7">
        <f t="shared" si="0"/>
        <v>5.3500000000000227</v>
      </c>
      <c r="D3" s="5">
        <v>278.5</v>
      </c>
      <c r="E3" s="7">
        <f t="shared" si="1"/>
        <v>46</v>
      </c>
      <c r="F3" s="7">
        <v>4.5999999999999996</v>
      </c>
      <c r="G3" s="5">
        <f t="shared" si="2"/>
        <v>4600000</v>
      </c>
      <c r="H3" s="5">
        <v>278.80108720566875</v>
      </c>
      <c r="I3" s="3">
        <f t="shared" si="3"/>
        <v>-3.3720581882334955E-11</v>
      </c>
      <c r="J3" s="3">
        <f t="shared" si="4"/>
        <v>0.30108720566875036</v>
      </c>
      <c r="K3">
        <f t="shared" si="5"/>
        <v>3.8776859992001843E-6</v>
      </c>
      <c r="O3" s="4">
        <f t="shared" si="7"/>
        <v>1.5260563034950492</v>
      </c>
      <c r="P3" s="4">
        <f t="shared" si="8"/>
        <v>3.5906642728904849E-3</v>
      </c>
      <c r="Q3" s="4">
        <f t="shared" si="9"/>
        <v>3.5867865868912845E-3</v>
      </c>
    </row>
    <row r="4" spans="1:20" x14ac:dyDescent="0.25">
      <c r="A4" s="27"/>
      <c r="B4" s="27"/>
      <c r="C4" s="7">
        <f t="shared" si="0"/>
        <v>8.9500000000000455</v>
      </c>
      <c r="D4" s="5">
        <v>282.10000000000002</v>
      </c>
      <c r="E4" s="7">
        <f t="shared" si="1"/>
        <v>65</v>
      </c>
      <c r="F4" s="7">
        <v>6.5</v>
      </c>
      <c r="G4" s="5">
        <f t="shared" si="2"/>
        <v>6500000</v>
      </c>
      <c r="H4" s="5">
        <v>282.14307294956262</v>
      </c>
      <c r="I4" s="3">
        <f t="shared" si="3"/>
        <v>7.1302075355106354E-11</v>
      </c>
      <c r="J4" s="3">
        <f t="shared" si="4"/>
        <v>4.3072949562599661E-2</v>
      </c>
      <c r="K4">
        <f t="shared" si="5"/>
        <v>5.4116803237481248E-7</v>
      </c>
      <c r="O4" s="4">
        <f t="shared" si="7"/>
        <v>1.8718021769015913</v>
      </c>
      <c r="P4" s="4">
        <f t="shared" si="8"/>
        <v>3.5448422545196734E-3</v>
      </c>
      <c r="Q4" s="4">
        <f t="shared" si="9"/>
        <v>3.5443010864872988E-3</v>
      </c>
    </row>
    <row r="5" spans="1:20" x14ac:dyDescent="0.25">
      <c r="A5" s="27"/>
      <c r="B5" s="27"/>
      <c r="C5" s="7">
        <f t="shared" si="0"/>
        <v>9.9700000000000273</v>
      </c>
      <c r="D5" s="5">
        <v>283.12</v>
      </c>
      <c r="E5" s="7">
        <f t="shared" si="1"/>
        <v>74</v>
      </c>
      <c r="F5" s="7">
        <v>7.4</v>
      </c>
      <c r="G5" s="5">
        <f t="shared" si="2"/>
        <v>7400000</v>
      </c>
      <c r="H5" s="5">
        <v>283.33617681643796</v>
      </c>
      <c r="I5" s="3">
        <f t="shared" si="3"/>
        <v>3.0022206942703633E-11</v>
      </c>
      <c r="J5" s="3">
        <f t="shared" si="4"/>
        <v>0.21617681643795095</v>
      </c>
      <c r="K5">
        <f t="shared" si="5"/>
        <v>2.6948620449551696E-6</v>
      </c>
      <c r="O5" s="4">
        <f t="shared" si="7"/>
        <v>2.0014800002101243</v>
      </c>
      <c r="P5" s="4">
        <f t="shared" si="8"/>
        <v>3.5320712065555239E-3</v>
      </c>
      <c r="Q5" s="4">
        <f t="shared" si="9"/>
        <v>3.5293763445105688E-3</v>
      </c>
    </row>
    <row r="6" spans="1:20" x14ac:dyDescent="0.25">
      <c r="A6" s="27"/>
      <c r="B6" s="27"/>
      <c r="C6" s="7">
        <f t="shared" si="0"/>
        <v>10.950000000000045</v>
      </c>
      <c r="D6" s="5">
        <v>284.10000000000002</v>
      </c>
      <c r="E6" s="7">
        <f t="shared" si="1"/>
        <v>82</v>
      </c>
      <c r="F6" s="7">
        <v>8.1999999999999993</v>
      </c>
      <c r="G6" s="5">
        <f t="shared" si="2"/>
        <v>8199999.9999999991</v>
      </c>
      <c r="H6" s="5">
        <v>284.25979419217657</v>
      </c>
      <c r="I6" s="3">
        <f t="shared" si="3"/>
        <v>-1.0856915366730391E-10</v>
      </c>
      <c r="J6" s="3">
        <f t="shared" si="4"/>
        <v>0.15979419217654822</v>
      </c>
      <c r="K6">
        <f t="shared" si="5"/>
        <v>1.9786743300016065E-6</v>
      </c>
      <c r="O6" s="4">
        <f t="shared" si="7"/>
        <v>2.1041341542702074</v>
      </c>
      <c r="P6" s="4">
        <f t="shared" si="8"/>
        <v>3.5198873636043643E-3</v>
      </c>
      <c r="Q6" s="4">
        <f t="shared" si="9"/>
        <v>3.5179086892743626E-3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M1" workbookViewId="0">
      <selection activeCell="S13" sqref="S13"/>
    </sheetView>
  </sheetViews>
  <sheetFormatPr defaultRowHeight="15" x14ac:dyDescent="0.25"/>
  <cols>
    <col min="1" max="1" width="16.7109375" bestFit="1" customWidth="1"/>
    <col min="2" max="2" width="14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39</v>
      </c>
      <c r="B2" s="26" t="s">
        <v>40</v>
      </c>
      <c r="C2" s="7">
        <f>D2-273.15</f>
        <v>6.2200000000000273</v>
      </c>
      <c r="D2" s="5">
        <v>279.37</v>
      </c>
      <c r="E2" s="7">
        <v>51</v>
      </c>
      <c r="F2" s="7">
        <v>5.0999999999999996</v>
      </c>
      <c r="G2" s="5">
        <v>5100000</v>
      </c>
      <c r="H2" s="5">
        <v>279.82419073259433</v>
      </c>
      <c r="I2" s="3">
        <f t="shared" ref="I2:I5" si="0">F2-10^(-4646.471 +5314653/H2 -2271392000/H2^2 +430306500000/H2^3 -30511740000000/H2^4)</f>
        <v>1.2740919430598296E-11</v>
      </c>
      <c r="J2" s="3">
        <f t="shared" ref="J2:J5" si="1">H2-D2</f>
        <v>0.45419073259432707</v>
      </c>
      <c r="K2">
        <f t="shared" ref="K2:K5" si="2">(H2-D2)/(H2*D2)</f>
        <v>5.8099613632996608E-6</v>
      </c>
      <c r="L2">
        <f>_xlfn.STDEV.S(K2:K5)</f>
        <v>1.4066273604415709E-6</v>
      </c>
      <c r="M2">
        <f t="shared" ref="M2" si="3">AVERAGE(K2:K5)</f>
        <v>3.937187636125564E-6</v>
      </c>
      <c r="N2">
        <f t="shared" ref="N2" si="4">100*L2/M2</f>
        <v>35.726703689077397</v>
      </c>
      <c r="O2" s="4">
        <f t="shared" ref="O2:O5" si="5">LN(F2)</f>
        <v>1.62924053973028</v>
      </c>
      <c r="P2" s="4">
        <f t="shared" ref="P2:P5" si="6">1/D2</f>
        <v>3.5794824068439701E-3</v>
      </c>
      <c r="Q2" s="4">
        <f t="shared" ref="Q2:Q5" si="7">1/H2</f>
        <v>3.5736724454806705E-3</v>
      </c>
      <c r="R2">
        <f>SLOPE(O2:O5,P2:P5)</f>
        <v>-8536.300918768562</v>
      </c>
      <c r="S2">
        <f>SLOPE(O2:O5,Q2:Q5)</f>
        <v>-8823.2348143704912</v>
      </c>
      <c r="T2">
        <f t="shared" ref="T2" si="8">100*ABS(S2-R2)/ABS(S2)</f>
        <v>3.2520260611742651</v>
      </c>
    </row>
    <row r="3" spans="1:20" x14ac:dyDescent="0.25">
      <c r="A3" s="27"/>
      <c r="B3" s="27"/>
      <c r="C3" s="7">
        <f t="shared" ref="C3:C5" si="9">D3-273.15</f>
        <v>9.4800000000000182</v>
      </c>
      <c r="D3" s="5">
        <v>282.63</v>
      </c>
      <c r="E3" s="7">
        <v>71</v>
      </c>
      <c r="F3" s="7">
        <v>7.1</v>
      </c>
      <c r="G3" s="5">
        <v>7100000</v>
      </c>
      <c r="H3" s="5">
        <v>282.95871911953571</v>
      </c>
      <c r="I3" s="3">
        <f t="shared" si="0"/>
        <v>-1.4567902439921454E-11</v>
      </c>
      <c r="J3" s="3">
        <f t="shared" si="1"/>
        <v>0.32871911953571953</v>
      </c>
      <c r="K3">
        <f t="shared" si="2"/>
        <v>4.11039563402171E-6</v>
      </c>
      <c r="O3" s="4">
        <f t="shared" si="5"/>
        <v>1.9600947840472698</v>
      </c>
      <c r="P3" s="4">
        <f t="shared" si="6"/>
        <v>3.5381948130064041E-3</v>
      </c>
      <c r="Q3" s="4">
        <f t="shared" si="7"/>
        <v>3.5340844173723826E-3</v>
      </c>
    </row>
    <row r="4" spans="1:20" x14ac:dyDescent="0.25">
      <c r="A4" s="27"/>
      <c r="B4" s="27"/>
      <c r="C4" s="7">
        <f t="shared" si="9"/>
        <v>12.29000000000002</v>
      </c>
      <c r="D4" s="5">
        <v>285.44</v>
      </c>
      <c r="E4" s="7">
        <v>96</v>
      </c>
      <c r="F4" s="7">
        <v>9.6</v>
      </c>
      <c r="G4" s="5">
        <v>9600000</v>
      </c>
      <c r="H4" s="5">
        <v>285.64574188155984</v>
      </c>
      <c r="I4" s="3">
        <f t="shared" si="0"/>
        <v>-1.8346213437325787E-10</v>
      </c>
      <c r="J4" s="3">
        <f t="shared" si="1"/>
        <v>0.2057418815598453</v>
      </c>
      <c r="K4">
        <f t="shared" si="2"/>
        <v>2.5233652625533906E-6</v>
      </c>
      <c r="O4" s="4">
        <f t="shared" si="5"/>
        <v>2.2617630984737906</v>
      </c>
      <c r="P4" s="4">
        <f t="shared" si="6"/>
        <v>3.5033632286995517E-3</v>
      </c>
      <c r="Q4" s="4">
        <f t="shared" si="7"/>
        <v>3.5008398634369981E-3</v>
      </c>
    </row>
    <row r="5" spans="1:20" x14ac:dyDescent="0.25">
      <c r="A5" s="27"/>
      <c r="B5" s="27"/>
      <c r="C5" s="7">
        <f t="shared" si="9"/>
        <v>13.470000000000027</v>
      </c>
      <c r="D5" s="5">
        <v>286.62</v>
      </c>
      <c r="E5" s="7">
        <v>111</v>
      </c>
      <c r="F5" s="7">
        <v>11.1</v>
      </c>
      <c r="G5" s="5">
        <v>11100000</v>
      </c>
      <c r="H5" s="5">
        <v>286.89176890245767</v>
      </c>
      <c r="I5" s="3">
        <f t="shared" si="0"/>
        <v>8.709477583579428E-12</v>
      </c>
      <c r="J5" s="3">
        <f t="shared" si="1"/>
        <v>0.27176890245766572</v>
      </c>
      <c r="K5">
        <f t="shared" si="2"/>
        <v>3.3050282846274945E-6</v>
      </c>
      <c r="O5" s="4">
        <f t="shared" si="5"/>
        <v>2.4069451083182885</v>
      </c>
      <c r="P5" s="4">
        <f t="shared" si="6"/>
        <v>3.4889400600097691E-3</v>
      </c>
      <c r="Q5" s="4">
        <f t="shared" si="7"/>
        <v>3.4856350317251416E-3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4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24</v>
      </c>
      <c r="B2" s="30" t="s">
        <v>41</v>
      </c>
      <c r="C2" s="1">
        <v>2.35</v>
      </c>
      <c r="D2" s="2">
        <v>275.5</v>
      </c>
      <c r="E2" s="1">
        <v>35</v>
      </c>
      <c r="F2" s="1">
        <v>3.5</v>
      </c>
      <c r="G2" s="2">
        <v>3500000</v>
      </c>
      <c r="H2" s="2">
        <v>275.98747179048382</v>
      </c>
      <c r="I2" s="3">
        <f t="shared" ref="I2:I6" si="0">F2-10^(-4646.471 +5314653/H2 -2271392000/H2^2 +430306500000/H2^3 -30511740000000/H2^4)</f>
        <v>6.212941272565331E-11</v>
      </c>
      <c r="J2" s="3">
        <f t="shared" ref="J2:J6" si="1">H2-D2</f>
        <v>0.4874717904838235</v>
      </c>
      <c r="K2">
        <f t="shared" ref="K2:K6" si="2">(H2-D2)/(H2*D2)</f>
        <v>6.4111880748931584E-6</v>
      </c>
      <c r="L2">
        <f>_xlfn.STDEV.S(K2:K6)</f>
        <v>1.508863239570453E-6</v>
      </c>
      <c r="M2">
        <f>AVERAGE(K2:K6)</f>
        <v>6.9339921988300845E-6</v>
      </c>
      <c r="N2">
        <f t="shared" ref="N2" si="3">100*L2/M2</f>
        <v>21.760382710338657</v>
      </c>
      <c r="O2" s="4">
        <f t="shared" ref="O2:O6" si="4">LN(F2)</f>
        <v>1.2527629684953681</v>
      </c>
      <c r="P2" s="4">
        <f t="shared" ref="P2:P6" si="5">1/D2</f>
        <v>3.629764065335753E-3</v>
      </c>
      <c r="Q2" s="4">
        <f t="shared" ref="Q2:Q6" si="6">1/H2</f>
        <v>3.6233528772608601E-3</v>
      </c>
      <c r="R2">
        <f>SLOPE(O2:O6,P2:P6)</f>
        <v>-7995.6646886905964</v>
      </c>
      <c r="S2">
        <f>SLOPE(O2:O6,Q2:Q6)</f>
        <v>-8068.9475742774639</v>
      </c>
      <c r="T2">
        <f t="shared" ref="T2" si="7">100*ABS(S2-R2)/ABS(S2)</f>
        <v>0.90820872130191754</v>
      </c>
    </row>
    <row r="3" spans="1:20" x14ac:dyDescent="0.25">
      <c r="A3" s="27"/>
      <c r="B3" s="27"/>
      <c r="C3" s="1">
        <v>4.95</v>
      </c>
      <c r="D3" s="2">
        <v>278.10000000000002</v>
      </c>
      <c r="E3" s="1">
        <v>46</v>
      </c>
      <c r="F3" s="1">
        <v>4.5999999999999996</v>
      </c>
      <c r="G3" s="2">
        <v>4600000</v>
      </c>
      <c r="H3" s="2">
        <v>278.80108720554932</v>
      </c>
      <c r="I3" s="3">
        <f t="shared" si="0"/>
        <v>6.2612137696760328E-11</v>
      </c>
      <c r="J3" s="3">
        <f t="shared" si="1"/>
        <v>0.7010872055492996</v>
      </c>
      <c r="K3">
        <f t="shared" si="2"/>
        <v>9.0422516544638547E-6</v>
      </c>
      <c r="O3" s="4">
        <f t="shared" si="4"/>
        <v>1.5260563034950492</v>
      </c>
      <c r="P3" s="4">
        <f t="shared" si="5"/>
        <v>3.5958288385472847E-3</v>
      </c>
      <c r="Q3" s="4">
        <f t="shared" si="6"/>
        <v>3.586786586892821E-3</v>
      </c>
    </row>
    <row r="4" spans="1:20" x14ac:dyDescent="0.25">
      <c r="A4" s="27"/>
      <c r="B4" s="27"/>
      <c r="C4" s="1">
        <v>8.5500000000000007</v>
      </c>
      <c r="D4" s="2">
        <v>281.7</v>
      </c>
      <c r="E4" s="1">
        <v>65</v>
      </c>
      <c r="F4" s="1">
        <v>6.5</v>
      </c>
      <c r="G4" s="2">
        <v>6500000</v>
      </c>
      <c r="H4" s="2">
        <v>282.14307294960162</v>
      </c>
      <c r="I4" s="3">
        <f t="shared" si="0"/>
        <v>1.6852297335390176E-11</v>
      </c>
      <c r="J4" s="3">
        <f t="shared" si="1"/>
        <v>0.44307294960162835</v>
      </c>
      <c r="K4">
        <f t="shared" si="2"/>
        <v>5.5746678617890183E-6</v>
      </c>
      <c r="O4" s="4">
        <f t="shared" si="4"/>
        <v>1.8718021769015913</v>
      </c>
      <c r="P4" s="4">
        <f t="shared" si="5"/>
        <v>3.549875754348598E-3</v>
      </c>
      <c r="Q4" s="4">
        <f t="shared" si="6"/>
        <v>3.5443010864868087E-3</v>
      </c>
    </row>
    <row r="5" spans="1:20" x14ac:dyDescent="0.25">
      <c r="A5" s="27"/>
      <c r="B5" s="27"/>
      <c r="C5" s="1">
        <v>9.5500000000000007</v>
      </c>
      <c r="D5" s="2">
        <v>282.7</v>
      </c>
      <c r="E5" s="1">
        <v>74</v>
      </c>
      <c r="F5" s="1">
        <v>7.4</v>
      </c>
      <c r="G5" s="2">
        <v>7400000</v>
      </c>
      <c r="H5" s="2">
        <v>283.33617681651492</v>
      </c>
      <c r="I5" s="3">
        <f t="shared" si="0"/>
        <v>3.0022206942703633E-11</v>
      </c>
      <c r="J5" s="3">
        <f t="shared" si="1"/>
        <v>0.63617681651493285</v>
      </c>
      <c r="K5">
        <f t="shared" si="2"/>
        <v>7.9423679063786168E-6</v>
      </c>
      <c r="O5" s="4">
        <f t="shared" si="4"/>
        <v>2.0014800002101243</v>
      </c>
      <c r="P5" s="4">
        <f t="shared" si="5"/>
        <v>3.5373187124159888E-3</v>
      </c>
      <c r="Q5" s="4">
        <f t="shared" si="6"/>
        <v>3.5293763445096104E-3</v>
      </c>
    </row>
    <row r="6" spans="1:20" x14ac:dyDescent="0.25">
      <c r="A6" s="27"/>
      <c r="B6" s="27"/>
      <c r="C6" s="1">
        <v>10.65</v>
      </c>
      <c r="D6" s="2">
        <v>283.8</v>
      </c>
      <c r="E6" s="1">
        <v>82</v>
      </c>
      <c r="F6" s="1">
        <v>8.1999999999999993</v>
      </c>
      <c r="G6" s="2">
        <v>8200000</v>
      </c>
      <c r="H6" s="2">
        <v>284.25979419217845</v>
      </c>
      <c r="I6" s="3">
        <f t="shared" si="0"/>
        <v>-9.1398888457661087E-11</v>
      </c>
      <c r="J6" s="3">
        <f t="shared" si="1"/>
        <v>0.45979419217843542</v>
      </c>
      <c r="K6">
        <f t="shared" si="2"/>
        <v>5.6994854966257694E-6</v>
      </c>
      <c r="O6" s="4">
        <f t="shared" si="4"/>
        <v>2.1041341542702074</v>
      </c>
      <c r="P6" s="4">
        <f t="shared" si="5"/>
        <v>3.5236081747709652E-3</v>
      </c>
      <c r="Q6" s="4">
        <f t="shared" si="6"/>
        <v>3.5179086892743396E-3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O1" workbookViewId="0">
      <selection sqref="A1:T6"/>
    </sheetView>
  </sheetViews>
  <sheetFormatPr defaultRowHeight="15" x14ac:dyDescent="0.25"/>
  <cols>
    <col min="1" max="1" width="14.85546875" bestFit="1" customWidth="1"/>
    <col min="2" max="2" width="15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42</v>
      </c>
      <c r="B2" s="30" t="s">
        <v>43</v>
      </c>
      <c r="C2" s="1">
        <v>4.12</v>
      </c>
      <c r="D2" s="2">
        <v>277.27</v>
      </c>
      <c r="E2" s="2">
        <v>38.47</v>
      </c>
      <c r="F2" s="1">
        <v>3.847</v>
      </c>
      <c r="G2" s="2">
        <v>3847000</v>
      </c>
      <c r="H2" s="2">
        <v>276.97678297037424</v>
      </c>
      <c r="I2" s="3">
        <f t="shared" ref="I2:I6" si="0">F2-10^(-4646.471 +5314653/H2 -2271392000/H2^2 +430306500000/H2^3 -30511740000000/H2^4)</f>
        <v>-3.9810377217008863E-11</v>
      </c>
      <c r="J2" s="3">
        <f t="shared" ref="J2:J6" si="1">H2-D2</f>
        <v>-0.29321702962573681</v>
      </c>
      <c r="K2">
        <f t="shared" ref="K2:K6" si="2">(H2-D2)/(H2*D2)</f>
        <v>-3.818061686302672E-6</v>
      </c>
      <c r="L2">
        <f>_xlfn.STDEV.S(K2:K6)</f>
        <v>1.5773452889990011E-6</v>
      </c>
      <c r="M2">
        <f>AVERAGE(K2:K6)</f>
        <v>-5.5333998019925387E-6</v>
      </c>
      <c r="N2">
        <f>100*ABS(L2/M2)</f>
        <v>28.505897738150242</v>
      </c>
      <c r="O2" s="4">
        <f t="shared" ref="O2:O6" si="3">LN(F2)</f>
        <v>1.347293623770158</v>
      </c>
      <c r="P2" s="4">
        <f t="shared" ref="P2:P6" si="4">1/D2</f>
        <v>3.6065928517329681E-3</v>
      </c>
      <c r="Q2" s="4">
        <f t="shared" ref="Q2:Q6" si="5">1/H2</f>
        <v>3.6104109134192709E-3</v>
      </c>
      <c r="R2">
        <f>SLOPE(O2:O6,P2:P6)</f>
        <v>-8307.6306845674153</v>
      </c>
      <c r="S2">
        <f>SLOPE(O2:O6,Q2:Q6)</f>
        <v>-8490.2011650849981</v>
      </c>
      <c r="T2">
        <f t="shared" ref="T2" si="6">100*ABS(S2-R2)/ABS(S2)</f>
        <v>2.150366957951285</v>
      </c>
    </row>
    <row r="3" spans="1:20" x14ac:dyDescent="0.25">
      <c r="A3" s="27"/>
      <c r="B3" s="27"/>
      <c r="C3" s="1">
        <v>9.56</v>
      </c>
      <c r="D3" s="2">
        <v>282.70999999999998</v>
      </c>
      <c r="E3" s="2">
        <v>65.87</v>
      </c>
      <c r="F3" s="1">
        <v>6.5869999999999997</v>
      </c>
      <c r="G3" s="2">
        <v>6587000</v>
      </c>
      <c r="H3" s="2">
        <v>282.26682606198062</v>
      </c>
      <c r="I3" s="3">
        <f t="shared" si="0"/>
        <v>-5.9196203494593647E-11</v>
      </c>
      <c r="J3" s="3">
        <f t="shared" si="1"/>
        <v>-0.44317393801935623</v>
      </c>
      <c r="K3">
        <f t="shared" si="2"/>
        <v>-5.5535821724268968E-6</v>
      </c>
      <c r="O3" s="4">
        <f t="shared" si="3"/>
        <v>1.8850980096585559</v>
      </c>
      <c r="P3" s="4">
        <f t="shared" si="4"/>
        <v>3.5371935906052141E-3</v>
      </c>
      <c r="Q3" s="4">
        <f t="shared" si="5"/>
        <v>3.5427471727776409E-3</v>
      </c>
    </row>
    <row r="4" spans="1:20" x14ac:dyDescent="0.25">
      <c r="A4" s="27"/>
      <c r="B4" s="27"/>
      <c r="C4" s="1">
        <v>11.17</v>
      </c>
      <c r="D4" s="2">
        <v>284.32</v>
      </c>
      <c r="E4" s="2">
        <v>79.209999999999994</v>
      </c>
      <c r="F4" s="1">
        <v>7.9210000000000003</v>
      </c>
      <c r="G4" s="2">
        <v>7921000</v>
      </c>
      <c r="H4" s="2">
        <v>283.95029262335964</v>
      </c>
      <c r="I4" s="3">
        <f t="shared" si="0"/>
        <v>-2.8057556278326956E-12</v>
      </c>
      <c r="J4" s="3">
        <f t="shared" si="1"/>
        <v>-0.36970737664034914</v>
      </c>
      <c r="K4">
        <f t="shared" si="2"/>
        <v>-4.5793979453039504E-6</v>
      </c>
      <c r="O4" s="4">
        <f t="shared" si="3"/>
        <v>2.0695174604821425</v>
      </c>
      <c r="P4" s="4">
        <f t="shared" si="4"/>
        <v>3.5171637591446259E-3</v>
      </c>
      <c r="Q4" s="4">
        <f t="shared" si="5"/>
        <v>3.52174315708993E-3</v>
      </c>
    </row>
    <row r="5" spans="1:20" x14ac:dyDescent="0.25">
      <c r="A5" s="27"/>
      <c r="B5" s="27"/>
      <c r="C5" s="1">
        <v>13.29</v>
      </c>
      <c r="D5" s="2">
        <v>286.44</v>
      </c>
      <c r="E5" s="2">
        <v>97.56</v>
      </c>
      <c r="F5" s="1">
        <v>9.7560000000000002</v>
      </c>
      <c r="G5" s="2">
        <v>9756000</v>
      </c>
      <c r="H5" s="2">
        <v>285.78544514218561</v>
      </c>
      <c r="I5" s="3">
        <f t="shared" si="0"/>
        <v>-8.5041307329447591E-11</v>
      </c>
      <c r="J5" s="3">
        <f t="shared" si="1"/>
        <v>-0.65455485781438938</v>
      </c>
      <c r="K5">
        <f t="shared" si="2"/>
        <v>-7.9959906681818645E-6</v>
      </c>
      <c r="O5" s="4">
        <f t="shared" si="3"/>
        <v>2.2778824803536737</v>
      </c>
      <c r="P5" s="4">
        <f t="shared" si="4"/>
        <v>3.4911325233905879E-3</v>
      </c>
      <c r="Q5" s="4">
        <f t="shared" si="5"/>
        <v>3.4991285140587697E-3</v>
      </c>
    </row>
    <row r="6" spans="1:20" x14ac:dyDescent="0.25">
      <c r="A6" s="27"/>
      <c r="B6" s="27"/>
      <c r="C6" s="1">
        <v>14.6</v>
      </c>
      <c r="D6" s="2">
        <v>287.75</v>
      </c>
      <c r="E6" s="2">
        <v>116.17</v>
      </c>
      <c r="F6" s="1">
        <v>11.617000000000001</v>
      </c>
      <c r="G6" s="2">
        <v>11617000</v>
      </c>
      <c r="H6" s="2">
        <v>287.27716466249086</v>
      </c>
      <c r="I6" s="3">
        <f t="shared" si="0"/>
        <v>3.6886049770146201E-11</v>
      </c>
      <c r="J6" s="3">
        <f t="shared" si="1"/>
        <v>-0.47283533750913875</v>
      </c>
      <c r="K6">
        <f t="shared" si="2"/>
        <v>-5.719966537747307E-6</v>
      </c>
      <c r="O6" s="4">
        <f t="shared" si="3"/>
        <v>2.4524695425313379</v>
      </c>
      <c r="P6" s="4">
        <f t="shared" si="4"/>
        <v>3.4752389226759338E-3</v>
      </c>
      <c r="Q6" s="4">
        <f t="shared" si="5"/>
        <v>3.4809588892136811E-3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E8" sqref="E8"/>
    </sheetView>
  </sheetViews>
  <sheetFormatPr defaultRowHeight="15" x14ac:dyDescent="0.25"/>
  <cols>
    <col min="1" max="1" width="14.85546875" bestFit="1" customWidth="1"/>
    <col min="2" max="2" width="15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42</v>
      </c>
      <c r="B2" s="30" t="s">
        <v>44</v>
      </c>
      <c r="C2" s="1">
        <v>4.5538999999999996</v>
      </c>
      <c r="D2" s="2">
        <v>277.24</v>
      </c>
      <c r="E2" s="2">
        <v>41.13</v>
      </c>
      <c r="F2" s="1">
        <v>4.1130000000000004</v>
      </c>
      <c r="G2" s="2">
        <v>4113000</v>
      </c>
      <c r="H2" s="2">
        <v>277.66656840352891</v>
      </c>
      <c r="I2" s="3">
        <f t="shared" ref="I2:I6" si="0">F2-10^(-4646.471 +5314653/H2 -2271392000/H2^2 +430306500000/H2^3 -30511740000000/H2^4)</f>
        <v>-6.5414340610914223E-12</v>
      </c>
      <c r="J2" s="3">
        <f t="shared" ref="J2:J6" si="1">H2-D2</f>
        <v>0.42656840352890413</v>
      </c>
      <c r="K2">
        <f t="shared" ref="K2:K6" si="2">(H2-D2)/(H2*D2)</f>
        <v>5.5412685783891379E-6</v>
      </c>
      <c r="L2">
        <f>_xlfn.STDEV.S(K2:K6)</f>
        <v>8.3181841757730303E-6</v>
      </c>
      <c r="M2">
        <f>AVERAGE(K2:K6)</f>
        <v>1.0278437261967698E-5</v>
      </c>
      <c r="N2">
        <f t="shared" ref="N2" si="3">100*L2/M2</f>
        <v>80.928491012461578</v>
      </c>
      <c r="O2" s="4">
        <f t="shared" ref="O2:O6" si="4">LN(F2)</f>
        <v>1.4141526892482872</v>
      </c>
      <c r="P2" s="4">
        <f t="shared" ref="P2:P6" si="5">1/D2</f>
        <v>3.6069831193190015E-3</v>
      </c>
      <c r="Q2" s="4">
        <f t="shared" ref="Q2:Q6" si="6">1/H2</f>
        <v>3.6014418507406124E-3</v>
      </c>
      <c r="R2">
        <f>SLOPE(O2:O6,P2:P6)</f>
        <v>-9543.3481102058904</v>
      </c>
      <c r="S2">
        <f>SLOPE(O2:O6,Q2:Q6)</f>
        <v>-8611.2283692648725</v>
      </c>
      <c r="T2" s="13">
        <f t="shared" ref="T2" si="7">100*ABS(S2-R2)/ABS(S2)</f>
        <v>10.824468948796342</v>
      </c>
    </row>
    <row r="3" spans="1:20" x14ac:dyDescent="0.25">
      <c r="A3" s="27"/>
      <c r="B3" s="27"/>
      <c r="C3" s="1">
        <v>7.72</v>
      </c>
      <c r="D3" s="2">
        <v>280.87</v>
      </c>
      <c r="E3" s="2">
        <v>59.71</v>
      </c>
      <c r="F3" s="1">
        <v>5.9710000000000001</v>
      </c>
      <c r="G3" s="2">
        <v>5971000</v>
      </c>
      <c r="H3" s="2">
        <v>281.34495113368371</v>
      </c>
      <c r="I3" s="3">
        <f t="shared" si="0"/>
        <v>3.5962344213658071E-11</v>
      </c>
      <c r="J3" s="3">
        <f t="shared" si="1"/>
        <v>0.47495113368370312</v>
      </c>
      <c r="K3">
        <f t="shared" si="2"/>
        <v>6.0104148444348542E-6</v>
      </c>
      <c r="O3" s="4">
        <f t="shared" si="4"/>
        <v>1.7869144175648555</v>
      </c>
      <c r="P3" s="4">
        <f t="shared" si="5"/>
        <v>3.5603660056253783E-3</v>
      </c>
      <c r="Q3" s="4">
        <f t="shared" si="6"/>
        <v>3.5543555907809432E-3</v>
      </c>
    </row>
    <row r="4" spans="1:20" x14ac:dyDescent="0.25">
      <c r="A4" s="27"/>
      <c r="B4" s="27"/>
      <c r="C4" s="1">
        <v>10.44</v>
      </c>
      <c r="D4" s="2">
        <v>283.58999999999997</v>
      </c>
      <c r="E4" s="2">
        <v>79.98</v>
      </c>
      <c r="F4" s="1">
        <v>7.9980000000000002</v>
      </c>
      <c r="G4" s="2">
        <v>7998000</v>
      </c>
      <c r="H4" s="2">
        <v>284.03698287849227</v>
      </c>
      <c r="I4" s="3">
        <f t="shared" si="0"/>
        <v>8.0451201256437344E-11</v>
      </c>
      <c r="J4" s="3">
        <f t="shared" si="1"/>
        <v>0.44698287849229246</v>
      </c>
      <c r="K4">
        <f t="shared" si="2"/>
        <v>5.5491323684094003E-6</v>
      </c>
      <c r="O4" s="4">
        <f t="shared" si="4"/>
        <v>2.0791915104246268</v>
      </c>
      <c r="P4" s="4">
        <f t="shared" si="5"/>
        <v>3.5262174265665224E-3</v>
      </c>
      <c r="Q4" s="4">
        <f t="shared" si="6"/>
        <v>3.5206682941981132E-3</v>
      </c>
    </row>
    <row r="5" spans="1:20" x14ac:dyDescent="0.25">
      <c r="A5" s="27"/>
      <c r="B5" s="27"/>
      <c r="C5" s="1">
        <v>11.84</v>
      </c>
      <c r="D5" s="2">
        <v>284.99</v>
      </c>
      <c r="E5" s="2">
        <v>97.24</v>
      </c>
      <c r="F5" s="1">
        <v>9.7240000000000002</v>
      </c>
      <c r="G5" s="2">
        <v>9724000</v>
      </c>
      <c r="H5" s="2">
        <v>285.7569998980448</v>
      </c>
      <c r="I5" s="3">
        <f t="shared" si="0"/>
        <v>1.0478196088570257E-10</v>
      </c>
      <c r="J5" s="3">
        <f t="shared" si="1"/>
        <v>0.76699989804478719</v>
      </c>
      <c r="K5">
        <f t="shared" si="2"/>
        <v>9.4182194863259481E-6</v>
      </c>
      <c r="O5" s="4">
        <f t="shared" si="4"/>
        <v>2.2745970564538771</v>
      </c>
      <c r="P5" s="4">
        <f t="shared" si="5"/>
        <v>3.5088950489490858E-3</v>
      </c>
      <c r="Q5" s="4">
        <f t="shared" si="6"/>
        <v>3.4994768294627598E-3</v>
      </c>
    </row>
    <row r="6" spans="1:20" x14ac:dyDescent="0.25">
      <c r="A6" s="27"/>
      <c r="B6" s="27"/>
      <c r="C6" s="1">
        <v>12.19</v>
      </c>
      <c r="D6" s="2">
        <v>285.33999999999997</v>
      </c>
      <c r="E6" s="2">
        <v>117.59</v>
      </c>
      <c r="F6" s="1">
        <v>11.759</v>
      </c>
      <c r="G6" s="2">
        <v>11759000</v>
      </c>
      <c r="H6" s="2">
        <v>287.3796207952995</v>
      </c>
      <c r="I6" s="3">
        <f t="shared" si="0"/>
        <v>-3.3095304274866066E-11</v>
      </c>
      <c r="J6" s="3">
        <f t="shared" si="1"/>
        <v>2.0396207952995269</v>
      </c>
      <c r="K6">
        <f t="shared" si="2"/>
        <v>2.4873151032279145E-5</v>
      </c>
      <c r="O6" s="4">
        <f t="shared" si="4"/>
        <v>2.4646189048412785</v>
      </c>
      <c r="P6" s="4">
        <f t="shared" si="5"/>
        <v>3.50459101422864E-3</v>
      </c>
      <c r="Q6" s="4">
        <f t="shared" si="6"/>
        <v>3.4797178631963605E-3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F11" sqref="F11"/>
    </sheetView>
  </sheetViews>
  <sheetFormatPr defaultRowHeight="15" x14ac:dyDescent="0.25"/>
  <cols>
    <col min="1" max="1" width="19.140625" bestFit="1" customWidth="1"/>
    <col min="2" max="2" width="15.42578125" bestFit="1" customWidth="1"/>
    <col min="11" max="11" width="12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8" t="s">
        <v>2</v>
      </c>
      <c r="B2" s="28" t="s">
        <v>26</v>
      </c>
      <c r="C2" s="9">
        <v>3.62</v>
      </c>
      <c r="D2" s="10">
        <v>276.77</v>
      </c>
      <c r="E2" s="9">
        <v>39.51</v>
      </c>
      <c r="F2" s="9">
        <v>3.9510000000000001</v>
      </c>
      <c r="G2" s="10">
        <v>3951000</v>
      </c>
      <c r="H2" s="10">
        <v>277.25302327874698</v>
      </c>
      <c r="I2" s="3">
        <f t="shared" ref="I2:I5" si="0">F2-10^(-4646.471 +5314653/H2 -2271392000/H2^2 +430306500000/H2^3 -30511740000000/H2^4)</f>
        <v>2.2695045842624495E-10</v>
      </c>
      <c r="J2" s="3">
        <f t="shared" ref="J2:J5" si="1">H2-D2</f>
        <v>0.48302327874699813</v>
      </c>
      <c r="K2">
        <f t="shared" ref="K2:K5" si="2">(H2-D2)/(H2*D2)</f>
        <v>6.2946669597520824E-6</v>
      </c>
      <c r="L2">
        <f>_xlfn.STDEV.S(K2:K5)</f>
        <v>8.7101058478535959E-7</v>
      </c>
      <c r="M2">
        <f t="shared" ref="M2" si="3">AVERAGE(K2:K5)</f>
        <v>7.1735921161864125E-6</v>
      </c>
      <c r="N2">
        <f t="shared" ref="N2" si="4">100*L2/M2</f>
        <v>12.141902838607468</v>
      </c>
      <c r="O2" s="4">
        <f t="shared" ref="O2:O5" si="5">LN(F2)</f>
        <v>1.3739687114292538</v>
      </c>
      <c r="P2" s="4">
        <f t="shared" ref="P2:P5" si="6">1/D2</f>
        <v>3.6131083571196302E-3</v>
      </c>
      <c r="Q2" s="4">
        <f t="shared" ref="Q2:Q5" si="7">1/H2</f>
        <v>3.606813690159878E-3</v>
      </c>
      <c r="R2">
        <f t="shared" ref="R2" si="8">SLOPE(O2:O5,P2:P5)</f>
        <v>-8518.1387245161186</v>
      </c>
      <c r="S2">
        <f t="shared" ref="S2" si="9">SLOPE(O2:O5,Q2:Q5)</f>
        <v>-8381.6844732349527</v>
      </c>
      <c r="T2">
        <f t="shared" ref="T2" si="10">100*ABS(S2-R2)/ABS(S2)</f>
        <v>1.6280051070510013</v>
      </c>
    </row>
    <row r="3" spans="1:20" x14ac:dyDescent="0.25">
      <c r="A3" s="29"/>
      <c r="B3" s="29"/>
      <c r="C3" s="9">
        <v>7.46</v>
      </c>
      <c r="D3" s="10">
        <v>280.61</v>
      </c>
      <c r="E3" s="9">
        <v>58.37</v>
      </c>
      <c r="F3" s="9">
        <v>5.8369999999999997</v>
      </c>
      <c r="G3" s="10">
        <v>5837000</v>
      </c>
      <c r="H3" s="10">
        <v>281.12914885512777</v>
      </c>
      <c r="I3" s="3">
        <f t="shared" si="0"/>
        <v>-4.3023362650274066E-12</v>
      </c>
      <c r="J3" s="3">
        <f t="shared" si="1"/>
        <v>0.519148855127753</v>
      </c>
      <c r="K3">
        <f t="shared" si="2"/>
        <v>6.5808634443920373E-6</v>
      </c>
      <c r="O3" s="4">
        <f t="shared" si="5"/>
        <v>1.764216966221654</v>
      </c>
      <c r="P3" s="4">
        <f t="shared" si="6"/>
        <v>3.5636648729553471E-3</v>
      </c>
      <c r="Q3" s="4">
        <f t="shared" si="7"/>
        <v>3.5570840095109552E-3</v>
      </c>
    </row>
    <row r="4" spans="1:20" x14ac:dyDescent="0.25">
      <c r="A4" s="29"/>
      <c r="B4" s="29"/>
      <c r="C4" s="9">
        <v>9.9700000000000006</v>
      </c>
      <c r="D4" s="10">
        <v>283.12</v>
      </c>
      <c r="E4" s="9">
        <v>77.64</v>
      </c>
      <c r="F4" s="9">
        <v>7.7640000000000002</v>
      </c>
      <c r="G4" s="10">
        <v>7764000</v>
      </c>
      <c r="H4" s="10">
        <v>283.77040192251656</v>
      </c>
      <c r="I4" s="3">
        <f t="shared" si="0"/>
        <v>-5.3250737153121008E-11</v>
      </c>
      <c r="J4" s="3">
        <f t="shared" si="1"/>
        <v>0.65040192251655071</v>
      </c>
      <c r="K4">
        <f t="shared" si="2"/>
        <v>8.0955092132418153E-6</v>
      </c>
      <c r="O4" s="4">
        <f t="shared" si="5"/>
        <v>2.049497665306764</v>
      </c>
      <c r="P4" s="4">
        <f t="shared" si="6"/>
        <v>3.5320712065555239E-3</v>
      </c>
      <c r="Q4" s="4">
        <f t="shared" si="7"/>
        <v>3.5239756973422824E-3</v>
      </c>
    </row>
    <row r="5" spans="1:20" x14ac:dyDescent="0.25">
      <c r="A5" s="29"/>
      <c r="B5" s="29"/>
      <c r="C5" s="9">
        <v>12.12</v>
      </c>
      <c r="D5" s="10">
        <v>285.27</v>
      </c>
      <c r="E5" s="9">
        <v>98.86</v>
      </c>
      <c r="F5" s="9">
        <v>9.8859999999999992</v>
      </c>
      <c r="G5" s="10">
        <v>9886000</v>
      </c>
      <c r="H5" s="10">
        <v>285.89990439576133</v>
      </c>
      <c r="I5" s="3">
        <f t="shared" si="0"/>
        <v>3.9225511727636331E-11</v>
      </c>
      <c r="J5" s="3">
        <f t="shared" si="1"/>
        <v>0.62990439576134349</v>
      </c>
      <c r="K5">
        <f t="shared" si="2"/>
        <v>7.7233288473597132E-6</v>
      </c>
      <c r="O5" s="4">
        <f t="shared" si="5"/>
        <v>2.2911196148847677</v>
      </c>
      <c r="P5" s="4">
        <f t="shared" si="6"/>
        <v>3.505450976268097E-3</v>
      </c>
      <c r="Q5" s="4">
        <f t="shared" si="7"/>
        <v>3.4977276474207372E-3</v>
      </c>
    </row>
    <row r="6" spans="1:20" x14ac:dyDescent="0.25">
      <c r="A6" s="8"/>
      <c r="B6" s="8"/>
      <c r="C6" s="7"/>
      <c r="D6" s="5"/>
      <c r="E6" s="7"/>
      <c r="F6" s="7"/>
      <c r="G6" s="5"/>
      <c r="H6" s="5"/>
      <c r="I6" s="3"/>
      <c r="J6" s="3"/>
      <c r="O6" s="4"/>
      <c r="P6" s="4"/>
      <c r="Q6" s="4"/>
    </row>
    <row r="10" spans="1:20" x14ac:dyDescent="0.25">
      <c r="M10" s="21"/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24</v>
      </c>
      <c r="B2" s="30" t="s">
        <v>45</v>
      </c>
      <c r="C2" s="1">
        <f>D2-273.15</f>
        <v>2.6500000000000341</v>
      </c>
      <c r="D2" s="2">
        <v>275.8</v>
      </c>
      <c r="E2" s="2">
        <f>F2*10</f>
        <v>35</v>
      </c>
      <c r="F2" s="1">
        <v>3.5</v>
      </c>
      <c r="G2" s="2">
        <f>F2*10^6</f>
        <v>3500000</v>
      </c>
      <c r="H2" s="2">
        <v>275.98747179058603</v>
      </c>
      <c r="I2" s="3">
        <f t="shared" ref="I2:I6" si="0">F2-10^(-4646.471 +5314653/H2 -2271392000/H2^2 +430306500000/H2^3 -30511740000000/H2^4)</f>
        <v>-4.0485392815980958E-11</v>
      </c>
      <c r="J2" s="3">
        <f t="shared" ref="J2:J6" si="1">H2-D2</f>
        <v>0.1874717905860166</v>
      </c>
      <c r="K2">
        <f t="shared" ref="K2:K6" si="2">(H2-D2)/(H2*D2)</f>
        <v>2.4629312974069507E-6</v>
      </c>
      <c r="L2">
        <f>_xlfn.STDEV.S(K2:K6)</f>
        <v>8.1250337258510506E-7</v>
      </c>
      <c r="M2">
        <f>AVERAGE(K2:K6)</f>
        <v>2.3678798003329142E-6</v>
      </c>
      <c r="N2">
        <f t="shared" ref="N2" si="3">100*L2/M2</f>
        <v>34.313539583845021</v>
      </c>
      <c r="O2" s="4">
        <f t="shared" ref="O2:O6" si="4">LN(F2)</f>
        <v>1.2527629684953681</v>
      </c>
      <c r="P2" s="4">
        <f t="shared" ref="P2:P6" si="5">1/D2</f>
        <v>3.6258158085569251E-3</v>
      </c>
      <c r="Q2" s="4">
        <f t="shared" ref="Q2:Q6" si="6">1/H2</f>
        <v>3.6233528772595183E-3</v>
      </c>
      <c r="R2">
        <f>SLOPE(O2:O6,P2:P6)</f>
        <v>-8024.9266772339606</v>
      </c>
      <c r="S2">
        <f>SLOPE(O2:O6,Q2:Q6)</f>
        <v>-8073.5855246257543</v>
      </c>
      <c r="T2">
        <f t="shared" ref="T2" si="7">100*ABS(S2-R2)/ABS(S2)</f>
        <v>0.60269191728230553</v>
      </c>
    </row>
    <row r="3" spans="1:20" x14ac:dyDescent="0.25">
      <c r="A3" s="27"/>
      <c r="B3" s="27"/>
      <c r="C3" s="1">
        <f t="shared" ref="C3:C6" si="8">D3-273.15</f>
        <v>5.4000000000000341</v>
      </c>
      <c r="D3" s="2">
        <v>278.55</v>
      </c>
      <c r="E3" s="2">
        <f t="shared" ref="E3:E6" si="9">F3*10</f>
        <v>46</v>
      </c>
      <c r="F3" s="1">
        <v>4.5999999999999996</v>
      </c>
      <c r="G3" s="2">
        <f t="shared" ref="G3:G6" si="10">F3*10^6</f>
        <v>4600000</v>
      </c>
      <c r="H3" s="2">
        <v>278.80108720564391</v>
      </c>
      <c r="I3" s="3">
        <f t="shared" si="0"/>
        <v>-4.8210324621322798E-12</v>
      </c>
      <c r="J3" s="3">
        <f t="shared" si="1"/>
        <v>0.25108720564389841</v>
      </c>
      <c r="K3">
        <f t="shared" si="2"/>
        <v>3.2331582169938202E-6</v>
      </c>
      <c r="O3" s="4">
        <f t="shared" si="4"/>
        <v>1.5260563034950492</v>
      </c>
      <c r="P3" s="4">
        <f t="shared" si="5"/>
        <v>3.5900197451085979E-3</v>
      </c>
      <c r="Q3" s="4">
        <f t="shared" si="6"/>
        <v>3.5867865868916041E-3</v>
      </c>
    </row>
    <row r="4" spans="1:20" x14ac:dyDescent="0.25">
      <c r="A4" s="27"/>
      <c r="B4" s="27"/>
      <c r="C4" s="1">
        <f t="shared" si="8"/>
        <v>8.9000000000000341</v>
      </c>
      <c r="D4" s="2">
        <v>282.05</v>
      </c>
      <c r="E4" s="2">
        <f t="shared" si="9"/>
        <v>65</v>
      </c>
      <c r="F4" s="1">
        <v>6.5</v>
      </c>
      <c r="G4" s="2">
        <f t="shared" si="10"/>
        <v>6500000</v>
      </c>
      <c r="H4" s="2">
        <v>282.14307294957371</v>
      </c>
      <c r="I4" s="3">
        <f t="shared" si="0"/>
        <v>1.6852297335390176E-11</v>
      </c>
      <c r="J4" s="3">
        <f t="shared" si="1"/>
        <v>9.3072949573695496E-2</v>
      </c>
      <c r="K4">
        <f t="shared" si="2"/>
        <v>1.1695747431186439E-6</v>
      </c>
      <c r="O4" s="4">
        <f t="shared" si="4"/>
        <v>1.8718021769015913</v>
      </c>
      <c r="P4" s="4">
        <f t="shared" si="5"/>
        <v>3.5454706612302782E-3</v>
      </c>
      <c r="Q4" s="4">
        <f t="shared" si="6"/>
        <v>3.5443010864871596E-3</v>
      </c>
    </row>
    <row r="5" spans="1:20" x14ac:dyDescent="0.25">
      <c r="A5" s="27"/>
      <c r="B5" s="27"/>
      <c r="C5" s="1">
        <f t="shared" si="8"/>
        <v>9.9500000000000455</v>
      </c>
      <c r="D5" s="2">
        <v>283.10000000000002</v>
      </c>
      <c r="E5" s="2">
        <f t="shared" si="9"/>
        <v>74</v>
      </c>
      <c r="F5" s="1">
        <v>7.4</v>
      </c>
      <c r="G5" s="2">
        <f t="shared" si="10"/>
        <v>7400000</v>
      </c>
      <c r="H5" s="2">
        <v>283.33617681658876</v>
      </c>
      <c r="I5" s="3">
        <f t="shared" si="0"/>
        <v>-6.2959415458863077E-11</v>
      </c>
      <c r="J5" s="3">
        <f t="shared" si="1"/>
        <v>0.23617681658873835</v>
      </c>
      <c r="K5">
        <f t="shared" si="2"/>
        <v>2.9443902140221152E-6</v>
      </c>
      <c r="O5" s="4">
        <f t="shared" si="4"/>
        <v>2.0014800002101243</v>
      </c>
      <c r="P5" s="4">
        <f t="shared" si="5"/>
        <v>3.5323207347227126E-3</v>
      </c>
      <c r="Q5" s="4">
        <f t="shared" si="6"/>
        <v>3.5293763445086905E-3</v>
      </c>
    </row>
    <row r="6" spans="1:20" x14ac:dyDescent="0.25">
      <c r="A6" s="27"/>
      <c r="B6" s="27"/>
      <c r="C6" s="1">
        <f t="shared" si="8"/>
        <v>11</v>
      </c>
      <c r="D6" s="2">
        <v>284.14999999999998</v>
      </c>
      <c r="E6" s="2">
        <f t="shared" si="9"/>
        <v>82.5</v>
      </c>
      <c r="F6" s="1">
        <v>8.25</v>
      </c>
      <c r="G6" s="2">
        <f t="shared" si="10"/>
        <v>8250000</v>
      </c>
      <c r="H6" s="2">
        <v>284.3139462959407</v>
      </c>
      <c r="I6" s="3">
        <f t="shared" si="0"/>
        <v>3.2319036336048157E-11</v>
      </c>
      <c r="J6" s="3">
        <f t="shared" si="1"/>
        <v>0.1639462959407183</v>
      </c>
      <c r="K6">
        <f t="shared" si="2"/>
        <v>2.0293445301230427E-6</v>
      </c>
      <c r="O6" s="4">
        <f t="shared" si="4"/>
        <v>2.1102132003465894</v>
      </c>
      <c r="P6" s="4">
        <f t="shared" si="5"/>
        <v>3.5192679922576107E-3</v>
      </c>
      <c r="Q6" s="4">
        <f t="shared" si="6"/>
        <v>3.5172386477274878E-3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sqref="A1:T6"/>
    </sheetView>
  </sheetViews>
  <sheetFormatPr defaultRowHeight="15" x14ac:dyDescent="0.25"/>
  <cols>
    <col min="1" max="1" width="15.570312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24</v>
      </c>
      <c r="B2" s="30" t="s">
        <v>46</v>
      </c>
      <c r="C2" s="1">
        <f t="shared" ref="C2:C6" si="0">D2-273.15</f>
        <v>2.3500000000000227</v>
      </c>
      <c r="D2" s="2">
        <v>275.5</v>
      </c>
      <c r="E2" s="2">
        <f t="shared" ref="E2:E6" si="1">F2*10</f>
        <v>34.5</v>
      </c>
      <c r="F2" s="1">
        <v>3.45</v>
      </c>
      <c r="G2" s="2">
        <f t="shared" ref="G2:G6" si="2">F2*10^6</f>
        <v>3450000</v>
      </c>
      <c r="H2" s="2">
        <v>275.83556365013686</v>
      </c>
      <c r="I2" s="3">
        <f t="shared" ref="I2:I6" si="3">F2-10^(-4646.471 +5314653/H2 -2271392000/H2^2 +430306500000/H2^3 -30511740000000/H2^4)</f>
        <v>2.2293278334473143E-13</v>
      </c>
      <c r="J2" s="3">
        <f t="shared" ref="J2:J6" si="4">H2-D2</f>
        <v>0.33556365013686218</v>
      </c>
      <c r="K2">
        <f t="shared" ref="K2:K6" si="5">(H2-D2)/(H2*D2)</f>
        <v>4.4157354576822597E-6</v>
      </c>
      <c r="L2">
        <f>_xlfn.STDEV.S(K2:K6)</f>
        <v>1.4761354897752137E-6</v>
      </c>
      <c r="M2">
        <f>AVERAGE(K2:K6)</f>
        <v>5.7801368535452492E-6</v>
      </c>
      <c r="N2">
        <f t="shared" ref="N2" si="6">100*L2/M2</f>
        <v>25.538071626622912</v>
      </c>
      <c r="O2" s="4">
        <f t="shared" ref="O2:O6" si="7">LN(F2)</f>
        <v>1.2383742310432684</v>
      </c>
      <c r="P2" s="4">
        <f t="shared" ref="P2:P6" si="8">1/D2</f>
        <v>3.629764065335753E-3</v>
      </c>
      <c r="Q2" s="4">
        <f t="shared" ref="Q2:Q6" si="9">1/H2</f>
        <v>3.6253483298780711E-3</v>
      </c>
      <c r="R2">
        <f>SLOPE(O2:O6,P2:P6)</f>
        <v>-8038.4299986304159</v>
      </c>
      <c r="S2">
        <f>SLOPE(O2:O6,Q2:Q6)</f>
        <v>-8052.5227048485149</v>
      </c>
      <c r="T2">
        <f t="shared" ref="T2" si="10">100*ABS(S2-R2)/ABS(S2)</f>
        <v>0.17500982902679221</v>
      </c>
    </row>
    <row r="3" spans="1:20" x14ac:dyDescent="0.25">
      <c r="A3" s="27"/>
      <c r="B3" s="27"/>
      <c r="C3" s="1">
        <f t="shared" si="0"/>
        <v>5.0500000000000114</v>
      </c>
      <c r="D3" s="2">
        <v>278.2</v>
      </c>
      <c r="E3" s="2">
        <f t="shared" si="1"/>
        <v>46</v>
      </c>
      <c r="F3" s="1">
        <v>4.5999999999999996</v>
      </c>
      <c r="G3" s="2">
        <f t="shared" si="2"/>
        <v>4600000</v>
      </c>
      <c r="H3" s="2">
        <v>278.80108720559605</v>
      </c>
      <c r="I3" s="3">
        <f t="shared" si="3"/>
        <v>-4.8210324621322798E-12</v>
      </c>
      <c r="J3" s="3">
        <f t="shared" si="4"/>
        <v>0.60108720559605899</v>
      </c>
      <c r="K3">
        <f t="shared" si="5"/>
        <v>7.7497179244589173E-6</v>
      </c>
      <c r="O3" s="4">
        <f t="shared" si="7"/>
        <v>1.5260563034950492</v>
      </c>
      <c r="P3" s="4">
        <f t="shared" si="8"/>
        <v>3.5945363048166786E-3</v>
      </c>
      <c r="Q3" s="4">
        <f t="shared" si="9"/>
        <v>3.5867865868922199E-3</v>
      </c>
    </row>
    <row r="4" spans="1:20" x14ac:dyDescent="0.25">
      <c r="A4" s="27"/>
      <c r="B4" s="27"/>
      <c r="C4" s="1">
        <f t="shared" si="0"/>
        <v>8.4500000000000455</v>
      </c>
      <c r="D4" s="2">
        <v>281.60000000000002</v>
      </c>
      <c r="E4" s="2">
        <f t="shared" si="1"/>
        <v>65</v>
      </c>
      <c r="F4" s="1">
        <v>6.5</v>
      </c>
      <c r="G4" s="2">
        <f t="shared" si="2"/>
        <v>6500000</v>
      </c>
      <c r="H4" s="2">
        <v>282.14307294960565</v>
      </c>
      <c r="I4" s="3">
        <f t="shared" si="3"/>
        <v>4.4076742256038415E-11</v>
      </c>
      <c r="J4" s="3">
        <f t="shared" si="4"/>
        <v>0.54307294960563013</v>
      </c>
      <c r="K4">
        <f t="shared" si="5"/>
        <v>6.835277149605125E-6</v>
      </c>
      <c r="O4" s="4">
        <f t="shared" si="7"/>
        <v>1.8718021769015913</v>
      </c>
      <c r="P4" s="4">
        <f t="shared" si="8"/>
        <v>3.5511363636363635E-3</v>
      </c>
      <c r="Q4" s="4">
        <f t="shared" si="9"/>
        <v>3.5443010864867584E-3</v>
      </c>
    </row>
    <row r="5" spans="1:20" x14ac:dyDescent="0.25">
      <c r="A5" s="27"/>
      <c r="B5" s="27"/>
      <c r="C5" s="1">
        <f t="shared" si="0"/>
        <v>9.75</v>
      </c>
      <c r="D5" s="2">
        <v>282.89999999999998</v>
      </c>
      <c r="E5" s="2">
        <f t="shared" si="1"/>
        <v>74</v>
      </c>
      <c r="F5" s="1">
        <v>7.4</v>
      </c>
      <c r="G5" s="2">
        <f t="shared" si="2"/>
        <v>7400000</v>
      </c>
      <c r="H5" s="2">
        <v>283.33617681651964</v>
      </c>
      <c r="I5" s="3">
        <f t="shared" si="3"/>
        <v>-1.6468604258079722E-11</v>
      </c>
      <c r="J5" s="3">
        <f t="shared" si="4"/>
        <v>0.43617681651966222</v>
      </c>
      <c r="K5">
        <f t="shared" si="5"/>
        <v>5.4416123656697731E-6</v>
      </c>
      <c r="O5" s="4">
        <f t="shared" si="7"/>
        <v>2.0014800002101243</v>
      </c>
      <c r="P5" s="4">
        <f t="shared" si="8"/>
        <v>3.5348179568752214E-3</v>
      </c>
      <c r="Q5" s="4">
        <f t="shared" si="9"/>
        <v>3.5293763445095514E-3</v>
      </c>
    </row>
    <row r="6" spans="1:20" x14ac:dyDescent="0.25">
      <c r="A6" s="27"/>
      <c r="B6" s="27"/>
      <c r="C6" s="1">
        <f t="shared" si="0"/>
        <v>10.75</v>
      </c>
      <c r="D6" s="2">
        <v>283.89999999999998</v>
      </c>
      <c r="E6" s="2">
        <f t="shared" si="1"/>
        <v>82</v>
      </c>
      <c r="F6" s="1">
        <v>8.1999999999999993</v>
      </c>
      <c r="G6" s="2">
        <f t="shared" si="2"/>
        <v>8199999.9999999991</v>
      </c>
      <c r="H6" s="2">
        <v>284.25979419218299</v>
      </c>
      <c r="I6" s="3">
        <f t="shared" si="3"/>
        <v>-1.2574297159062553E-10</v>
      </c>
      <c r="J6" s="3">
        <f t="shared" si="4"/>
        <v>0.359794192183017</v>
      </c>
      <c r="K6">
        <f t="shared" si="5"/>
        <v>4.4583413703101692E-6</v>
      </c>
      <c r="O6" s="4">
        <f t="shared" si="7"/>
        <v>2.1041341542702074</v>
      </c>
      <c r="P6" s="4">
        <f t="shared" si="8"/>
        <v>3.5223670306445934E-3</v>
      </c>
      <c r="Q6" s="4">
        <f t="shared" si="9"/>
        <v>3.5179086892742832E-3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sqref="A1:V6"/>
    </sheetView>
  </sheetViews>
  <sheetFormatPr defaultRowHeight="15" x14ac:dyDescent="0.25"/>
  <cols>
    <col min="1" max="1" width="15.5703125" bestFit="1" customWidth="1"/>
    <col min="2" max="2" width="17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24</v>
      </c>
      <c r="B2" s="30" t="s">
        <v>47</v>
      </c>
      <c r="C2" s="1">
        <v>1.75</v>
      </c>
      <c r="D2" s="2">
        <v>274.89999999999998</v>
      </c>
      <c r="E2" s="2">
        <v>34.5</v>
      </c>
      <c r="F2" s="1">
        <v>3.45</v>
      </c>
      <c r="G2" s="2">
        <v>3450000</v>
      </c>
      <c r="H2" s="2">
        <v>275.83556365006518</v>
      </c>
      <c r="I2" s="3">
        <f t="shared" ref="I2:I6" si="0">F2-10^(-4646.471 +5314653/H2 -2271392000/H2^2 +430306500000/H2^3 -30511740000000/H2^4)</f>
        <v>2.1898038937706588E-11</v>
      </c>
      <c r="J2" s="3">
        <f t="shared" ref="J2:J6" si="1">H2-D2</f>
        <v>0.93556365006520537</v>
      </c>
      <c r="K2">
        <f t="shared" ref="K2:K6" si="2">(H2-D2)/(H2*D2)</f>
        <v>1.2338101550598057E-5</v>
      </c>
      <c r="L2">
        <f>_xlfn.STDEV.S(K2:K6)</f>
        <v>7.4197613747967009E-7</v>
      </c>
      <c r="M2">
        <f>AVERAGE(K2:K6)</f>
        <v>1.3300176406497443E-5</v>
      </c>
      <c r="N2" s="14">
        <f t="shared" ref="N2" si="3">100*L2/M2</f>
        <v>5.5786939571508061</v>
      </c>
      <c r="O2" s="4">
        <f t="shared" ref="O2:O6" si="4">LN(F2)</f>
        <v>1.2383742310432684</v>
      </c>
      <c r="P2" s="4">
        <f t="shared" ref="P2:P6" si="5">1/D2</f>
        <v>3.637686431429611E-3</v>
      </c>
      <c r="Q2" s="4">
        <f t="shared" ref="Q2:Q6" si="6">1/H2</f>
        <v>3.625348329879013E-3</v>
      </c>
      <c r="R2">
        <f>SLOPE(O2:O6,P2:P6)</f>
        <v>-8105.7690602040284</v>
      </c>
      <c r="S2">
        <f>SLOPE(O2:O6,Q2:Q6)</f>
        <v>-8057.1361696648082</v>
      </c>
      <c r="T2">
        <f t="shared" ref="T2" si="7">100*ABS(S2-R2)/ABS(S2)</f>
        <v>0.60360020626588706</v>
      </c>
    </row>
    <row r="3" spans="1:20" x14ac:dyDescent="0.25">
      <c r="A3" s="27"/>
      <c r="B3" s="27"/>
      <c r="C3" s="1">
        <v>4.55</v>
      </c>
      <c r="D3" s="2">
        <v>277.7</v>
      </c>
      <c r="E3" s="1">
        <v>46</v>
      </c>
      <c r="F3" s="1">
        <v>4.5999999999999996</v>
      </c>
      <c r="G3" s="2">
        <v>4600000</v>
      </c>
      <c r="H3" s="2">
        <v>278.80108720564294</v>
      </c>
      <c r="I3" s="3">
        <f t="shared" si="0"/>
        <v>4.8130388563549786E-12</v>
      </c>
      <c r="J3" s="3">
        <f t="shared" si="1"/>
        <v>1.1010872056429548</v>
      </c>
      <c r="K3">
        <f t="shared" si="2"/>
        <v>1.422169542743292E-5</v>
      </c>
      <c r="O3" s="4">
        <f t="shared" si="4"/>
        <v>1.5260563034950492</v>
      </c>
      <c r="P3" s="4">
        <f t="shared" si="5"/>
        <v>3.6010082823190494E-3</v>
      </c>
      <c r="Q3" s="4">
        <f t="shared" si="6"/>
        <v>3.5867865868916167E-3</v>
      </c>
    </row>
    <row r="4" spans="1:20" x14ac:dyDescent="0.25">
      <c r="A4" s="27"/>
      <c r="B4" s="27"/>
      <c r="C4" s="1">
        <v>7.95</v>
      </c>
      <c r="D4" s="2">
        <v>281.10000000000002</v>
      </c>
      <c r="E4" s="1">
        <v>65</v>
      </c>
      <c r="F4" s="1">
        <v>6.5</v>
      </c>
      <c r="G4" s="2">
        <v>6500000</v>
      </c>
      <c r="H4" s="2">
        <v>282.14307294964897</v>
      </c>
      <c r="I4" s="3">
        <f t="shared" si="0"/>
        <v>-6.482014924813484E-11</v>
      </c>
      <c r="J4" s="3">
        <f t="shared" si="1"/>
        <v>1.0430729496489448</v>
      </c>
      <c r="K4">
        <f t="shared" si="2"/>
        <v>1.3151777263340928E-5</v>
      </c>
      <c r="O4" s="4">
        <f t="shared" si="4"/>
        <v>1.8718021769015913</v>
      </c>
      <c r="P4" s="4">
        <f t="shared" si="5"/>
        <v>3.557452863749555E-3</v>
      </c>
      <c r="Q4" s="4">
        <f t="shared" si="6"/>
        <v>3.5443010864862142E-3</v>
      </c>
    </row>
    <row r="5" spans="1:20" x14ac:dyDescent="0.25">
      <c r="A5" s="27"/>
      <c r="B5" s="27"/>
      <c r="C5" s="1">
        <v>9.15</v>
      </c>
      <c r="D5" s="2">
        <v>282.3</v>
      </c>
      <c r="E5" s="1">
        <v>74</v>
      </c>
      <c r="F5" s="1">
        <v>7.4</v>
      </c>
      <c r="G5" s="2">
        <v>7400000</v>
      </c>
      <c r="H5" s="2">
        <v>283.33617681639771</v>
      </c>
      <c r="I5" s="3">
        <f t="shared" si="0"/>
        <v>4.5520032188051118E-11</v>
      </c>
      <c r="J5" s="3">
        <f t="shared" si="1"/>
        <v>1.036176816397699</v>
      </c>
      <c r="K5">
        <f t="shared" si="2"/>
        <v>1.2954509190665352E-5</v>
      </c>
      <c r="O5" s="4">
        <f t="shared" si="4"/>
        <v>2.0014800002101243</v>
      </c>
      <c r="P5" s="4">
        <f t="shared" si="5"/>
        <v>3.5423308537017354E-3</v>
      </c>
      <c r="Q5" s="4">
        <f t="shared" si="6"/>
        <v>3.5293763445110701E-3</v>
      </c>
    </row>
    <row r="6" spans="1:20" x14ac:dyDescent="0.25">
      <c r="A6" s="27"/>
      <c r="B6" s="27"/>
      <c r="C6" s="1">
        <v>10.050000000000001</v>
      </c>
      <c r="D6" s="2">
        <v>283.2</v>
      </c>
      <c r="E6" s="2">
        <v>82.5</v>
      </c>
      <c r="F6" s="2">
        <v>8.25</v>
      </c>
      <c r="G6" s="2">
        <v>8250000</v>
      </c>
      <c r="H6" s="2">
        <v>284.31394629596122</v>
      </c>
      <c r="I6" s="3">
        <f t="shared" si="0"/>
        <v>6.6872729576061829E-11</v>
      </c>
      <c r="J6" s="3">
        <f t="shared" si="1"/>
        <v>1.1139462959612274</v>
      </c>
      <c r="K6">
        <f t="shared" si="2"/>
        <v>1.3834798600449958E-5</v>
      </c>
      <c r="O6" s="4">
        <f t="shared" si="4"/>
        <v>2.1102132003465894</v>
      </c>
      <c r="P6" s="4">
        <f t="shared" si="5"/>
        <v>3.5310734463276836E-3</v>
      </c>
      <c r="Q6" s="4">
        <f t="shared" si="6"/>
        <v>3.5172386477272336E-3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M1" workbookViewId="0">
      <selection sqref="A1:T5"/>
    </sheetView>
  </sheetViews>
  <sheetFormatPr defaultRowHeight="15" x14ac:dyDescent="0.25"/>
  <cols>
    <col min="1" max="1" width="19.7109375" bestFit="1" customWidth="1"/>
    <col min="2" max="2" width="14.71093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48</v>
      </c>
      <c r="B2" s="26" t="s">
        <v>49</v>
      </c>
      <c r="C2" s="1">
        <v>10.35</v>
      </c>
      <c r="D2" s="2">
        <v>283.5</v>
      </c>
      <c r="E2" s="1">
        <v>80.5</v>
      </c>
      <c r="F2" s="1">
        <v>8.5</v>
      </c>
      <c r="G2" s="2">
        <v>8050000</v>
      </c>
      <c r="H2" s="2">
        <v>284.57902842527238</v>
      </c>
      <c r="I2" s="3">
        <f t="shared" ref="I2:I5" si="0">F2-10^(-4646.471 +5314653/H2 -2271392000/H2^2 +430306500000/H2^3 -30511740000000/H2^4)</f>
        <v>1.6790124846011167E-11</v>
      </c>
      <c r="J2" s="3">
        <f t="shared" ref="J2:J5" si="1">H2-D2</f>
        <v>1.0790284252723836</v>
      </c>
      <c r="K2">
        <f t="shared" ref="K2:K5" si="2">(H2-D2)/(H2*D2)</f>
        <v>1.3374480752272425E-5</v>
      </c>
      <c r="L2">
        <f>_xlfn.STDEV.S(K2:K5)</f>
        <v>9.4191421196678602E-6</v>
      </c>
      <c r="M2">
        <f>AVERAGE(K2:K5)</f>
        <v>1.1703134980136834E-5</v>
      </c>
      <c r="N2">
        <f t="shared" ref="N2" si="3">100*L2/M2</f>
        <v>80.48392277500443</v>
      </c>
      <c r="O2" s="4">
        <f t="shared" ref="O2:O5" si="4">LN(F2)</f>
        <v>2.1400661634962708</v>
      </c>
      <c r="P2" s="4">
        <f t="shared" ref="P2:P5" si="5">1/D2</f>
        <v>3.5273368606701938E-3</v>
      </c>
      <c r="Q2" s="4">
        <f t="shared" ref="Q2:Q5" si="6">1/H2</f>
        <v>3.5139623799179216E-3</v>
      </c>
      <c r="R2">
        <f>SLOPE(O2:O5,P2:P5)</f>
        <v>-8464.9010749128756</v>
      </c>
      <c r="S2">
        <f>SLOPE(O2:O5,Q2:Q5)</f>
        <v>-8080.2885467408069</v>
      </c>
      <c r="T2">
        <f>100*ABS(S2-R2)/ABS(S2)</f>
        <v>4.7598860603462319</v>
      </c>
    </row>
    <row r="3" spans="1:20" x14ac:dyDescent="0.25">
      <c r="A3" s="27"/>
      <c r="B3" s="27"/>
      <c r="C3" s="1">
        <v>8.4499999999999993</v>
      </c>
      <c r="D3" s="2">
        <v>281.60000000000002</v>
      </c>
      <c r="E3" s="1">
        <v>65.099999999999994</v>
      </c>
      <c r="F3" s="2">
        <v>6.51</v>
      </c>
      <c r="G3" s="2">
        <v>6510000</v>
      </c>
      <c r="H3" s="2">
        <v>282.15739852487923</v>
      </c>
      <c r="I3" s="3">
        <f t="shared" si="0"/>
        <v>-3.7902125882283144E-11</v>
      </c>
      <c r="J3" s="3">
        <f t="shared" si="1"/>
        <v>0.55739852487920416</v>
      </c>
      <c r="K3">
        <f t="shared" si="2"/>
        <v>7.0152268949321086E-6</v>
      </c>
      <c r="O3" s="4">
        <f t="shared" si="4"/>
        <v>1.8733394562204779</v>
      </c>
      <c r="P3" s="4">
        <f t="shared" si="5"/>
        <v>3.5511363636363635E-3</v>
      </c>
      <c r="Q3" s="4">
        <f t="shared" si="6"/>
        <v>3.5441211367414314E-3</v>
      </c>
    </row>
    <row r="4" spans="1:20" x14ac:dyDescent="0.25">
      <c r="A4" s="27"/>
      <c r="B4" s="27"/>
      <c r="C4" s="1">
        <v>5.35</v>
      </c>
      <c r="D4" s="2">
        <v>278.5</v>
      </c>
      <c r="E4" s="1">
        <v>50.4</v>
      </c>
      <c r="F4" s="1">
        <v>5.4</v>
      </c>
      <c r="G4" s="2">
        <v>5040000</v>
      </c>
      <c r="H4" s="2">
        <v>280.38137287203091</v>
      </c>
      <c r="I4" s="3">
        <f t="shared" si="0"/>
        <v>2.1903368008224788E-11</v>
      </c>
      <c r="J4" s="3">
        <f t="shared" si="1"/>
        <v>1.8813728720309086</v>
      </c>
      <c r="K4">
        <f t="shared" si="2"/>
        <v>2.4093534767981797E-5</v>
      </c>
      <c r="O4" s="4">
        <f t="shared" si="4"/>
        <v>1.6863989535702288</v>
      </c>
      <c r="P4" s="4">
        <f t="shared" si="5"/>
        <v>3.5906642728904849E-3</v>
      </c>
      <c r="Q4" s="4">
        <f t="shared" si="6"/>
        <v>3.566570738122503E-3</v>
      </c>
    </row>
    <row r="5" spans="1:20" x14ac:dyDescent="0.25">
      <c r="A5" s="27"/>
      <c r="B5" s="27"/>
      <c r="C5" s="1">
        <v>2.75</v>
      </c>
      <c r="D5" s="2">
        <v>275.89999999999998</v>
      </c>
      <c r="E5" s="1">
        <v>35.299999999999997</v>
      </c>
      <c r="F5" s="2">
        <v>3.53</v>
      </c>
      <c r="G5" s="2">
        <v>3530000</v>
      </c>
      <c r="H5" s="2">
        <v>276.07742203367349</v>
      </c>
      <c r="I5" s="3">
        <f t="shared" si="0"/>
        <v>3.5749181392930041E-12</v>
      </c>
      <c r="J5" s="3">
        <f t="shared" si="1"/>
        <v>0.17742203367350839</v>
      </c>
      <c r="K5">
        <f t="shared" si="2"/>
        <v>2.3292975053610084E-6</v>
      </c>
      <c r="O5" s="4">
        <f t="shared" si="4"/>
        <v>1.2612978709452054</v>
      </c>
      <c r="P5" s="4">
        <f t="shared" si="5"/>
        <v>3.6245016310257343E-3</v>
      </c>
      <c r="Q5" s="4">
        <f t="shared" si="6"/>
        <v>3.6221723335203731E-3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L1" workbookViewId="0">
      <selection activeCell="R13" sqref="R13"/>
    </sheetView>
  </sheetViews>
  <sheetFormatPr defaultRowHeight="15" x14ac:dyDescent="0.25"/>
  <cols>
    <col min="1" max="1" width="19.7109375" bestFit="1" customWidth="1"/>
    <col min="2" max="2" width="14.71093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48</v>
      </c>
      <c r="B2" s="26" t="s">
        <v>50</v>
      </c>
      <c r="C2" s="1">
        <v>11.15</v>
      </c>
      <c r="D2" s="2">
        <v>284.3</v>
      </c>
      <c r="E2" s="1">
        <v>80.5</v>
      </c>
      <c r="F2" s="1">
        <v>8.5</v>
      </c>
      <c r="G2" s="2">
        <v>8050000</v>
      </c>
      <c r="H2" s="2">
        <v>284.57902842536811</v>
      </c>
      <c r="I2" s="3">
        <f t="shared" ref="I2:I5" si="0">F2-10^(-4646.471 +5314653/H2 -2271392000/H2^2 +430306500000/H2^3 -30511740000000/H2^4)</f>
        <v>-9.0016882836607692E-11</v>
      </c>
      <c r="J2" s="3">
        <f t="shared" ref="J2:J5" si="1">H2-D2</f>
        <v>0.27902842536809658</v>
      </c>
      <c r="K2">
        <f>(H2-D2)/(H2*D2)</f>
        <v>3.4488054508297467E-6</v>
      </c>
      <c r="L2">
        <f>_xlfn.STDEV.S(K2:K5)</f>
        <v>9.1001538362924893E-6</v>
      </c>
      <c r="M2">
        <f>AVERAGE(K2:K5)</f>
        <v>3.1044344106556293E-6</v>
      </c>
      <c r="N2">
        <f t="shared" ref="N2" si="2">100*L2/M2</f>
        <v>293.13403449778849</v>
      </c>
      <c r="O2" s="4">
        <f t="shared" ref="O2:O5" si="3">LN(F2)</f>
        <v>2.1400661634962708</v>
      </c>
      <c r="P2" s="4">
        <f t="shared" ref="P2:P5" si="4">1/D2</f>
        <v>3.5174111853675692E-3</v>
      </c>
      <c r="Q2" s="4">
        <f t="shared" ref="Q2:Q5" si="5">1/H2</f>
        <v>3.5139623799167394E-3</v>
      </c>
      <c r="R2">
        <f>SLOPE(O2:O5,P2:P5)</f>
        <v>-8521.7304126810795</v>
      </c>
      <c r="S2">
        <f t="shared" ref="S2" si="6">SLOPE(O2:O5,Q2:Q5)</f>
        <v>-8080.2885466586113</v>
      </c>
      <c r="T2">
        <f t="shared" ref="T2" si="7">100*ABS(S2-R2)/ABS(S2)</f>
        <v>5.4631943336357072</v>
      </c>
    </row>
    <row r="3" spans="1:20" x14ac:dyDescent="0.25">
      <c r="A3" s="27"/>
      <c r="B3" s="27"/>
      <c r="C3" s="1">
        <v>8.9499999999999993</v>
      </c>
      <c r="D3" s="2">
        <v>282.10000000000002</v>
      </c>
      <c r="E3" s="1">
        <v>65.099999999999994</v>
      </c>
      <c r="F3" s="2">
        <v>6.51</v>
      </c>
      <c r="G3" s="2">
        <v>6510000</v>
      </c>
      <c r="H3" s="2">
        <v>282.15739852487678</v>
      </c>
      <c r="I3" s="3">
        <f t="shared" si="0"/>
        <v>1.6631140908884845E-11</v>
      </c>
      <c r="J3" s="3">
        <f t="shared" si="1"/>
        <v>5.7398524876759893E-2</v>
      </c>
      <c r="K3">
        <f t="shared" ref="K3:K5" si="8">(H3-D3)/(H3*D3)</f>
        <v>7.2111777821164598E-7</v>
      </c>
      <c r="O3" s="4">
        <f t="shared" si="3"/>
        <v>1.8733394562204779</v>
      </c>
      <c r="P3" s="4">
        <f t="shared" si="4"/>
        <v>3.5448422545196734E-3</v>
      </c>
      <c r="Q3" s="4">
        <f t="shared" si="5"/>
        <v>3.5441211367414618E-3</v>
      </c>
    </row>
    <row r="4" spans="1:20" x14ac:dyDescent="0.25">
      <c r="A4" s="27"/>
      <c r="B4" s="27"/>
      <c r="C4" s="1">
        <v>6.05</v>
      </c>
      <c r="D4" s="2">
        <v>279.2</v>
      </c>
      <c r="E4" s="1">
        <v>50.4</v>
      </c>
      <c r="F4" s="1">
        <v>5.4</v>
      </c>
      <c r="G4" s="2">
        <v>5040000</v>
      </c>
      <c r="H4" s="2">
        <v>280.38137287208059</v>
      </c>
      <c r="I4" s="3">
        <f t="shared" si="0"/>
        <v>-1.2023271267480595E-11</v>
      </c>
      <c r="J4" s="3">
        <f t="shared" si="1"/>
        <v>1.1813728720806012</v>
      </c>
      <c r="K4">
        <f t="shared" si="8"/>
        <v>1.509115299560768E-5</v>
      </c>
      <c r="O4" s="4">
        <f t="shared" si="3"/>
        <v>1.6863989535702288</v>
      </c>
      <c r="P4" s="4">
        <f t="shared" si="4"/>
        <v>3.5816618911174787E-3</v>
      </c>
      <c r="Q4" s="4">
        <f t="shared" si="5"/>
        <v>3.5665707381218712E-3</v>
      </c>
    </row>
    <row r="5" spans="1:20" x14ac:dyDescent="0.25">
      <c r="A5" s="27"/>
      <c r="B5" s="27"/>
      <c r="C5" s="1">
        <v>3.45</v>
      </c>
      <c r="D5" s="2">
        <v>276.60000000000002</v>
      </c>
      <c r="E5" s="1">
        <v>35.299999999999997</v>
      </c>
      <c r="F5" s="2">
        <v>3.53</v>
      </c>
      <c r="G5" s="2">
        <v>3530000</v>
      </c>
      <c r="H5" s="2">
        <v>276.07742203365882</v>
      </c>
      <c r="I5" s="3">
        <f t="shared" si="0"/>
        <v>1.8359980202831139E-11</v>
      </c>
      <c r="J5" s="3">
        <f t="shared" si="1"/>
        <v>-0.52257796634120268</v>
      </c>
      <c r="K5">
        <f t="shared" si="8"/>
        <v>-6.8433385820265568E-6</v>
      </c>
      <c r="O5" s="4">
        <f t="shared" si="3"/>
        <v>1.2612978709452054</v>
      </c>
      <c r="P5" s="4">
        <f t="shared" si="4"/>
        <v>3.6153289949385392E-3</v>
      </c>
      <c r="Q5" s="4">
        <f t="shared" si="5"/>
        <v>3.6221723335205657E-3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sqref="A1:T5"/>
    </sheetView>
  </sheetViews>
  <sheetFormatPr defaultRowHeight="15" x14ac:dyDescent="0.25"/>
  <cols>
    <col min="1" max="1" width="19.710937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48</v>
      </c>
      <c r="B2" s="26" t="s">
        <v>51</v>
      </c>
      <c r="C2" s="1">
        <v>10.35</v>
      </c>
      <c r="D2" s="2">
        <v>283.5</v>
      </c>
      <c r="E2" s="1">
        <v>80.5</v>
      </c>
      <c r="F2" s="1">
        <v>8.5</v>
      </c>
      <c r="G2" s="2">
        <v>8050000</v>
      </c>
      <c r="H2" s="2">
        <v>284.57902842532161</v>
      </c>
      <c r="I2" s="3">
        <f t="shared" ref="I2:I5" si="0">F2-10^(-4646.471 +5314653/H2 -2271392000/H2^2 +430306500000/H2^3 -30511740000000/H2^4)</f>
        <v>-1.8813395286088053E-11</v>
      </c>
      <c r="J2" s="3">
        <f t="shared" ref="J2:J5" si="1">H2-D2</f>
        <v>1.07902842532161</v>
      </c>
      <c r="K2">
        <f>(H2-D2)/(H2*D2)</f>
        <v>1.3374480752880269E-5</v>
      </c>
      <c r="L2">
        <f>_xlfn.STDEV.S(K2:K5)</f>
        <v>9.4191421200531281E-6</v>
      </c>
      <c r="M2">
        <f t="shared" ref="M2" si="2">AVERAGE(K2:K5)</f>
        <v>1.1703134980565151E-5</v>
      </c>
      <c r="N2">
        <f t="shared" ref="N2" si="3">100*L2/M2</f>
        <v>80.483922775350848</v>
      </c>
      <c r="O2" s="4">
        <f t="shared" ref="O2:O5" si="4">LN(F2)</f>
        <v>2.1400661634962708</v>
      </c>
      <c r="P2" s="4">
        <f t="shared" ref="P2:P5" si="5">1/D2</f>
        <v>3.5273368606701938E-3</v>
      </c>
      <c r="Q2" s="4">
        <f t="shared" ref="Q2:Q5" si="6">1/H2</f>
        <v>3.5139623799173136E-3</v>
      </c>
      <c r="R2">
        <f>SLOPE(O2:O5,P2:P5)</f>
        <v>-8464.9010749128756</v>
      </c>
      <c r="S2">
        <f>SLOPE(O2:O5,Q2:Q5)</f>
        <v>-8080.2885467368351</v>
      </c>
      <c r="T2">
        <f t="shared" ref="T2" si="7">100*ABS(S2-R2)/ABS(S2)</f>
        <v>4.7598860603977249</v>
      </c>
    </row>
    <row r="3" spans="1:20" x14ac:dyDescent="0.25">
      <c r="A3" s="27"/>
      <c r="B3" s="27"/>
      <c r="C3" s="1">
        <v>8.4499999999999993</v>
      </c>
      <c r="D3" s="2">
        <v>281.60000000000002</v>
      </c>
      <c r="E3" s="1">
        <v>65.099999999999994</v>
      </c>
      <c r="F3" s="2">
        <v>6.51</v>
      </c>
      <c r="G3" s="2">
        <v>6510000</v>
      </c>
      <c r="H3" s="2">
        <v>282.15739852486604</v>
      </c>
      <c r="I3" s="3">
        <f t="shared" si="0"/>
        <v>5.7530868957655912E-11</v>
      </c>
      <c r="J3" s="3">
        <f t="shared" si="1"/>
        <v>0.55739852486601649</v>
      </c>
      <c r="K3">
        <f t="shared" ref="K3:K5" si="8">(H3-D3)/(H3*D3)</f>
        <v>7.0152268947664603E-6</v>
      </c>
      <c r="O3" s="4">
        <f t="shared" si="4"/>
        <v>1.8733394562204779</v>
      </c>
      <c r="P3" s="4">
        <f t="shared" si="5"/>
        <v>3.5511363636363635E-3</v>
      </c>
      <c r="Q3" s="4">
        <f t="shared" si="6"/>
        <v>3.5441211367415967E-3</v>
      </c>
    </row>
    <row r="4" spans="1:20" x14ac:dyDescent="0.25">
      <c r="A4" s="27"/>
      <c r="B4" s="27"/>
      <c r="C4" s="1">
        <v>5.35</v>
      </c>
      <c r="D4" s="2">
        <v>278.5</v>
      </c>
      <c r="E4" s="1">
        <v>50.4</v>
      </c>
      <c r="F4" s="1">
        <v>5.4</v>
      </c>
      <c r="G4" s="2">
        <v>5040000</v>
      </c>
      <c r="H4" s="2">
        <v>280.38137287210679</v>
      </c>
      <c r="I4" s="3">
        <f t="shared" si="0"/>
        <v>-6.8566485822429968E-11</v>
      </c>
      <c r="J4" s="3">
        <f t="shared" si="1"/>
        <v>1.8813728721067946</v>
      </c>
      <c r="K4">
        <f t="shared" si="8"/>
        <v>2.4093534768947099E-5</v>
      </c>
      <c r="O4" s="4">
        <f t="shared" si="4"/>
        <v>1.6863989535702288</v>
      </c>
      <c r="P4" s="4">
        <f t="shared" si="5"/>
        <v>3.5906642728904849E-3</v>
      </c>
      <c r="Q4" s="4">
        <f t="shared" si="6"/>
        <v>3.5665707381215377E-3</v>
      </c>
    </row>
    <row r="5" spans="1:20" x14ac:dyDescent="0.25">
      <c r="A5" s="27"/>
      <c r="B5" s="27"/>
      <c r="C5" s="1">
        <v>2.75</v>
      </c>
      <c r="D5" s="2">
        <v>275.89999999999998</v>
      </c>
      <c r="E5" s="1">
        <v>35.299999999999997</v>
      </c>
      <c r="F5" s="2">
        <v>3.53</v>
      </c>
      <c r="G5" s="2">
        <v>3530000</v>
      </c>
      <c r="H5" s="2">
        <v>276.07742203369679</v>
      </c>
      <c r="I5" s="3">
        <f t="shared" si="0"/>
        <v>-2.5995650076993115E-11</v>
      </c>
      <c r="J5" s="3">
        <f t="shared" si="1"/>
        <v>0.1774220336968142</v>
      </c>
      <c r="K5">
        <f t="shared" si="8"/>
        <v>2.3292975056667835E-6</v>
      </c>
      <c r="O5" s="4">
        <f t="shared" si="4"/>
        <v>1.2612978709452054</v>
      </c>
      <c r="P5" s="4">
        <f t="shared" si="5"/>
        <v>3.6245016310257343E-3</v>
      </c>
      <c r="Q5" s="4">
        <f t="shared" si="6"/>
        <v>3.6221723335200674E-3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L1" workbookViewId="0">
      <selection sqref="A1:T5"/>
    </sheetView>
  </sheetViews>
  <sheetFormatPr defaultRowHeight="15" x14ac:dyDescent="0.25"/>
  <cols>
    <col min="1" max="1" width="19.710937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52</v>
      </c>
      <c r="B2" s="26" t="s">
        <v>53</v>
      </c>
      <c r="C2" s="2">
        <f>D2-273.15</f>
        <v>3.0500000000000114</v>
      </c>
      <c r="D2">
        <v>276.2</v>
      </c>
      <c r="E2" s="2">
        <f>F2*10</f>
        <v>35</v>
      </c>
      <c r="F2">
        <v>3.5</v>
      </c>
      <c r="G2" s="2">
        <f>F2*10^6</f>
        <v>3500000</v>
      </c>
      <c r="H2">
        <v>275.98747179076429</v>
      </c>
      <c r="I2" s="3">
        <f t="shared" ref="I2:I5" si="0">F2-10^(-4646.471 +5314653/H2 -2271392000/H2^2 +430306500000/H2^3 -30511740000000/H2^4)</f>
        <v>-2.5826452088040242E-11</v>
      </c>
      <c r="J2" s="3">
        <f t="shared" ref="J2:J5" si="1">H2-D2</f>
        <v>-0.21252820923569971</v>
      </c>
      <c r="K2">
        <f>(H2-D2)/(H2*D2)</f>
        <v>-2.7880691471125563E-6</v>
      </c>
      <c r="L2">
        <f>_xlfn.STDEV.S(K2:K5)</f>
        <v>4.6052528865098818E-6</v>
      </c>
      <c r="M2">
        <f>AVERAGE(K2:K5)</f>
        <v>2.1678218157341864E-6</v>
      </c>
      <c r="N2">
        <f t="shared" ref="N2" si="2">100*L2/M2</f>
        <v>212.43687341296541</v>
      </c>
      <c r="O2" s="4">
        <f t="shared" ref="O2:O5" si="3">LN(F2)</f>
        <v>1.2527629684953681</v>
      </c>
      <c r="P2" s="4">
        <f t="shared" ref="P2:P5" si="4">1/D2</f>
        <v>3.6205648081100651E-3</v>
      </c>
      <c r="Q2" s="4">
        <f t="shared" ref="Q2:Q5" si="5">1/H2</f>
        <v>3.6233528772571777E-3</v>
      </c>
      <c r="R2">
        <f>SLOPE(O2:O5,P2:P5)</f>
        <v>-8152.0098046003905</v>
      </c>
      <c r="S2">
        <f>SLOPE(O2:O5,Q2:Q5)</f>
        <v>-8018.9609563847162</v>
      </c>
      <c r="T2">
        <f t="shared" ref="T2" si="6">100*ABS(S2-R2)/ABS(S2)</f>
        <v>1.6591781521238169</v>
      </c>
    </row>
    <row r="3" spans="1:20" x14ac:dyDescent="0.25">
      <c r="A3" s="26"/>
      <c r="B3" s="26"/>
      <c r="C3" s="2">
        <f t="shared" ref="C3:C5" si="7">D3-273.15</f>
        <v>5.5500000000000114</v>
      </c>
      <c r="D3">
        <v>278.7</v>
      </c>
      <c r="E3" s="2">
        <f t="shared" ref="E3:E5" si="8">F3*10</f>
        <v>48.5</v>
      </c>
      <c r="F3">
        <v>4.8499999999999996</v>
      </c>
      <c r="G3" s="2">
        <f t="shared" ref="G3:G5" si="9">F3*10^6</f>
        <v>4850000</v>
      </c>
      <c r="H3">
        <v>279.32861083092621</v>
      </c>
      <c r="I3" s="3">
        <f t="shared" si="0"/>
        <v>2.5586643914721208E-11</v>
      </c>
      <c r="J3" s="3">
        <f t="shared" si="1"/>
        <v>0.62861083092622039</v>
      </c>
      <c r="K3">
        <f t="shared" ref="K3:K5" si="10">(H3-D3)/(H3*D3)</f>
        <v>8.0747571439772306E-6</v>
      </c>
      <c r="O3" s="4">
        <f t="shared" si="3"/>
        <v>1.5789787049493917</v>
      </c>
      <c r="P3" s="4">
        <f t="shared" si="4"/>
        <v>3.5880875493362039E-3</v>
      </c>
      <c r="Q3" s="4">
        <f t="shared" si="5"/>
        <v>3.5800127921922268E-3</v>
      </c>
    </row>
    <row r="4" spans="1:20" x14ac:dyDescent="0.25">
      <c r="A4" s="26"/>
      <c r="B4" s="26"/>
      <c r="C4" s="2">
        <f t="shared" si="7"/>
        <v>8.75</v>
      </c>
      <c r="D4">
        <v>281.89999999999998</v>
      </c>
      <c r="E4" s="2">
        <f t="shared" si="8"/>
        <v>65</v>
      </c>
      <c r="F4">
        <v>6.5</v>
      </c>
      <c r="G4" s="2">
        <f t="shared" si="9"/>
        <v>6500000</v>
      </c>
      <c r="H4">
        <v>282.14307294952278</v>
      </c>
      <c r="I4" s="3">
        <f t="shared" si="0"/>
        <v>4.4076742256038415E-11</v>
      </c>
      <c r="J4" s="3">
        <f t="shared" si="1"/>
        <v>0.2430729495227979</v>
      </c>
      <c r="K4">
        <f t="shared" si="10"/>
        <v>3.0561323841413503E-6</v>
      </c>
      <c r="O4" s="4">
        <f t="shared" si="3"/>
        <v>1.8718021769015913</v>
      </c>
      <c r="P4" s="4">
        <f t="shared" si="4"/>
        <v>3.5473572188719407E-3</v>
      </c>
      <c r="Q4" s="4">
        <f t="shared" si="5"/>
        <v>3.5443010864877993E-3</v>
      </c>
    </row>
    <row r="5" spans="1:20" x14ac:dyDescent="0.25">
      <c r="A5" s="26"/>
      <c r="B5" s="26"/>
      <c r="C5" s="2">
        <f t="shared" si="7"/>
        <v>10.75</v>
      </c>
      <c r="D5">
        <v>283.89999999999998</v>
      </c>
      <c r="E5" s="2">
        <f t="shared" si="8"/>
        <v>79</v>
      </c>
      <c r="F5">
        <v>7.9</v>
      </c>
      <c r="G5" s="2">
        <f t="shared" si="9"/>
        <v>7900000</v>
      </c>
      <c r="H5">
        <v>283.92647664018773</v>
      </c>
      <c r="I5" s="3">
        <f t="shared" si="0"/>
        <v>-3.9883651936634124E-11</v>
      </c>
      <c r="J5" s="3">
        <f t="shared" si="1"/>
        <v>2.6476640187752309E-2</v>
      </c>
      <c r="K5">
        <f t="shared" si="10"/>
        <v>3.2846688193072191E-7</v>
      </c>
      <c r="O5" s="4">
        <f t="shared" si="3"/>
        <v>2.066862759472976</v>
      </c>
      <c r="P5" s="4">
        <f t="shared" si="4"/>
        <v>3.5223670306445934E-3</v>
      </c>
      <c r="Q5" s="4">
        <f t="shared" si="5"/>
        <v>3.5220385637626628E-3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M1" workbookViewId="0">
      <selection sqref="A1:T5"/>
    </sheetView>
  </sheetViews>
  <sheetFormatPr defaultRowHeight="15" x14ac:dyDescent="0.25"/>
  <cols>
    <col min="1" max="1" width="19.710937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52</v>
      </c>
      <c r="B2" s="26" t="s">
        <v>54</v>
      </c>
      <c r="C2" s="2">
        <f t="shared" ref="C2:C5" si="0">D2-273.15</f>
        <v>2.8500000000000227</v>
      </c>
      <c r="D2">
        <v>276</v>
      </c>
      <c r="E2" s="2">
        <f t="shared" ref="E2:E5" si="1">F2*10</f>
        <v>35</v>
      </c>
      <c r="F2">
        <v>3.5</v>
      </c>
      <c r="G2" s="2">
        <f t="shared" ref="G2:G5" si="2">F2*10^6</f>
        <v>3500000</v>
      </c>
      <c r="H2">
        <v>275.98747179139241</v>
      </c>
      <c r="I2" s="3">
        <f t="shared" ref="I2:I5" si="3">F2-10^(-4646.471 +5314653/H2 -2271392000/H2^2 +430306500000/H2^3 -30511740000000/H2^4)</f>
        <v>-2.8236435412054561E-10</v>
      </c>
      <c r="J2" s="3">
        <f t="shared" ref="J2:J5" si="4">H2-D2</f>
        <v>-1.2528208607591296E-2</v>
      </c>
      <c r="K2">
        <f t="shared" ref="K2:K5" si="5">(H2-D2)/(H2*D2)</f>
        <v>-1.6447145183003896E-7</v>
      </c>
      <c r="L2">
        <f>_xlfn.STDEV.S(K2:K5)</f>
        <v>4.887343259426931E-6</v>
      </c>
      <c r="M2">
        <f>AVERAGE(K2:K5)</f>
        <v>5.265741730977569E-6</v>
      </c>
      <c r="N2">
        <f>100*L2/M2</f>
        <v>92.813956876681274</v>
      </c>
      <c r="O2" s="4">
        <f t="shared" ref="O2:O5" si="6">LN(F2)</f>
        <v>1.2527629684953681</v>
      </c>
      <c r="P2" s="4">
        <f t="shared" ref="P2:P5" si="7">1/D2</f>
        <v>3.6231884057971015E-3</v>
      </c>
      <c r="Q2" s="4">
        <f t="shared" ref="Q2:Q5" si="8">1/H2</f>
        <v>3.6233528772489313E-3</v>
      </c>
      <c r="R2">
        <f>SLOPE(O2:O5,P2:P5)</f>
        <v>-8204.5679726152575</v>
      </c>
      <c r="S2">
        <f>SLOPE(O2:O5,Q2:Q5)</f>
        <v>-8020.1792170610743</v>
      </c>
      <c r="T2">
        <f t="shared" ref="T2" si="9">100*ABS(S2-R2)/ABS(S2)</f>
        <v>2.2990602898491206</v>
      </c>
    </row>
    <row r="3" spans="1:20" x14ac:dyDescent="0.25">
      <c r="A3" s="26"/>
      <c r="B3" s="26"/>
      <c r="C3" s="2">
        <f t="shared" si="0"/>
        <v>5.4500000000000455</v>
      </c>
      <c r="D3">
        <v>278.60000000000002</v>
      </c>
      <c r="E3" s="2">
        <f t="shared" si="1"/>
        <v>49.3</v>
      </c>
      <c r="F3">
        <v>4.93</v>
      </c>
      <c r="G3" s="2">
        <f t="shared" si="2"/>
        <v>4930000</v>
      </c>
      <c r="H3">
        <v>279.49050262359646</v>
      </c>
      <c r="I3" s="3">
        <f t="shared" si="3"/>
        <v>-1.538955629598604E-10</v>
      </c>
      <c r="J3" s="3">
        <f t="shared" si="4"/>
        <v>0.89050262359643284</v>
      </c>
      <c r="K3">
        <f t="shared" si="5"/>
        <v>1.1436339425170579E-5</v>
      </c>
      <c r="O3" s="4">
        <f t="shared" si="6"/>
        <v>1.5953389880545987</v>
      </c>
      <c r="P3" s="4">
        <f t="shared" si="7"/>
        <v>3.5893754486719309E-3</v>
      </c>
      <c r="Q3" s="4">
        <f t="shared" si="8"/>
        <v>3.5779391092467601E-3</v>
      </c>
    </row>
    <row r="4" spans="1:20" x14ac:dyDescent="0.25">
      <c r="A4" s="26"/>
      <c r="B4" s="26"/>
      <c r="C4" s="2">
        <f t="shared" si="0"/>
        <v>8.3500000000000227</v>
      </c>
      <c r="D4">
        <v>281.5</v>
      </c>
      <c r="E4" s="2">
        <f t="shared" si="1"/>
        <v>64</v>
      </c>
      <c r="F4">
        <v>6.4</v>
      </c>
      <c r="G4" s="2">
        <f t="shared" si="2"/>
        <v>6400000</v>
      </c>
      <c r="H4">
        <v>281.99834140130969</v>
      </c>
      <c r="I4" s="3">
        <f t="shared" si="3"/>
        <v>-7.4559025620146713E-11</v>
      </c>
      <c r="J4" s="3">
        <f t="shared" si="4"/>
        <v>0.49834140130968763</v>
      </c>
      <c r="K4">
        <f t="shared" si="5"/>
        <v>6.2777210781855803E-6</v>
      </c>
      <c r="O4" s="4">
        <f t="shared" si="6"/>
        <v>1.8562979903656263</v>
      </c>
      <c r="P4" s="4">
        <f t="shared" si="7"/>
        <v>3.552397868561279E-3</v>
      </c>
      <c r="Q4" s="4">
        <f t="shared" si="8"/>
        <v>3.5461201474830933E-3</v>
      </c>
    </row>
    <row r="5" spans="1:20" x14ac:dyDescent="0.25">
      <c r="A5" s="26"/>
      <c r="B5" s="26"/>
      <c r="C5" s="2">
        <f t="shared" si="0"/>
        <v>10.550000000000011</v>
      </c>
      <c r="D5">
        <v>283.7</v>
      </c>
      <c r="E5" s="2">
        <f t="shared" si="1"/>
        <v>79.5</v>
      </c>
      <c r="F5">
        <v>7.95</v>
      </c>
      <c r="G5" s="2">
        <f t="shared" si="2"/>
        <v>7950000</v>
      </c>
      <c r="H5">
        <v>283.98305877979863</v>
      </c>
      <c r="I5" s="3">
        <f t="shared" si="3"/>
        <v>-4.8633985727519757E-11</v>
      </c>
      <c r="J5" s="3">
        <f t="shared" si="4"/>
        <v>0.28305877979863681</v>
      </c>
      <c r="K5">
        <f t="shared" si="5"/>
        <v>3.513377872384156E-6</v>
      </c>
      <c r="O5" s="4">
        <f t="shared" si="6"/>
        <v>2.0731719286662407</v>
      </c>
      <c r="P5" s="4">
        <f t="shared" si="7"/>
        <v>3.5248501938667607E-3</v>
      </c>
      <c r="Q5" s="4">
        <f t="shared" si="8"/>
        <v>3.5213368159943766E-3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sqref="A1:T6"/>
    </sheetView>
  </sheetViews>
  <sheetFormatPr defaultRowHeight="15" x14ac:dyDescent="0.25"/>
  <cols>
    <col min="1" max="1" width="19.7109375" bestFit="1" customWidth="1"/>
    <col min="2" max="2" width="17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52</v>
      </c>
      <c r="B2" s="26" t="s">
        <v>55</v>
      </c>
      <c r="C2" s="2">
        <f t="shared" ref="C2:C5" si="0">D2-273.15</f>
        <v>2.6500000000000341</v>
      </c>
      <c r="D2">
        <v>275.8</v>
      </c>
      <c r="E2" s="2">
        <f t="shared" ref="E2:E5" si="1">F2*10</f>
        <v>36.200000000000003</v>
      </c>
      <c r="F2">
        <v>3.62</v>
      </c>
      <c r="G2" s="2">
        <f t="shared" ref="G2:G5" si="2">F2*10^6</f>
        <v>3620000</v>
      </c>
      <c r="H2">
        <v>276.34205510793896</v>
      </c>
      <c r="I2" s="3">
        <f t="shared" ref="I2:I5" si="3">F2-10^(-4646.471 +5314653/H2 -2271392000/H2^2 +430306500000/H2^3 -30511740000000/H2^4)</f>
        <v>-3.1595082106150585E-10</v>
      </c>
      <c r="J2" s="3">
        <f t="shared" ref="J2:J5" si="4">H2-D2</f>
        <v>0.54205510793894973</v>
      </c>
      <c r="K2">
        <f t="shared" ref="K2:K5" si="5">(H2-D2)/(H2*D2)</f>
        <v>7.1121711051413952E-6</v>
      </c>
      <c r="L2">
        <f>_xlfn.STDEV.S(K2:K5)</f>
        <v>3.3495209735661268E-6</v>
      </c>
      <c r="M2">
        <f>AVERAGE(K2:K5)</f>
        <v>1.0092192130285444E-5</v>
      </c>
      <c r="N2">
        <f t="shared" ref="N2" si="6">100*L2/M2</f>
        <v>33.189231143495782</v>
      </c>
      <c r="O2" s="4">
        <f t="shared" ref="O2:O5" si="7">LN(F2)</f>
        <v>1.2864740258376797</v>
      </c>
      <c r="P2" s="4">
        <f t="shared" ref="P2:P5" si="8">1/D2</f>
        <v>3.6258158085569251E-3</v>
      </c>
      <c r="Q2" s="4">
        <f t="shared" ref="Q2:Q5" si="9">1/H2</f>
        <v>3.6187036374517837E-3</v>
      </c>
      <c r="R2">
        <f>SLOPE(O2:O5,P2:P5)</f>
        <v>-8077.0065269669976</v>
      </c>
      <c r="S2">
        <f>SLOPE(O2:O5,Q2:Q5)</f>
        <v>-8071.0733294762931</v>
      </c>
      <c r="T2">
        <f t="shared" ref="T2" si="10">100*ABS(S2-R2)/ABS(S2)</f>
        <v>7.351187690286419E-2</v>
      </c>
    </row>
    <row r="3" spans="1:20" x14ac:dyDescent="0.25">
      <c r="A3" s="26"/>
      <c r="B3" s="26"/>
      <c r="C3" s="2">
        <f t="shared" si="0"/>
        <v>5.25</v>
      </c>
      <c r="D3">
        <v>278.39999999999998</v>
      </c>
      <c r="E3" s="2">
        <f t="shared" si="1"/>
        <v>49.5</v>
      </c>
      <c r="F3">
        <v>4.95</v>
      </c>
      <c r="G3" s="2">
        <f t="shared" si="2"/>
        <v>4950000</v>
      </c>
      <c r="H3">
        <v>279.53047863476274</v>
      </c>
      <c r="I3" s="3">
        <f t="shared" si="3"/>
        <v>-6.0949467695081694E-11</v>
      </c>
      <c r="J3" s="3">
        <f t="shared" si="4"/>
        <v>1.1304786347627669</v>
      </c>
      <c r="K3">
        <f t="shared" si="5"/>
        <v>1.4526599388628135E-5</v>
      </c>
      <c r="O3" s="4">
        <f t="shared" si="7"/>
        <v>1.5993875765805989</v>
      </c>
      <c r="P3" s="4">
        <f t="shared" si="8"/>
        <v>3.5919540229885061E-3</v>
      </c>
      <c r="Q3" s="4">
        <f t="shared" si="9"/>
        <v>3.577427423599878E-3</v>
      </c>
    </row>
    <row r="4" spans="1:20" x14ac:dyDescent="0.25">
      <c r="A4" s="26"/>
      <c r="B4" s="26"/>
      <c r="C4" s="2">
        <f t="shared" si="0"/>
        <v>8.25</v>
      </c>
      <c r="D4">
        <v>281.39999999999998</v>
      </c>
      <c r="E4" s="2">
        <f t="shared" si="1"/>
        <v>65.8</v>
      </c>
      <c r="F4">
        <v>6.58</v>
      </c>
      <c r="G4" s="2">
        <f t="shared" si="2"/>
        <v>6580000</v>
      </c>
      <c r="H4">
        <v>282.25694183479459</v>
      </c>
      <c r="I4" s="3">
        <f t="shared" si="3"/>
        <v>-5.5775828400328464E-11</v>
      </c>
      <c r="J4" s="3">
        <f t="shared" si="4"/>
        <v>0.85694183479461117</v>
      </c>
      <c r="K4">
        <f t="shared" si="5"/>
        <v>1.0789035452172923E-5</v>
      </c>
      <c r="O4" s="4">
        <f t="shared" si="7"/>
        <v>1.8840347453372259</v>
      </c>
      <c r="P4" s="4">
        <f t="shared" si="8"/>
        <v>3.5536602700781809E-3</v>
      </c>
      <c r="Q4" s="4">
        <f t="shared" si="9"/>
        <v>3.5428712346260078E-3</v>
      </c>
    </row>
    <row r="5" spans="1:20" x14ac:dyDescent="0.25">
      <c r="A5" s="26"/>
      <c r="B5" s="26"/>
      <c r="C5" s="2">
        <f t="shared" si="0"/>
        <v>10.25</v>
      </c>
      <c r="D5">
        <v>283.39999999999998</v>
      </c>
      <c r="E5" s="2">
        <f t="shared" si="1"/>
        <v>80</v>
      </c>
      <c r="F5">
        <v>8</v>
      </c>
      <c r="G5" s="2">
        <f t="shared" si="2"/>
        <v>8000000</v>
      </c>
      <c r="H5">
        <v>284.03922140398817</v>
      </c>
      <c r="I5" s="3">
        <f t="shared" si="3"/>
        <v>-4.716227408607665E-12</v>
      </c>
      <c r="J5" s="3">
        <f t="shared" si="4"/>
        <v>0.63922140398818783</v>
      </c>
      <c r="K5">
        <f t="shared" si="5"/>
        <v>7.9409625751993273E-6</v>
      </c>
      <c r="O5" s="4">
        <f t="shared" si="7"/>
        <v>2.0794415416798357</v>
      </c>
      <c r="P5" s="4">
        <f t="shared" si="8"/>
        <v>3.5285815102328866E-3</v>
      </c>
      <c r="Q5" s="4">
        <f t="shared" si="9"/>
        <v>3.5206405476576872E-3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B8" sqref="B8"/>
    </sheetView>
  </sheetViews>
  <sheetFormatPr defaultRowHeight="15" x14ac:dyDescent="0.25"/>
  <cols>
    <col min="1" max="1" width="16" bestFit="1" customWidth="1"/>
    <col min="2" max="2" width="19.28515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56</v>
      </c>
      <c r="B2" s="26" t="s">
        <v>57</v>
      </c>
      <c r="C2" s="16">
        <f>D2-273.15</f>
        <v>9.6359000000000492</v>
      </c>
      <c r="D2" s="12">
        <v>282.78590000000003</v>
      </c>
      <c r="E2" s="17">
        <f>F2*10</f>
        <v>75.199999999999989</v>
      </c>
      <c r="F2" s="18">
        <v>7.52</v>
      </c>
      <c r="G2" s="2">
        <f>F2*10^6</f>
        <v>7520000</v>
      </c>
      <c r="H2" s="12">
        <v>283.48208339791256</v>
      </c>
      <c r="I2" s="3">
        <f t="shared" ref="I2:I6" si="0">F2-10^(-4646.471 +5314653/H2 -2271392000/H2^2 +430306500000/H2^3 -30511740000000/H2^4)</f>
        <v>-5.8454574514144042E-11</v>
      </c>
      <c r="J2" s="3">
        <f t="shared" ref="J2:J6" si="1">H2-D2</f>
        <v>0.69618339791253447</v>
      </c>
      <c r="K2">
        <f t="shared" ref="K2:K6" si="2">(H2-D2)/(H2*D2)</f>
        <v>8.6844095283015921E-6</v>
      </c>
      <c r="L2">
        <f>_xlfn.STDEV.S(K2:K6)</f>
        <v>4.5376192861415462E-6</v>
      </c>
      <c r="M2">
        <f>AVERAGE(K2:K6)</f>
        <v>4.5525683047816518E-6</v>
      </c>
      <c r="N2">
        <f t="shared" ref="N2" si="3">100*L2/M2</f>
        <v>99.671635489259884</v>
      </c>
      <c r="O2" s="4">
        <f t="shared" ref="O2:O6" si="4">LN(F2)</f>
        <v>2.0175661379617482</v>
      </c>
      <c r="P2" s="4">
        <f t="shared" ref="P2:P6" si="5">1/D2</f>
        <v>3.5362442045377791E-3</v>
      </c>
      <c r="Q2" s="4">
        <f t="shared" ref="Q2:Q6" si="6">1/H2</f>
        <v>3.5275597950094775E-3</v>
      </c>
      <c r="R2">
        <f>SLOPE(O2:O6,P2:P6)</f>
        <v>-8658.179220501208</v>
      </c>
      <c r="S2">
        <f>SLOPE(O2:O6,Q2:Q6)</f>
        <v>-8091.7787404456185</v>
      </c>
      <c r="T2">
        <f t="shared" ref="T2" si="7">100*ABS(S2-R2)/ABS(S2)</f>
        <v>6.9997030099762396</v>
      </c>
    </row>
    <row r="3" spans="1:20" x14ac:dyDescent="0.25">
      <c r="A3" s="26"/>
      <c r="B3" s="26"/>
      <c r="C3" s="16">
        <f t="shared" ref="C3:C6" si="8">D3-273.15</f>
        <v>9.0361000000000331</v>
      </c>
      <c r="D3" s="12">
        <v>282.18610000000001</v>
      </c>
      <c r="E3" s="17">
        <f t="shared" ref="E3:E6" si="9">F3*10</f>
        <v>69.2</v>
      </c>
      <c r="F3" s="18">
        <v>6.92</v>
      </c>
      <c r="G3" s="2">
        <f t="shared" ref="G3:G6" si="10">F3*10^6</f>
        <v>6920000</v>
      </c>
      <c r="H3" s="12">
        <v>282.7229745200313</v>
      </c>
      <c r="I3" s="3">
        <f t="shared" si="0"/>
        <v>-3.3510083596866025E-11</v>
      </c>
      <c r="J3" s="3">
        <f t="shared" si="1"/>
        <v>0.5368745200312901</v>
      </c>
      <c r="K3">
        <f t="shared" si="2"/>
        <v>6.7293958218763508E-6</v>
      </c>
      <c r="O3" s="4">
        <f t="shared" si="4"/>
        <v>1.9344157696295783</v>
      </c>
      <c r="P3" s="4">
        <f t="shared" si="5"/>
        <v>3.5437606600750354E-3</v>
      </c>
      <c r="Q3" s="4">
        <f t="shared" si="6"/>
        <v>3.5370312642531592E-3</v>
      </c>
    </row>
    <row r="4" spans="1:20" x14ac:dyDescent="0.25">
      <c r="A4" s="26"/>
      <c r="B4" s="26"/>
      <c r="C4" s="16">
        <f t="shared" si="8"/>
        <v>7.7367000000000417</v>
      </c>
      <c r="D4" s="12">
        <v>280.88670000000002</v>
      </c>
      <c r="E4" s="17">
        <f t="shared" si="9"/>
        <v>59.900000000000006</v>
      </c>
      <c r="F4" s="18">
        <v>5.99</v>
      </c>
      <c r="G4" s="2">
        <f t="shared" si="10"/>
        <v>5990000</v>
      </c>
      <c r="H4" s="12">
        <v>281.37507544458276</v>
      </c>
      <c r="I4" s="3">
        <f t="shared" si="0"/>
        <v>-1.0041656395287646E-10</v>
      </c>
      <c r="J4" s="3">
        <f t="shared" si="1"/>
        <v>0.48837544458274351</v>
      </c>
      <c r="K4">
        <f t="shared" si="2"/>
        <v>6.1792678288440641E-6</v>
      </c>
      <c r="O4" s="4">
        <f t="shared" si="4"/>
        <v>1.7900914121273581</v>
      </c>
      <c r="P4" s="4">
        <f t="shared" si="5"/>
        <v>3.5601543255697047E-3</v>
      </c>
      <c r="Q4" s="4">
        <f t="shared" si="6"/>
        <v>3.5539750577408603E-3</v>
      </c>
    </row>
    <row r="5" spans="1:20" x14ac:dyDescent="0.25">
      <c r="A5" s="26"/>
      <c r="B5" s="26"/>
      <c r="C5" s="16">
        <f t="shared" si="8"/>
        <v>6.4372000000000185</v>
      </c>
      <c r="D5" s="12">
        <v>279.5872</v>
      </c>
      <c r="E5" s="17">
        <f t="shared" si="9"/>
        <v>48.6</v>
      </c>
      <c r="F5" s="18">
        <v>4.8600000000000003</v>
      </c>
      <c r="G5" s="2">
        <f t="shared" si="10"/>
        <v>4860000</v>
      </c>
      <c r="H5" s="12">
        <v>279.34902356726832</v>
      </c>
      <c r="I5" s="3">
        <f t="shared" si="0"/>
        <v>-1.7684875786017074E-10</v>
      </c>
      <c r="J5" s="3">
        <f t="shared" si="1"/>
        <v>-0.23817643273167732</v>
      </c>
      <c r="K5">
        <f t="shared" si="2"/>
        <v>-3.0495400679757552E-6</v>
      </c>
      <c r="O5" s="4">
        <f t="shared" si="4"/>
        <v>1.5810384379124025</v>
      </c>
      <c r="P5" s="4">
        <f t="shared" si="5"/>
        <v>3.5767016515777547E-3</v>
      </c>
      <c r="Q5" s="4">
        <f t="shared" si="6"/>
        <v>3.5797511916457305E-3</v>
      </c>
    </row>
    <row r="6" spans="1:20" x14ac:dyDescent="0.25">
      <c r="A6" s="26"/>
      <c r="B6" s="26"/>
      <c r="C6" s="16">
        <f t="shared" si="8"/>
        <v>3.5384000000000242</v>
      </c>
      <c r="D6" s="12">
        <v>276.6884</v>
      </c>
      <c r="E6" s="17">
        <f t="shared" si="9"/>
        <v>38.6</v>
      </c>
      <c r="F6" s="19">
        <v>3.86</v>
      </c>
      <c r="G6" s="2">
        <f t="shared" si="10"/>
        <v>3860000</v>
      </c>
      <c r="H6" s="12">
        <v>277.01179290062913</v>
      </c>
      <c r="I6" s="3">
        <f t="shared" si="0"/>
        <v>-2.071196547603904E-10</v>
      </c>
      <c r="J6" s="3">
        <f t="shared" si="1"/>
        <v>0.32339290062913051</v>
      </c>
      <c r="K6">
        <f t="shared" si="2"/>
        <v>4.2193084128620043E-6</v>
      </c>
      <c r="O6" s="4">
        <f t="shared" si="4"/>
        <v>1.3506671834767394</v>
      </c>
      <c r="P6" s="4">
        <f t="shared" si="5"/>
        <v>3.6141739227231787E-3</v>
      </c>
      <c r="Q6" s="4">
        <f t="shared" si="6"/>
        <v>3.6099546143103169E-3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sqref="A1:T4"/>
    </sheetView>
  </sheetViews>
  <sheetFormatPr defaultRowHeight="15" x14ac:dyDescent="0.25"/>
  <cols>
    <col min="1" max="1" width="19.140625" bestFit="1" customWidth="1"/>
    <col min="2" max="2" width="16.5703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2</v>
      </c>
      <c r="B2" s="30" t="s">
        <v>27</v>
      </c>
      <c r="C2" s="1">
        <v>6.93</v>
      </c>
      <c r="D2" s="2">
        <v>280.08</v>
      </c>
      <c r="E2" s="1">
        <v>62.91</v>
      </c>
      <c r="F2" s="1">
        <v>6.2910000000000004</v>
      </c>
      <c r="G2" s="2">
        <v>6291000</v>
      </c>
      <c r="H2" s="2">
        <v>281.83744762056403</v>
      </c>
      <c r="I2" s="3">
        <f t="shared" ref="I2:I4" si="0">F2-10^(-4646.471 +5314653/H2 -2271392000/H2^2 +430306500000/H2^3 -30511740000000/H2^4)</f>
        <v>8.5640827762745175E-11</v>
      </c>
      <c r="J2" s="3">
        <f t="shared" ref="J2:J4" si="1">H2-D2</f>
        <v>1.7574476205640508</v>
      </c>
      <c r="K2">
        <f t="shared" ref="K2:K4" si="2">(H2-D2)/(H2*D2)</f>
        <v>2.2263918071135299E-5</v>
      </c>
      <c r="L2">
        <f>_xlfn.STDEV.S(K2:K4)</f>
        <v>4.0279571014017118E-7</v>
      </c>
      <c r="M2">
        <f>AVERAGE(K2:K4)</f>
        <v>2.2463590405229428E-5</v>
      </c>
      <c r="N2" s="14">
        <f t="shared" ref="N2" si="3">100*L2/M2</f>
        <v>1.7931047658632613</v>
      </c>
      <c r="O2" s="4">
        <f t="shared" ref="O2:O4" si="4">LN(F2)</f>
        <v>1.8391200405878927</v>
      </c>
      <c r="P2" s="4">
        <f t="shared" ref="P2:P4" si="5">1/D2</f>
        <v>3.5704084547272209E-3</v>
      </c>
      <c r="Q2" s="4">
        <f t="shared" ref="Q2:Q4" si="6">1/H2</f>
        <v>3.5481445366560855E-3</v>
      </c>
      <c r="R2">
        <f>SLOPE(O2:O4,P2:P4)</f>
        <v>-9081.9358042048134</v>
      </c>
      <c r="S2">
        <f>SLOPE(O2:O4,Q2:Q4)</f>
        <v>-8974.466853506312</v>
      </c>
      <c r="T2">
        <f t="shared" ref="T2" si="7">100*ABS(S2-R2)/ABS(S2)</f>
        <v>1.1974967700339041</v>
      </c>
    </row>
    <row r="3" spans="1:20" x14ac:dyDescent="0.25">
      <c r="A3" s="27"/>
      <c r="B3" s="27"/>
      <c r="C3" s="1">
        <v>9.23</v>
      </c>
      <c r="D3" s="2">
        <v>282.38</v>
      </c>
      <c r="E3" s="1">
        <v>81.099999999999994</v>
      </c>
      <c r="F3" s="1">
        <v>8.11</v>
      </c>
      <c r="G3" s="2">
        <v>8110000</v>
      </c>
      <c r="H3" s="2">
        <v>284.1613316857443</v>
      </c>
      <c r="I3" s="3">
        <f t="shared" si="0"/>
        <v>3.461231301571388E-11</v>
      </c>
      <c r="J3" s="3">
        <f t="shared" si="1"/>
        <v>1.7813316857443056</v>
      </c>
      <c r="K3">
        <f t="shared" si="2"/>
        <v>2.2199637342975547E-5</v>
      </c>
      <c r="O3" s="4">
        <f t="shared" si="4"/>
        <v>2.0930978681273213</v>
      </c>
      <c r="P3" s="4">
        <f t="shared" si="5"/>
        <v>3.5413272894680927E-3</v>
      </c>
      <c r="Q3" s="4">
        <f t="shared" si="6"/>
        <v>3.5191276521251173E-3</v>
      </c>
    </row>
    <row r="4" spans="1:20" x14ac:dyDescent="0.25">
      <c r="A4" s="27"/>
      <c r="B4" s="27"/>
      <c r="C4" s="1">
        <v>11.04</v>
      </c>
      <c r="D4" s="2">
        <v>284.19</v>
      </c>
      <c r="E4" s="1">
        <v>100.64</v>
      </c>
      <c r="F4" s="1">
        <v>10.064</v>
      </c>
      <c r="G4" s="2">
        <v>10064000</v>
      </c>
      <c r="H4" s="2">
        <v>286.05383682499172</v>
      </c>
      <c r="I4" s="3">
        <f t="shared" si="0"/>
        <v>1.0649259252204502E-11</v>
      </c>
      <c r="J4" s="3">
        <f t="shared" si="1"/>
        <v>1.8638368249917221</v>
      </c>
      <c r="K4">
        <f t="shared" si="2"/>
        <v>2.292721580157744E-5</v>
      </c>
      <c r="O4" s="4">
        <f t="shared" si="4"/>
        <v>2.3089646999580848</v>
      </c>
      <c r="P4" s="4">
        <f t="shared" si="5"/>
        <v>3.5187726520989481E-3</v>
      </c>
      <c r="Q4" s="4">
        <f t="shared" si="6"/>
        <v>3.4958454362973707E-3</v>
      </c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P13" sqref="P13"/>
    </sheetView>
  </sheetViews>
  <sheetFormatPr defaultRowHeight="15" x14ac:dyDescent="0.25"/>
  <cols>
    <col min="1" max="1" width="16" bestFit="1" customWidth="1"/>
    <col min="2" max="2" width="18.5703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56</v>
      </c>
      <c r="B2" s="26" t="s">
        <v>58</v>
      </c>
      <c r="C2" s="16">
        <f t="shared" ref="C2:C6" si="0">D2-273.15</f>
        <v>9.2361000000000217</v>
      </c>
      <c r="D2" s="20">
        <v>282.3861</v>
      </c>
      <c r="E2" s="17">
        <f t="shared" ref="E2:E6" si="1">F2*10</f>
        <v>75.900000000000006</v>
      </c>
      <c r="F2" s="18">
        <v>7.59</v>
      </c>
      <c r="G2" s="2">
        <f t="shared" ref="G2:G6" si="2">F2*10^6</f>
        <v>7590000</v>
      </c>
      <c r="H2" s="20">
        <v>283.56592210568164</v>
      </c>
      <c r="I2" s="3">
        <f t="shared" ref="I2:I6" si="3">F2-10^(-4646.471 +5314653/H2 -2271392000/H2^2 +430306500000/H2^3 -30511740000000/H2^4)</f>
        <v>5.2079229817536543E-11</v>
      </c>
      <c r="J2" s="3">
        <f t="shared" ref="J2:J6" si="4">H2-D2</f>
        <v>1.1798221056816374</v>
      </c>
      <c r="K2">
        <f t="shared" ref="K2:K6" si="5">(H2-D2)/(H2*D2)</f>
        <v>1.4733949460467988E-5</v>
      </c>
      <c r="L2">
        <f>_xlfn.STDEV.S(K2:K6)</f>
        <v>3.6658077703100561E-6</v>
      </c>
      <c r="M2">
        <f>AVERAGE(K2:K6)</f>
        <v>8.5665022844033557E-6</v>
      </c>
      <c r="N2">
        <f t="shared" ref="N2" si="6">100*L2/M2</f>
        <v>42.792351517657643</v>
      </c>
      <c r="O2" s="4">
        <f t="shared" ref="O2:O6" si="7">LN(F2)</f>
        <v>2.0268315914075385</v>
      </c>
      <c r="P2" s="4">
        <f t="shared" ref="P2:P6" si="8">1/D2</f>
        <v>3.5412507910268956E-3</v>
      </c>
      <c r="Q2" s="4">
        <f t="shared" ref="Q2:Q6" si="9">1/H2</f>
        <v>3.5265168415664276E-3</v>
      </c>
      <c r="R2">
        <f>SLOPE(O2:O6,P2:P6)</f>
        <v>-8852.3061569104848</v>
      </c>
      <c r="S2">
        <f>SLOPE(O2:O6,Q2:Q6)</f>
        <v>-8124.1373787299244</v>
      </c>
      <c r="T2">
        <f t="shared" ref="T2" si="10">100*ABS(S2-R2)/ABS(S2)</f>
        <v>8.9630288636797708</v>
      </c>
    </row>
    <row r="3" spans="1:20" x14ac:dyDescent="0.25">
      <c r="A3" s="26"/>
      <c r="B3" s="26"/>
      <c r="C3" s="16">
        <f t="shared" si="0"/>
        <v>8.5363000000000397</v>
      </c>
      <c r="D3" s="20">
        <v>281.68630000000002</v>
      </c>
      <c r="E3" s="17">
        <f t="shared" si="1"/>
        <v>65.900000000000006</v>
      </c>
      <c r="F3" s="18">
        <v>6.59</v>
      </c>
      <c r="G3" s="2">
        <f t="shared" si="2"/>
        <v>6590000</v>
      </c>
      <c r="H3" s="20">
        <v>282.27105829340383</v>
      </c>
      <c r="I3" s="3">
        <f t="shared" si="3"/>
        <v>1.7724488543535699E-11</v>
      </c>
      <c r="J3" s="3">
        <f t="shared" si="4"/>
        <v>0.58475829340380869</v>
      </c>
      <c r="K3">
        <f t="shared" si="5"/>
        <v>7.3543503159941064E-6</v>
      </c>
      <c r="O3" s="4">
        <f t="shared" si="7"/>
        <v>1.8855533485144158</v>
      </c>
      <c r="P3" s="4">
        <f t="shared" si="8"/>
        <v>3.5500484049100006E-3</v>
      </c>
      <c r="Q3" s="4">
        <f t="shared" si="9"/>
        <v>3.5426940545940067E-3</v>
      </c>
    </row>
    <row r="4" spans="1:20" x14ac:dyDescent="0.25">
      <c r="A4" s="26"/>
      <c r="B4" s="26"/>
      <c r="C4" s="16">
        <f t="shared" si="0"/>
        <v>7.2369000000000483</v>
      </c>
      <c r="D4" s="20">
        <v>280.38690000000003</v>
      </c>
      <c r="E4" s="17">
        <f t="shared" si="1"/>
        <v>57.300000000000004</v>
      </c>
      <c r="F4" s="18">
        <v>5.73</v>
      </c>
      <c r="G4" s="2">
        <f t="shared" si="2"/>
        <v>5730000</v>
      </c>
      <c r="H4" s="20">
        <v>280.95247750994832</v>
      </c>
      <c r="I4" s="3">
        <f t="shared" si="3"/>
        <v>-2.0845547510361939E-11</v>
      </c>
      <c r="J4" s="3">
        <f t="shared" si="4"/>
        <v>0.56557750994829803</v>
      </c>
      <c r="K4">
        <f t="shared" si="5"/>
        <v>7.1796214487369091E-6</v>
      </c>
      <c r="O4" s="4">
        <f t="shared" si="7"/>
        <v>1.7457155307266483</v>
      </c>
      <c r="P4" s="4">
        <f t="shared" si="8"/>
        <v>3.566500432081527E-3</v>
      </c>
      <c r="Q4" s="4">
        <f t="shared" si="9"/>
        <v>3.55932081063279E-3</v>
      </c>
    </row>
    <row r="5" spans="1:20" x14ac:dyDescent="0.25">
      <c r="A5" s="26"/>
      <c r="B5" s="26"/>
      <c r="C5" s="16">
        <f t="shared" si="0"/>
        <v>5.6375000000000455</v>
      </c>
      <c r="D5" s="20">
        <v>278.78750000000002</v>
      </c>
      <c r="E5" s="17">
        <f t="shared" si="1"/>
        <v>49.1</v>
      </c>
      <c r="F5" s="18">
        <v>4.91</v>
      </c>
      <c r="G5" s="2">
        <f t="shared" si="2"/>
        <v>4910000</v>
      </c>
      <c r="H5" s="20">
        <v>279.4503296025535</v>
      </c>
      <c r="I5" s="3">
        <f t="shared" si="3"/>
        <v>-8.234213311197891E-11</v>
      </c>
      <c r="J5" s="3">
        <f t="shared" si="4"/>
        <v>0.66282960255347234</v>
      </c>
      <c r="K5">
        <f t="shared" si="5"/>
        <v>8.5079312642835055E-6</v>
      </c>
      <c r="O5" s="4">
        <f t="shared" si="7"/>
        <v>1.5912739418064292</v>
      </c>
      <c r="P5" s="4">
        <f t="shared" si="8"/>
        <v>3.5869613953279826E-3</v>
      </c>
      <c r="Q5" s="4">
        <f t="shared" si="9"/>
        <v>3.578453464063699E-3</v>
      </c>
    </row>
    <row r="6" spans="1:20" x14ac:dyDescent="0.25">
      <c r="A6" s="26"/>
      <c r="B6" s="26"/>
      <c r="C6" s="16">
        <f t="shared" si="0"/>
        <v>3.7383000000000379</v>
      </c>
      <c r="D6" s="19">
        <v>276.88830000000002</v>
      </c>
      <c r="E6" s="17">
        <f t="shared" si="1"/>
        <v>39.6</v>
      </c>
      <c r="F6" s="18">
        <v>3.96</v>
      </c>
      <c r="G6" s="2">
        <f t="shared" si="2"/>
        <v>3960000</v>
      </c>
      <c r="H6" s="19">
        <v>277.27652309385127</v>
      </c>
      <c r="I6" s="3">
        <f t="shared" si="3"/>
        <v>-1.7548851261039999E-10</v>
      </c>
      <c r="J6" s="3">
        <f t="shared" si="4"/>
        <v>0.38822309385125209</v>
      </c>
      <c r="K6">
        <f t="shared" si="5"/>
        <v>5.0566589325342761E-6</v>
      </c>
      <c r="O6" s="4">
        <f t="shared" si="7"/>
        <v>1.3762440252663892</v>
      </c>
      <c r="P6" s="4">
        <f t="shared" si="8"/>
        <v>3.6115646634400948E-3</v>
      </c>
      <c r="Q6" s="4">
        <f t="shared" si="9"/>
        <v>3.6065080045075601E-3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I22" sqref="I22"/>
    </sheetView>
  </sheetViews>
  <sheetFormatPr defaultRowHeight="15" x14ac:dyDescent="0.25"/>
  <cols>
    <col min="1" max="1" width="20.42578125" bestFit="1" customWidth="1"/>
    <col min="2" max="2" width="20" bestFit="1" customWidth="1"/>
  </cols>
  <sheetData>
    <row r="1" spans="1:4" x14ac:dyDescent="0.25">
      <c r="A1" t="s">
        <v>59</v>
      </c>
      <c r="B1" t="s">
        <v>60</v>
      </c>
      <c r="C1" t="s">
        <v>61</v>
      </c>
      <c r="D1" t="s">
        <v>62</v>
      </c>
    </row>
    <row r="2" spans="1:4" x14ac:dyDescent="0.25">
      <c r="A2" t="s">
        <v>0</v>
      </c>
      <c r="B2" t="s">
        <v>1</v>
      </c>
      <c r="C2" s="24">
        <v>235.6</v>
      </c>
      <c r="D2" s="24">
        <v>14.68</v>
      </c>
    </row>
    <row r="3" spans="1:4" x14ac:dyDescent="0.25">
      <c r="A3" t="s">
        <v>2</v>
      </c>
      <c r="B3" t="s">
        <v>26</v>
      </c>
      <c r="C3" s="24">
        <v>12.1</v>
      </c>
      <c r="D3" s="23">
        <v>1.63</v>
      </c>
    </row>
    <row r="4" spans="1:4" x14ac:dyDescent="0.25">
      <c r="A4" t="s">
        <v>2</v>
      </c>
      <c r="B4" t="s">
        <v>27</v>
      </c>
      <c r="C4" s="23">
        <v>1.8</v>
      </c>
      <c r="D4" s="23">
        <v>1.2</v>
      </c>
    </row>
    <row r="5" spans="1:4" x14ac:dyDescent="0.25">
      <c r="A5" t="s">
        <v>2</v>
      </c>
      <c r="B5" t="s">
        <v>63</v>
      </c>
      <c r="C5" s="24">
        <v>52.3</v>
      </c>
      <c r="D5" s="23">
        <v>5.48</v>
      </c>
    </row>
    <row r="6" spans="1:4" x14ac:dyDescent="0.25">
      <c r="A6" t="s">
        <v>2</v>
      </c>
      <c r="B6" t="s">
        <v>64</v>
      </c>
      <c r="C6" s="24">
        <v>10.6</v>
      </c>
      <c r="D6" s="23">
        <v>0.77</v>
      </c>
    </row>
    <row r="7" spans="1:4" x14ac:dyDescent="0.25">
      <c r="A7" t="s">
        <v>2</v>
      </c>
      <c r="B7" t="s">
        <v>65</v>
      </c>
      <c r="C7" s="24">
        <v>39.299999999999997</v>
      </c>
      <c r="D7" s="23">
        <v>4.47</v>
      </c>
    </row>
    <row r="8" spans="1:4" x14ac:dyDescent="0.25">
      <c r="A8" t="s">
        <v>2</v>
      </c>
      <c r="B8" t="s">
        <v>66</v>
      </c>
      <c r="C8" s="23">
        <v>9.1999999999999993</v>
      </c>
      <c r="D8" s="24">
        <v>15.75</v>
      </c>
    </row>
    <row r="9" spans="1:4" x14ac:dyDescent="0.25">
      <c r="A9" t="s">
        <v>32</v>
      </c>
      <c r="B9" t="s">
        <v>33</v>
      </c>
      <c r="C9" s="24">
        <v>18.7</v>
      </c>
      <c r="D9" s="23">
        <v>1.59</v>
      </c>
    </row>
    <row r="10" spans="1:4" x14ac:dyDescent="0.25">
      <c r="A10" t="s">
        <v>2</v>
      </c>
      <c r="B10" t="s">
        <v>67</v>
      </c>
      <c r="C10" s="24">
        <v>134220.70000000001</v>
      </c>
      <c r="D10" s="23">
        <v>2.61</v>
      </c>
    </row>
    <row r="11" spans="1:4" x14ac:dyDescent="0.25">
      <c r="A11" t="s">
        <v>2</v>
      </c>
      <c r="B11" t="s">
        <v>68</v>
      </c>
      <c r="C11" s="24">
        <v>32.200000000000003</v>
      </c>
      <c r="D11" s="23">
        <v>4.2699999999999996</v>
      </c>
    </row>
    <row r="12" spans="1:4" x14ac:dyDescent="0.25">
      <c r="A12" t="s">
        <v>24</v>
      </c>
      <c r="B12" t="s">
        <v>69</v>
      </c>
      <c r="C12" s="24">
        <v>134.1</v>
      </c>
      <c r="D12" s="23">
        <v>1.27</v>
      </c>
    </row>
    <row r="13" spans="1:4" x14ac:dyDescent="0.25">
      <c r="A13" t="s">
        <v>24</v>
      </c>
      <c r="B13" t="s">
        <v>70</v>
      </c>
      <c r="C13" s="24">
        <v>43.5</v>
      </c>
      <c r="D13" s="23">
        <v>2.2599999999999998</v>
      </c>
    </row>
    <row r="14" spans="1:4" x14ac:dyDescent="0.25">
      <c r="A14" t="s">
        <v>24</v>
      </c>
      <c r="B14" t="s">
        <v>71</v>
      </c>
      <c r="C14" s="24">
        <v>15.4</v>
      </c>
      <c r="D14" s="23">
        <v>2.61</v>
      </c>
    </row>
    <row r="15" spans="1:4" x14ac:dyDescent="0.25">
      <c r="A15" t="s">
        <v>24</v>
      </c>
      <c r="B15" t="s">
        <v>72</v>
      </c>
      <c r="C15" s="24">
        <v>2567</v>
      </c>
      <c r="D15" s="23">
        <v>0.64</v>
      </c>
    </row>
    <row r="16" spans="1:4" x14ac:dyDescent="0.25">
      <c r="A16" t="s">
        <v>24</v>
      </c>
      <c r="B16" t="s">
        <v>73</v>
      </c>
      <c r="C16" s="24">
        <v>52.4</v>
      </c>
      <c r="D16" s="23">
        <v>1.1100000000000001</v>
      </c>
    </row>
    <row r="17" spans="1:4" x14ac:dyDescent="0.25">
      <c r="A17" t="s">
        <v>39</v>
      </c>
      <c r="B17" t="s">
        <v>40</v>
      </c>
      <c r="C17" s="24">
        <v>35.700000000000003</v>
      </c>
      <c r="D17" s="23">
        <v>3.25</v>
      </c>
    </row>
    <row r="18" spans="1:4" x14ac:dyDescent="0.25">
      <c r="A18" t="s">
        <v>24</v>
      </c>
      <c r="B18" t="s">
        <v>40</v>
      </c>
      <c r="C18" s="24">
        <v>21.8</v>
      </c>
      <c r="D18" s="23">
        <v>0.91</v>
      </c>
    </row>
    <row r="19" spans="1:4" x14ac:dyDescent="0.25">
      <c r="A19" t="s">
        <v>42</v>
      </c>
      <c r="B19" t="s">
        <v>43</v>
      </c>
      <c r="C19" s="24">
        <v>28.5</v>
      </c>
      <c r="D19" s="23">
        <v>2.15</v>
      </c>
    </row>
    <row r="20" spans="1:4" x14ac:dyDescent="0.25">
      <c r="A20" t="s">
        <v>42</v>
      </c>
      <c r="B20" t="s">
        <v>44</v>
      </c>
      <c r="C20" s="24">
        <v>80.900000000000006</v>
      </c>
      <c r="D20" s="24">
        <v>10.82</v>
      </c>
    </row>
    <row r="21" spans="1:4" x14ac:dyDescent="0.25">
      <c r="A21" t="s">
        <v>24</v>
      </c>
      <c r="B21" t="s">
        <v>74</v>
      </c>
      <c r="C21" s="24">
        <v>34.299999999999997</v>
      </c>
      <c r="D21" s="23">
        <v>0.6</v>
      </c>
    </row>
    <row r="22" spans="1:4" x14ac:dyDescent="0.25">
      <c r="A22" t="s">
        <v>24</v>
      </c>
      <c r="B22" t="s">
        <v>75</v>
      </c>
      <c r="C22" s="24">
        <v>25.5</v>
      </c>
      <c r="D22" s="23">
        <v>0.18</v>
      </c>
    </row>
    <row r="23" spans="1:4" x14ac:dyDescent="0.25">
      <c r="A23" t="s">
        <v>24</v>
      </c>
      <c r="B23" t="s">
        <v>76</v>
      </c>
      <c r="C23" s="23">
        <v>5.6</v>
      </c>
      <c r="D23" s="23">
        <v>0.6</v>
      </c>
    </row>
    <row r="24" spans="1:4" x14ac:dyDescent="0.25">
      <c r="A24" t="s">
        <v>48</v>
      </c>
      <c r="B24" t="s">
        <v>49</v>
      </c>
      <c r="C24" s="24">
        <v>80.5</v>
      </c>
      <c r="D24" s="23">
        <v>4.76</v>
      </c>
    </row>
    <row r="25" spans="1:4" x14ac:dyDescent="0.25">
      <c r="A25" t="s">
        <v>48</v>
      </c>
      <c r="B25" t="s">
        <v>50</v>
      </c>
      <c r="C25" s="24">
        <v>293.10000000000002</v>
      </c>
      <c r="D25" s="23">
        <v>5.46</v>
      </c>
    </row>
    <row r="26" spans="1:4" x14ac:dyDescent="0.25">
      <c r="A26" t="s">
        <v>48</v>
      </c>
      <c r="B26" t="s">
        <v>51</v>
      </c>
      <c r="C26" s="24">
        <v>80.5</v>
      </c>
      <c r="D26" s="23">
        <v>4.76</v>
      </c>
    </row>
    <row r="27" spans="1:4" x14ac:dyDescent="0.25">
      <c r="A27" t="s">
        <v>52</v>
      </c>
      <c r="B27" t="s">
        <v>53</v>
      </c>
      <c r="C27" s="24">
        <v>212.4</v>
      </c>
      <c r="D27" s="23">
        <v>1.66</v>
      </c>
    </row>
    <row r="28" spans="1:4" x14ac:dyDescent="0.25">
      <c r="A28" t="s">
        <v>52</v>
      </c>
      <c r="B28" t="s">
        <v>54</v>
      </c>
      <c r="C28" s="24">
        <v>92.8</v>
      </c>
      <c r="D28" s="23">
        <v>2.2999999999999998</v>
      </c>
    </row>
    <row r="29" spans="1:4" x14ac:dyDescent="0.25">
      <c r="A29" t="s">
        <v>52</v>
      </c>
      <c r="B29" t="s">
        <v>55</v>
      </c>
      <c r="C29" s="24">
        <v>33.200000000000003</v>
      </c>
      <c r="D29" s="23">
        <v>7.0000000000000007E-2</v>
      </c>
    </row>
    <row r="30" spans="1:4" x14ac:dyDescent="0.25">
      <c r="A30" t="s">
        <v>56</v>
      </c>
      <c r="B30" t="s">
        <v>57</v>
      </c>
      <c r="C30" s="24">
        <v>99.7</v>
      </c>
      <c r="D30" s="23">
        <v>7</v>
      </c>
    </row>
    <row r="31" spans="1:4" x14ac:dyDescent="0.25">
      <c r="A31" t="s">
        <v>56</v>
      </c>
      <c r="B31" t="s">
        <v>58</v>
      </c>
      <c r="C31" s="24">
        <v>42.8</v>
      </c>
      <c r="D31" s="23">
        <v>8.9600000000000009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:C4"/>
    </sheetView>
  </sheetViews>
  <sheetFormatPr defaultRowHeight="15" x14ac:dyDescent="0.25"/>
  <cols>
    <col min="1" max="1" width="19.7109375" bestFit="1" customWidth="1"/>
    <col min="2" max="2" width="17.28515625" bestFit="1" customWidth="1"/>
    <col min="3" max="3" width="10.140625" bestFit="1" customWidth="1"/>
    <col min="4" max="4" width="9.7109375" bestFit="1" customWidth="1"/>
  </cols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 t="s">
        <v>2</v>
      </c>
      <c r="B2" t="s">
        <v>27</v>
      </c>
      <c r="C2" s="23">
        <v>1.8</v>
      </c>
    </row>
    <row r="3" spans="1:3" x14ac:dyDescent="0.25">
      <c r="A3" t="s">
        <v>2</v>
      </c>
      <c r="B3" t="s">
        <v>66</v>
      </c>
      <c r="C3" s="23">
        <v>9.1999999999999993</v>
      </c>
    </row>
    <row r="4" spans="1:3" x14ac:dyDescent="0.25">
      <c r="A4" t="s">
        <v>24</v>
      </c>
      <c r="B4" t="s">
        <v>76</v>
      </c>
      <c r="C4" s="23">
        <v>5.6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" sqref="C2:C27"/>
    </sheetView>
  </sheetViews>
  <sheetFormatPr defaultRowHeight="15" x14ac:dyDescent="0.25"/>
  <cols>
    <col min="1" max="1" width="20.140625" bestFit="1" customWidth="1"/>
    <col min="2" max="2" width="20" bestFit="1" customWidth="1"/>
  </cols>
  <sheetData>
    <row r="1" spans="1:3" x14ac:dyDescent="0.25">
      <c r="A1" t="s">
        <v>59</v>
      </c>
      <c r="B1" t="s">
        <v>60</v>
      </c>
      <c r="C1" t="s">
        <v>62</v>
      </c>
    </row>
    <row r="2" spans="1:3" x14ac:dyDescent="0.25">
      <c r="A2" t="s">
        <v>2</v>
      </c>
      <c r="B2" t="s">
        <v>26</v>
      </c>
      <c r="C2" s="23">
        <v>1.63</v>
      </c>
    </row>
    <row r="3" spans="1:3" x14ac:dyDescent="0.25">
      <c r="A3" t="s">
        <v>2</v>
      </c>
      <c r="B3" t="s">
        <v>27</v>
      </c>
      <c r="C3" s="23">
        <v>1.2</v>
      </c>
    </row>
    <row r="4" spans="1:3" x14ac:dyDescent="0.25">
      <c r="A4" t="s">
        <v>2</v>
      </c>
      <c r="B4" t="s">
        <v>63</v>
      </c>
      <c r="C4" s="23">
        <v>5.48</v>
      </c>
    </row>
    <row r="5" spans="1:3" x14ac:dyDescent="0.25">
      <c r="A5" t="s">
        <v>2</v>
      </c>
      <c r="B5" t="s">
        <v>64</v>
      </c>
      <c r="C5" s="23">
        <v>0.77</v>
      </c>
    </row>
    <row r="6" spans="1:3" x14ac:dyDescent="0.25">
      <c r="A6" t="s">
        <v>2</v>
      </c>
      <c r="B6" t="s">
        <v>65</v>
      </c>
      <c r="C6" s="23">
        <v>4.47</v>
      </c>
    </row>
    <row r="7" spans="1:3" x14ac:dyDescent="0.25">
      <c r="A7" t="s">
        <v>32</v>
      </c>
      <c r="B7" t="s">
        <v>33</v>
      </c>
      <c r="C7" s="23">
        <v>1.59</v>
      </c>
    </row>
    <row r="8" spans="1:3" x14ac:dyDescent="0.25">
      <c r="A8" t="s">
        <v>2</v>
      </c>
      <c r="B8" t="s">
        <v>67</v>
      </c>
      <c r="C8" s="23">
        <v>2.61</v>
      </c>
    </row>
    <row r="9" spans="1:3" x14ac:dyDescent="0.25">
      <c r="A9" t="s">
        <v>2</v>
      </c>
      <c r="B9" t="s">
        <v>68</v>
      </c>
      <c r="C9" s="23">
        <v>4.2699999999999996</v>
      </c>
    </row>
    <row r="10" spans="1:3" x14ac:dyDescent="0.25">
      <c r="A10" t="s">
        <v>24</v>
      </c>
      <c r="B10" t="s">
        <v>69</v>
      </c>
      <c r="C10" s="23">
        <v>1.27</v>
      </c>
    </row>
    <row r="11" spans="1:3" x14ac:dyDescent="0.25">
      <c r="A11" t="s">
        <v>24</v>
      </c>
      <c r="B11" t="s">
        <v>70</v>
      </c>
      <c r="C11" s="23">
        <v>2.2599999999999998</v>
      </c>
    </row>
    <row r="12" spans="1:3" x14ac:dyDescent="0.25">
      <c r="A12" t="s">
        <v>24</v>
      </c>
      <c r="B12" t="s">
        <v>71</v>
      </c>
      <c r="C12" s="23">
        <v>2.61</v>
      </c>
    </row>
    <row r="13" spans="1:3" x14ac:dyDescent="0.25">
      <c r="A13" t="s">
        <v>24</v>
      </c>
      <c r="B13" t="s">
        <v>72</v>
      </c>
      <c r="C13" s="23">
        <v>0.64</v>
      </c>
    </row>
    <row r="14" spans="1:3" x14ac:dyDescent="0.25">
      <c r="A14" t="s">
        <v>24</v>
      </c>
      <c r="B14" t="s">
        <v>73</v>
      </c>
      <c r="C14" s="23">
        <v>1.1100000000000001</v>
      </c>
    </row>
    <row r="15" spans="1:3" x14ac:dyDescent="0.25">
      <c r="A15" t="s">
        <v>39</v>
      </c>
      <c r="B15" t="s">
        <v>40</v>
      </c>
      <c r="C15" s="23">
        <v>3.25</v>
      </c>
    </row>
    <row r="16" spans="1:3" x14ac:dyDescent="0.25">
      <c r="A16" t="s">
        <v>24</v>
      </c>
      <c r="B16" t="s">
        <v>40</v>
      </c>
      <c r="C16" s="23">
        <v>0.91</v>
      </c>
    </row>
    <row r="17" spans="1:3" x14ac:dyDescent="0.25">
      <c r="A17" t="s">
        <v>42</v>
      </c>
      <c r="B17" t="s">
        <v>43</v>
      </c>
      <c r="C17" s="23">
        <v>2.15</v>
      </c>
    </row>
    <row r="18" spans="1:3" x14ac:dyDescent="0.25">
      <c r="A18" t="s">
        <v>24</v>
      </c>
      <c r="B18" t="s">
        <v>74</v>
      </c>
      <c r="C18" s="23">
        <v>0.6</v>
      </c>
    </row>
    <row r="19" spans="1:3" x14ac:dyDescent="0.25">
      <c r="A19" t="s">
        <v>24</v>
      </c>
      <c r="B19" t="s">
        <v>75</v>
      </c>
      <c r="C19" s="23">
        <v>0.18</v>
      </c>
    </row>
    <row r="20" spans="1:3" x14ac:dyDescent="0.25">
      <c r="A20" t="s">
        <v>24</v>
      </c>
      <c r="B20" t="s">
        <v>76</v>
      </c>
      <c r="C20" s="23">
        <v>0.6</v>
      </c>
    </row>
    <row r="21" spans="1:3" x14ac:dyDescent="0.25">
      <c r="A21" t="s">
        <v>48</v>
      </c>
      <c r="B21" t="s">
        <v>49</v>
      </c>
      <c r="C21" s="23">
        <v>4.76</v>
      </c>
    </row>
    <row r="22" spans="1:3" x14ac:dyDescent="0.25">
      <c r="A22" t="s">
        <v>48</v>
      </c>
      <c r="B22" t="s">
        <v>50</v>
      </c>
      <c r="C22" s="23">
        <v>5.46</v>
      </c>
    </row>
    <row r="23" spans="1:3" x14ac:dyDescent="0.25">
      <c r="A23" t="s">
        <v>48</v>
      </c>
      <c r="B23" t="s">
        <v>51</v>
      </c>
      <c r="C23" s="23">
        <v>4.76</v>
      </c>
    </row>
    <row r="24" spans="1:3" x14ac:dyDescent="0.25">
      <c r="A24" t="s">
        <v>52</v>
      </c>
      <c r="B24" t="s">
        <v>53</v>
      </c>
      <c r="C24" s="23">
        <v>1.66</v>
      </c>
    </row>
    <row r="25" spans="1:3" x14ac:dyDescent="0.25">
      <c r="A25" t="s">
        <v>52</v>
      </c>
      <c r="B25" t="s">
        <v>54</v>
      </c>
      <c r="C25" s="23">
        <v>2.2999999999999998</v>
      </c>
    </row>
    <row r="26" spans="1:3" x14ac:dyDescent="0.25">
      <c r="A26" t="s">
        <v>52</v>
      </c>
      <c r="B26" t="s">
        <v>55</v>
      </c>
      <c r="C26" s="23">
        <v>7.0000000000000007E-2</v>
      </c>
    </row>
    <row r="27" spans="1:3" x14ac:dyDescent="0.25">
      <c r="A27" t="s">
        <v>56</v>
      </c>
      <c r="B27" t="s">
        <v>57</v>
      </c>
      <c r="C27" s="23">
        <v>7</v>
      </c>
    </row>
    <row r="28" spans="1:3" x14ac:dyDescent="0.25">
      <c r="A28" t="s">
        <v>56</v>
      </c>
      <c r="B28" t="s">
        <v>58</v>
      </c>
      <c r="C28">
        <v>8.9600000000000009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H17" sqref="H16:H17"/>
    </sheetView>
  </sheetViews>
  <sheetFormatPr defaultRowHeight="15" x14ac:dyDescent="0.25"/>
  <cols>
    <col min="1" max="1" width="20.42578125" bestFit="1" customWidth="1"/>
    <col min="2" max="2" width="20" bestFit="1" customWidth="1"/>
  </cols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 s="31" t="s">
        <v>0</v>
      </c>
      <c r="B2" s="31" t="s">
        <v>1</v>
      </c>
      <c r="C2" s="24">
        <v>235.6</v>
      </c>
    </row>
    <row r="3" spans="1:3" x14ac:dyDescent="0.25">
      <c r="A3" s="31" t="s">
        <v>2</v>
      </c>
      <c r="B3" s="31" t="s">
        <v>26</v>
      </c>
      <c r="C3" s="24">
        <v>12.1</v>
      </c>
    </row>
    <row r="4" spans="1:3" x14ac:dyDescent="0.25">
      <c r="A4" s="31" t="s">
        <v>2</v>
      </c>
      <c r="B4" s="31" t="s">
        <v>63</v>
      </c>
      <c r="C4" s="24">
        <v>52.3</v>
      </c>
    </row>
    <row r="5" spans="1:3" x14ac:dyDescent="0.25">
      <c r="A5" s="31" t="s">
        <v>2</v>
      </c>
      <c r="B5" s="31" t="s">
        <v>64</v>
      </c>
      <c r="C5" s="24">
        <v>10.6</v>
      </c>
    </row>
    <row r="6" spans="1:3" x14ac:dyDescent="0.25">
      <c r="A6" s="31" t="s">
        <v>2</v>
      </c>
      <c r="B6" s="31" t="s">
        <v>65</v>
      </c>
      <c r="C6" s="24">
        <v>39.299999999999997</v>
      </c>
    </row>
    <row r="7" spans="1:3" x14ac:dyDescent="0.25">
      <c r="A7" s="31" t="s">
        <v>32</v>
      </c>
      <c r="B7" s="31" t="s">
        <v>33</v>
      </c>
      <c r="C7" s="24">
        <v>18.7</v>
      </c>
    </row>
    <row r="8" spans="1:3" x14ac:dyDescent="0.25">
      <c r="A8" s="31" t="s">
        <v>2</v>
      </c>
      <c r="B8" s="31" t="s">
        <v>67</v>
      </c>
      <c r="C8" s="24">
        <v>134220.70000000001</v>
      </c>
    </row>
    <row r="9" spans="1:3" x14ac:dyDescent="0.25">
      <c r="A9" s="31" t="s">
        <v>2</v>
      </c>
      <c r="B9" s="31" t="s">
        <v>68</v>
      </c>
      <c r="C9" s="24">
        <v>32.200000000000003</v>
      </c>
    </row>
    <row r="10" spans="1:3" x14ac:dyDescent="0.25">
      <c r="A10" s="31" t="s">
        <v>24</v>
      </c>
      <c r="B10" s="31" t="s">
        <v>69</v>
      </c>
      <c r="C10" s="24">
        <v>134.1</v>
      </c>
    </row>
    <row r="11" spans="1:3" x14ac:dyDescent="0.25">
      <c r="A11" s="31" t="s">
        <v>24</v>
      </c>
      <c r="B11" s="31" t="s">
        <v>70</v>
      </c>
      <c r="C11" s="24">
        <v>43.5</v>
      </c>
    </row>
    <row r="12" spans="1:3" x14ac:dyDescent="0.25">
      <c r="A12" s="31" t="s">
        <v>24</v>
      </c>
      <c r="B12" s="31" t="s">
        <v>71</v>
      </c>
      <c r="C12" s="24">
        <v>15.4</v>
      </c>
    </row>
    <row r="13" spans="1:3" x14ac:dyDescent="0.25">
      <c r="A13" s="31" t="s">
        <v>24</v>
      </c>
      <c r="B13" s="31" t="s">
        <v>72</v>
      </c>
      <c r="C13" s="24">
        <v>2567</v>
      </c>
    </row>
    <row r="14" spans="1:3" x14ac:dyDescent="0.25">
      <c r="A14" s="31" t="s">
        <v>24</v>
      </c>
      <c r="B14" s="31" t="s">
        <v>73</v>
      </c>
      <c r="C14" s="24">
        <v>52.4</v>
      </c>
    </row>
    <row r="15" spans="1:3" x14ac:dyDescent="0.25">
      <c r="A15" s="31" t="s">
        <v>39</v>
      </c>
      <c r="B15" s="31" t="s">
        <v>40</v>
      </c>
      <c r="C15" s="24">
        <v>35.700000000000003</v>
      </c>
    </row>
    <row r="16" spans="1:3" x14ac:dyDescent="0.25">
      <c r="A16" s="31" t="s">
        <v>24</v>
      </c>
      <c r="B16" s="31" t="s">
        <v>40</v>
      </c>
      <c r="C16" s="24">
        <v>21.8</v>
      </c>
    </row>
    <row r="17" spans="1:3" x14ac:dyDescent="0.25">
      <c r="A17" s="31" t="s">
        <v>42</v>
      </c>
      <c r="B17" s="31" t="s">
        <v>43</v>
      </c>
      <c r="C17" s="24">
        <v>28.5</v>
      </c>
    </row>
    <row r="18" spans="1:3" x14ac:dyDescent="0.25">
      <c r="A18" s="31" t="s">
        <v>42</v>
      </c>
      <c r="B18" s="31" t="s">
        <v>44</v>
      </c>
      <c r="C18" s="24">
        <v>80.900000000000006</v>
      </c>
    </row>
    <row r="19" spans="1:3" x14ac:dyDescent="0.25">
      <c r="A19" s="31" t="s">
        <v>24</v>
      </c>
      <c r="B19" s="31" t="s">
        <v>74</v>
      </c>
      <c r="C19" s="24">
        <v>34.299999999999997</v>
      </c>
    </row>
    <row r="20" spans="1:3" x14ac:dyDescent="0.25">
      <c r="A20" s="31" t="s">
        <v>24</v>
      </c>
      <c r="B20" s="31" t="s">
        <v>75</v>
      </c>
      <c r="C20" s="24">
        <v>25.5</v>
      </c>
    </row>
    <row r="21" spans="1:3" x14ac:dyDescent="0.25">
      <c r="A21" s="31" t="s">
        <v>48</v>
      </c>
      <c r="B21" s="31" t="s">
        <v>49</v>
      </c>
      <c r="C21" s="24">
        <v>80.5</v>
      </c>
    </row>
    <row r="22" spans="1:3" x14ac:dyDescent="0.25">
      <c r="A22" s="31" t="s">
        <v>48</v>
      </c>
      <c r="B22" s="31" t="s">
        <v>50</v>
      </c>
      <c r="C22" s="24">
        <v>293.10000000000002</v>
      </c>
    </row>
    <row r="23" spans="1:3" x14ac:dyDescent="0.25">
      <c r="A23" s="31" t="s">
        <v>48</v>
      </c>
      <c r="B23" s="31" t="s">
        <v>51</v>
      </c>
      <c r="C23" s="24">
        <v>80.5</v>
      </c>
    </row>
    <row r="24" spans="1:3" x14ac:dyDescent="0.25">
      <c r="A24" t="s">
        <v>52</v>
      </c>
      <c r="B24" t="s">
        <v>53</v>
      </c>
      <c r="C24" s="24">
        <v>212.4</v>
      </c>
    </row>
    <row r="25" spans="1:3" x14ac:dyDescent="0.25">
      <c r="A25" t="s">
        <v>52</v>
      </c>
      <c r="B25" t="s">
        <v>54</v>
      </c>
      <c r="C25" s="24">
        <v>92.8</v>
      </c>
    </row>
    <row r="26" spans="1:3" x14ac:dyDescent="0.25">
      <c r="A26" t="s">
        <v>52</v>
      </c>
      <c r="B26" t="s">
        <v>55</v>
      </c>
      <c r="C26" s="24">
        <v>33.200000000000003</v>
      </c>
    </row>
    <row r="27" spans="1:3" x14ac:dyDescent="0.25">
      <c r="A27" t="s">
        <v>56</v>
      </c>
      <c r="B27" t="s">
        <v>57</v>
      </c>
      <c r="C27" s="24">
        <v>99.7</v>
      </c>
    </row>
    <row r="28" spans="1:3" x14ac:dyDescent="0.25">
      <c r="A28" t="s">
        <v>56</v>
      </c>
      <c r="B28" t="s">
        <v>58</v>
      </c>
      <c r="C28" s="24">
        <v>42.8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:C4"/>
    </sheetView>
  </sheetViews>
  <sheetFormatPr defaultRowHeight="15" x14ac:dyDescent="0.25"/>
  <cols>
    <col min="1" max="1" width="20.42578125" bestFit="1" customWidth="1"/>
    <col min="2" max="2" width="17.7109375" bestFit="1" customWidth="1"/>
    <col min="3" max="3" width="10.140625" bestFit="1" customWidth="1"/>
  </cols>
  <sheetData>
    <row r="1" spans="1:3" x14ac:dyDescent="0.25">
      <c r="A1" s="25" t="s">
        <v>59</v>
      </c>
      <c r="B1" s="25" t="s">
        <v>60</v>
      </c>
      <c r="C1" s="25" t="s">
        <v>77</v>
      </c>
    </row>
    <row r="2" spans="1:3" x14ac:dyDescent="0.25">
      <c r="A2" t="s">
        <v>0</v>
      </c>
      <c r="B2" t="s">
        <v>1</v>
      </c>
      <c r="C2" s="24">
        <v>14.68</v>
      </c>
    </row>
    <row r="3" spans="1:3" x14ac:dyDescent="0.25">
      <c r="A3" t="s">
        <v>2</v>
      </c>
      <c r="B3" t="s">
        <v>66</v>
      </c>
      <c r="C3" s="24">
        <v>15.75</v>
      </c>
    </row>
    <row r="4" spans="1:3" x14ac:dyDescent="0.25">
      <c r="A4" t="s">
        <v>42</v>
      </c>
      <c r="B4" t="s">
        <v>44</v>
      </c>
      <c r="C4" s="24">
        <v>10.82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M1" workbookViewId="0">
      <selection sqref="A1:T5"/>
    </sheetView>
  </sheetViews>
  <sheetFormatPr defaultRowHeight="15" x14ac:dyDescent="0.25"/>
  <cols>
    <col min="1" max="1" width="19.140625" bestFit="1" customWidth="1"/>
    <col min="2" max="2" width="17.42578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2</v>
      </c>
      <c r="B2" s="30" t="s">
        <v>28</v>
      </c>
      <c r="C2" s="1">
        <v>3.65</v>
      </c>
      <c r="D2" s="2">
        <v>276.8</v>
      </c>
      <c r="E2" s="1">
        <v>38.26</v>
      </c>
      <c r="F2" s="1">
        <v>3.8260000000000001</v>
      </c>
      <c r="G2" s="2">
        <v>3826000</v>
      </c>
      <c r="H2" s="2">
        <v>276.91993259742202</v>
      </c>
      <c r="I2" s="3">
        <f t="shared" ref="I2:I5" si="0">F2-10^(-4646.471 +5314653/H2 -2271392000/H2^2 +430306500000/H2^3 -30511740000000/H2^4)</f>
        <v>2.1220980528369182E-10</v>
      </c>
      <c r="J2" s="3">
        <f t="shared" ref="J2:J5" si="1">H2-D2</f>
        <v>0.11993259742200735</v>
      </c>
      <c r="K2">
        <f t="shared" ref="K2:K5" si="2">(H2-D2)/(H2*D2)</f>
        <v>1.5646490343734232E-6</v>
      </c>
      <c r="L2">
        <f>_xlfn.STDEV.S(K2:K5)</f>
        <v>2.8882537798163412E-6</v>
      </c>
      <c r="M2">
        <f t="shared" ref="M2" si="3">AVERAGE(K2:K5)</f>
        <v>5.5182139781198336E-6</v>
      </c>
      <c r="N2">
        <f t="shared" ref="N2" si="4">100*L2/M2</f>
        <v>52.340373013234021</v>
      </c>
      <c r="O2" s="4">
        <f t="shared" ref="O2:O5" si="5">LN(F2)</f>
        <v>1.3418198710180611</v>
      </c>
      <c r="P2" s="4">
        <f t="shared" ref="P2:P5" si="6">1/D2</f>
        <v>3.6127167630057803E-3</v>
      </c>
      <c r="Q2" s="4">
        <f t="shared" ref="Q2:Q5" si="7">1/H2</f>
        <v>3.6111521139714068E-3</v>
      </c>
      <c r="R2">
        <f t="shared" ref="R2" si="8">SLOPE(O2:O5,P2:P5)</f>
        <v>-8766.6169380499596</v>
      </c>
      <c r="S2">
        <f>SLOPE(O2:O5,Q2:Q5)</f>
        <v>-8311.4409324175558</v>
      </c>
      <c r="T2">
        <f t="shared" ref="T2" si="9">100*ABS(S2-R2)/ABS(S2)</f>
        <v>5.4764993138200202</v>
      </c>
    </row>
    <row r="3" spans="1:20" x14ac:dyDescent="0.25">
      <c r="A3" s="27"/>
      <c r="B3" s="27"/>
      <c r="C3" s="1">
        <v>7.26</v>
      </c>
      <c r="D3" s="2">
        <v>280.41000000000003</v>
      </c>
      <c r="E3" s="1">
        <v>57.3</v>
      </c>
      <c r="F3" s="2">
        <v>5.73</v>
      </c>
      <c r="G3" s="2">
        <v>5730000</v>
      </c>
      <c r="H3" s="2">
        <v>280.9524775097899</v>
      </c>
      <c r="I3" s="3">
        <f t="shared" si="0"/>
        <v>2.7153390647072229E-11</v>
      </c>
      <c r="J3" s="3">
        <f t="shared" si="1"/>
        <v>0.54247750978987597</v>
      </c>
      <c r="K3">
        <f t="shared" si="2"/>
        <v>6.8858153771136807E-6</v>
      </c>
      <c r="O3" s="4">
        <f t="shared" si="5"/>
        <v>1.7457155307266483</v>
      </c>
      <c r="P3" s="4">
        <f t="shared" si="6"/>
        <v>3.5662066260119109E-3</v>
      </c>
      <c r="Q3" s="4">
        <f t="shared" si="7"/>
        <v>3.5593208106347971E-3</v>
      </c>
    </row>
    <row r="4" spans="1:20" x14ac:dyDescent="0.25">
      <c r="A4" s="27"/>
      <c r="B4" s="27"/>
      <c r="C4" s="1">
        <v>10.11</v>
      </c>
      <c r="D4" s="2">
        <v>283.26</v>
      </c>
      <c r="E4" s="1">
        <v>76.959999999999994</v>
      </c>
      <c r="F4" s="1">
        <v>7.6959999999999997</v>
      </c>
      <c r="G4" s="2">
        <v>7696000</v>
      </c>
      <c r="H4" s="2">
        <v>283.69114406777135</v>
      </c>
      <c r="I4" s="3">
        <f t="shared" si="0"/>
        <v>1.2898127010885219E-11</v>
      </c>
      <c r="J4" s="3">
        <f t="shared" si="1"/>
        <v>0.43114406777135628</v>
      </c>
      <c r="K4">
        <f t="shared" si="2"/>
        <v>5.3652675690975635E-6</v>
      </c>
      <c r="O4" s="4">
        <f t="shared" si="5"/>
        <v>2.0407007133634054</v>
      </c>
      <c r="P4" s="4">
        <f t="shared" si="6"/>
        <v>3.5303254960107324E-3</v>
      </c>
      <c r="Q4" s="4">
        <f t="shared" si="7"/>
        <v>3.5249602284416347E-3</v>
      </c>
    </row>
    <row r="5" spans="1:20" x14ac:dyDescent="0.25">
      <c r="A5" s="27"/>
      <c r="B5" s="27"/>
      <c r="C5" s="1">
        <v>11.82</v>
      </c>
      <c r="D5" s="2">
        <v>284.97000000000003</v>
      </c>
      <c r="E5" s="1">
        <v>95.96</v>
      </c>
      <c r="F5" s="1">
        <v>9.5960000000000001</v>
      </c>
      <c r="G5" s="2">
        <v>9596000</v>
      </c>
      <c r="H5" s="2">
        <v>285.6421252345732</v>
      </c>
      <c r="I5" s="3">
        <f t="shared" si="0"/>
        <v>8.1161743992197444E-11</v>
      </c>
      <c r="J5" s="3">
        <f t="shared" si="1"/>
        <v>0.67212523457317275</v>
      </c>
      <c r="K5">
        <f t="shared" si="2"/>
        <v>8.2571239318946665E-6</v>
      </c>
      <c r="O5" s="4">
        <f t="shared" si="5"/>
        <v>2.261346344977448</v>
      </c>
      <c r="P5" s="4">
        <f t="shared" si="6"/>
        <v>3.509141313120679E-3</v>
      </c>
      <c r="Q5" s="4">
        <f t="shared" si="7"/>
        <v>3.5008841891887845E-3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E15" sqref="E15"/>
    </sheetView>
  </sheetViews>
  <sheetFormatPr defaultRowHeight="15" x14ac:dyDescent="0.25"/>
  <cols>
    <col min="1" max="1" width="19.140625" bestFit="1" customWidth="1"/>
    <col min="2" max="2" width="18.5703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2</v>
      </c>
      <c r="B2" s="30" t="s">
        <v>29</v>
      </c>
      <c r="C2" s="1">
        <v>6.44</v>
      </c>
      <c r="D2" s="2">
        <v>279.58999999999997</v>
      </c>
      <c r="E2" s="1">
        <v>60.554000000000002</v>
      </c>
      <c r="F2" s="1">
        <v>6.0553999999999997</v>
      </c>
      <c r="G2" s="2">
        <v>6055400</v>
      </c>
      <c r="H2" s="2">
        <v>281.47788998607064</v>
      </c>
      <c r="I2" s="3">
        <f t="shared" ref="I2:I4" si="0">F2-10^(-4646.471 +5314653/H2 -2271392000/H2^2 +430306500000/H2^3 -30511740000000/H2^4)</f>
        <v>5.7047699897339044E-11</v>
      </c>
      <c r="J2" s="3">
        <f t="shared" ref="J2:J4" si="1">H2-D2</f>
        <v>1.8878899860706611</v>
      </c>
      <c r="K2">
        <f t="shared" ref="K2:K4" si="2">(H2-D2)/(H2*D2)</f>
        <v>2.3988923635523107E-5</v>
      </c>
      <c r="L2">
        <f>_xlfn.STDEV.S(K2:K4)</f>
        <v>2.41591683202411E-6</v>
      </c>
      <c r="M2">
        <f>AVERAGE(K2:K4)</f>
        <v>2.2794688377093055E-5</v>
      </c>
      <c r="N2">
        <f t="shared" ref="N2" si="3">100*L2/M2</f>
        <v>10.598595567781151</v>
      </c>
      <c r="O2" s="4">
        <f t="shared" ref="O2:O4" si="4">LN(F2)</f>
        <v>1.8009504359296402</v>
      </c>
      <c r="P2" s="4">
        <f t="shared" ref="P2:P4" si="5">1/D2</f>
        <v>3.5766658321113062E-3</v>
      </c>
      <c r="Q2" s="4">
        <f t="shared" ref="Q2:Q4" si="6">1/H2</f>
        <v>3.5526769084757832E-3</v>
      </c>
      <c r="R2">
        <f>SLOPE(O2:O4,P2:P4)</f>
        <v>-9044.9431940506238</v>
      </c>
      <c r="S2">
        <f>SLOPE(O2:O4,Q2:Q4)</f>
        <v>-8975.7632379471015</v>
      </c>
      <c r="T2">
        <f t="shared" ref="T2" si="7">100*ABS(S2-R2)/ABS(S2)</f>
        <v>0.77074176612689727</v>
      </c>
    </row>
    <row r="3" spans="1:20" x14ac:dyDescent="0.25">
      <c r="A3" s="27"/>
      <c r="B3" s="27"/>
      <c r="C3" s="1">
        <v>8.6199999999999992</v>
      </c>
      <c r="D3" s="2">
        <v>281.77</v>
      </c>
      <c r="E3" s="1">
        <v>74.260000000000005</v>
      </c>
      <c r="F3" s="1">
        <v>7.4260000000000002</v>
      </c>
      <c r="G3" s="2">
        <v>7426000</v>
      </c>
      <c r="H3" s="2">
        <v>283.36802784394399</v>
      </c>
      <c r="I3" s="3">
        <f t="shared" si="0"/>
        <v>-7.5283779210622015E-11</v>
      </c>
      <c r="J3" s="3">
        <f t="shared" si="1"/>
        <v>1.5980278439440099</v>
      </c>
      <c r="K3">
        <f t="shared" si="2"/>
        <v>2.0014223375172693E-5</v>
      </c>
      <c r="O3" s="4">
        <f t="shared" si="4"/>
        <v>2.0049873557548885</v>
      </c>
      <c r="P3" s="4">
        <f t="shared" si="5"/>
        <v>3.5489938602406221E-3</v>
      </c>
      <c r="Q3" s="4">
        <f t="shared" si="6"/>
        <v>3.5289796368654495E-3</v>
      </c>
    </row>
    <row r="4" spans="1:20" x14ac:dyDescent="0.25">
      <c r="A4" s="27"/>
      <c r="B4" s="27"/>
      <c r="C4" s="1">
        <v>11.077999999999999</v>
      </c>
      <c r="D4" s="15">
        <v>284.22800000000001</v>
      </c>
      <c r="E4" s="1">
        <v>102.5</v>
      </c>
      <c r="F4" s="2">
        <v>10.25</v>
      </c>
      <c r="G4" s="2">
        <v>10250000</v>
      </c>
      <c r="H4" s="15">
        <v>286.21137026523138</v>
      </c>
      <c r="I4" s="3">
        <f t="shared" si="0"/>
        <v>-8.7752027866372373E-13</v>
      </c>
      <c r="J4" s="3">
        <f t="shared" si="1"/>
        <v>1.9833702652313718</v>
      </c>
      <c r="K4">
        <f t="shared" si="2"/>
        <v>2.4380918120583365E-5</v>
      </c>
      <c r="O4" s="4">
        <f t="shared" si="4"/>
        <v>2.3272777055844172</v>
      </c>
      <c r="P4" s="4">
        <f t="shared" si="5"/>
        <v>3.5183022080864657E-3</v>
      </c>
      <c r="Q4" s="4">
        <f t="shared" si="6"/>
        <v>3.4939212899658821E-3</v>
      </c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T1" sqref="A1:T5"/>
    </sheetView>
  </sheetViews>
  <sheetFormatPr defaultRowHeight="15" x14ac:dyDescent="0.25"/>
  <cols>
    <col min="1" max="1" width="19.140625" bestFit="1" customWidth="1"/>
    <col min="2" max="2" width="14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2</v>
      </c>
      <c r="B2" s="30" t="s">
        <v>30</v>
      </c>
      <c r="C2" s="1">
        <v>3.8</v>
      </c>
      <c r="D2" s="2">
        <v>276.95</v>
      </c>
      <c r="E2" s="1">
        <v>39.020000000000003</v>
      </c>
      <c r="F2" s="1">
        <v>3.9020000000000001</v>
      </c>
      <c r="G2" s="2">
        <v>3902000</v>
      </c>
      <c r="H2" s="2">
        <v>277.12395702725587</v>
      </c>
      <c r="I2" s="3">
        <f t="shared" ref="I2:I5" si="0">F2-10^(-4646.471 +5314653/H2 -2271392000/H2^2 +430306500000/H2^3 -30511740000000/H2^4)</f>
        <v>2.099236340313837E-10</v>
      </c>
      <c r="J2" s="3">
        <f t="shared" ref="J2:J5" si="1">H2-D2</f>
        <v>0.1739570272558808</v>
      </c>
      <c r="K2">
        <f t="shared" ref="K2:K5" si="2">(H2-D2)/(H2*D2)</f>
        <v>2.2665564312030042E-6</v>
      </c>
      <c r="L2">
        <f>_xlfn.STDEV.S(K2:K5)</f>
        <v>2.1066740559266241E-6</v>
      </c>
      <c r="M2">
        <f t="shared" ref="M2" si="3">AVERAGE(K2:K5)</f>
        <v>5.3619711998446883E-6</v>
      </c>
      <c r="N2">
        <f t="shared" ref="N2" si="4">100*L2/M2</f>
        <v>39.289171414938686</v>
      </c>
      <c r="O2" s="4">
        <f t="shared" ref="O2:O5" si="5">LN(F2)</f>
        <v>1.3614892422009195</v>
      </c>
      <c r="P2" s="4">
        <f t="shared" ref="P2:P5" si="6">1/D2</f>
        <v>3.6107600649936812E-3</v>
      </c>
      <c r="Q2" s="4">
        <f t="shared" ref="Q2:Q5" si="7">1/H2</f>
        <v>3.6084935085624781E-3</v>
      </c>
      <c r="R2">
        <f>SLOPE(O2:O5,P2:P5)</f>
        <v>-8710.7652949156945</v>
      </c>
      <c r="S2">
        <f t="shared" ref="S2" si="8">SLOPE(O2:O5,Q2:Q5)</f>
        <v>-8337.7853357301065</v>
      </c>
      <c r="T2">
        <f t="shared" ref="T2" si="9">100*ABS(S2-R2)/ABS(S2)</f>
        <v>4.4733696559354721</v>
      </c>
    </row>
    <row r="3" spans="1:20" x14ac:dyDescent="0.25">
      <c r="A3" s="27"/>
      <c r="B3" s="27"/>
      <c r="C3" s="1">
        <v>7.61</v>
      </c>
      <c r="D3" s="2">
        <v>280.76</v>
      </c>
      <c r="E3" s="1">
        <v>59</v>
      </c>
      <c r="F3" s="1">
        <v>5.9</v>
      </c>
      <c r="G3" s="2">
        <v>5900000</v>
      </c>
      <c r="H3" s="2">
        <v>281.23134662255904</v>
      </c>
      <c r="I3" s="3">
        <f t="shared" si="0"/>
        <v>4.9800705781422039E-9</v>
      </c>
      <c r="J3" s="3">
        <f t="shared" si="1"/>
        <v>0.47134662255905369</v>
      </c>
      <c r="K3">
        <f t="shared" si="2"/>
        <v>5.9695478724229881E-6</v>
      </c>
      <c r="O3" s="4">
        <f t="shared" si="5"/>
        <v>1.7749523509116738</v>
      </c>
      <c r="P3" s="4">
        <f t="shared" si="6"/>
        <v>3.5617609346060694E-3</v>
      </c>
      <c r="Q3" s="4">
        <f t="shared" si="7"/>
        <v>3.5557913867336464E-3</v>
      </c>
    </row>
    <row r="4" spans="1:20" x14ac:dyDescent="0.25">
      <c r="A4" s="27"/>
      <c r="B4" s="27"/>
      <c r="C4" s="1">
        <v>10.15</v>
      </c>
      <c r="D4" s="2">
        <v>283.3</v>
      </c>
      <c r="E4" s="1">
        <v>77.91</v>
      </c>
      <c r="F4" s="1">
        <v>7.7910000000000004</v>
      </c>
      <c r="G4" s="2">
        <v>7791000</v>
      </c>
      <c r="H4" s="2">
        <v>283.80164387224352</v>
      </c>
      <c r="I4" s="3">
        <f t="shared" si="0"/>
        <v>2.068036408786611E-9</v>
      </c>
      <c r="J4" s="3">
        <f t="shared" si="1"/>
        <v>0.50164387224350548</v>
      </c>
      <c r="K4">
        <f t="shared" si="2"/>
        <v>6.2392735988787618E-6</v>
      </c>
      <c r="O4" s="4">
        <f t="shared" si="5"/>
        <v>2.0529692213487212</v>
      </c>
      <c r="P4" s="4">
        <f t="shared" si="6"/>
        <v>3.5298270384751147E-3</v>
      </c>
      <c r="Q4" s="4">
        <f t="shared" si="7"/>
        <v>3.5235877648762356E-3</v>
      </c>
    </row>
    <row r="5" spans="1:20" x14ac:dyDescent="0.25">
      <c r="A5" s="27"/>
      <c r="B5" s="27"/>
      <c r="C5" s="1">
        <v>11.98</v>
      </c>
      <c r="D5" s="2">
        <v>285.13</v>
      </c>
      <c r="E5" s="1">
        <v>96.58</v>
      </c>
      <c r="F5" s="1">
        <v>9.6579999999999995</v>
      </c>
      <c r="G5" s="2">
        <v>9658000</v>
      </c>
      <c r="H5" s="2">
        <v>285.69798785341311</v>
      </c>
      <c r="I5" s="3">
        <f t="shared" si="0"/>
        <v>1.2335092947068915E-9</v>
      </c>
      <c r="J5" s="3">
        <f t="shared" si="1"/>
        <v>0.56798785341311486</v>
      </c>
      <c r="K5">
        <f t="shared" si="2"/>
        <v>6.9725068968739993E-6</v>
      </c>
      <c r="O5" s="4">
        <f t="shared" si="5"/>
        <v>2.2677865874513503</v>
      </c>
      <c r="P5" s="4">
        <f t="shared" si="6"/>
        <v>3.5071721670816821E-3</v>
      </c>
      <c r="Q5" s="4">
        <f t="shared" si="7"/>
        <v>3.5001996601848081E-3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T13" sqref="T13"/>
    </sheetView>
  </sheetViews>
  <sheetFormatPr defaultRowHeight="15" x14ac:dyDescent="0.25"/>
  <cols>
    <col min="1" max="1" width="19.140625" bestFit="1" customWidth="1"/>
    <col min="2" max="2" width="15.28515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2</v>
      </c>
      <c r="B2" s="30" t="s">
        <v>31</v>
      </c>
      <c r="C2" s="1">
        <v>6.4279999999999999</v>
      </c>
      <c r="D2" s="15">
        <v>279.57799999999997</v>
      </c>
      <c r="E2" s="1">
        <v>59.38</v>
      </c>
      <c r="F2" s="1">
        <v>5.9379999999999997</v>
      </c>
      <c r="G2" s="2">
        <v>5938000</v>
      </c>
      <c r="H2" s="15">
        <v>281.29235342343782</v>
      </c>
      <c r="I2" s="3">
        <f t="shared" ref="I2:I4" si="0">F2-10^(-4646.471 +5314653/H2 -2271392000/H2^2 +430306500000/H2^3 -30511740000000/H2^4)</f>
        <v>4.9152992787071526E-9</v>
      </c>
      <c r="J2" s="3">
        <f t="shared" ref="J2:J4" si="1">H2-D2</f>
        <v>1.7143534234378421</v>
      </c>
      <c r="K2">
        <f t="shared" ref="K2:K4" si="2">(H2-D2)/(H2*D2)</f>
        <v>2.1799143921356169E-5</v>
      </c>
      <c r="L2">
        <f>_xlfn.STDEV.S(K2:K4)</f>
        <v>2.2473709774557151E-6</v>
      </c>
      <c r="M2">
        <f>AVERAGE(K2:K4)</f>
        <v>2.4389431616897902E-5</v>
      </c>
      <c r="N2" s="14">
        <f t="shared" ref="N2" si="3">100*L2/M2</f>
        <v>9.2145278855069872</v>
      </c>
      <c r="O2" s="4">
        <f t="shared" ref="O2:O4" si="4">LN(F2)</f>
        <v>1.7813723763415681</v>
      </c>
      <c r="P2" s="4">
        <f t="shared" ref="P2:P4" si="5">1/D2</f>
        <v>3.5768193491619517E-3</v>
      </c>
      <c r="Q2" s="4">
        <f t="shared" ref="Q2:Q4" si="6">1/H2</f>
        <v>3.5550202052405952E-3</v>
      </c>
      <c r="R2">
        <f>SLOPE(O2:O4,P2:P4)</f>
        <v>-9507.3552205253782</v>
      </c>
      <c r="S2">
        <f t="shared" ref="S2" si="7">SLOPE(O2:O5,Q2:Q5)</f>
        <v>-9042.817767101531</v>
      </c>
      <c r="T2">
        <f t="shared" ref="T2" si="8">100*ABS(S2-R2)/ABS(S2)</f>
        <v>5.1370874144325933</v>
      </c>
    </row>
    <row r="3" spans="1:20" x14ac:dyDescent="0.25">
      <c r="A3" s="27"/>
      <c r="B3" s="27"/>
      <c r="C3" s="1">
        <v>8.44</v>
      </c>
      <c r="D3" s="2">
        <v>281.58999999999997</v>
      </c>
      <c r="E3" s="1">
        <v>76.63</v>
      </c>
      <c r="F3" s="1">
        <v>7.6630000000000003</v>
      </c>
      <c r="G3" s="2">
        <v>7663000</v>
      </c>
      <c r="H3" s="2">
        <v>283.65238056683626</v>
      </c>
      <c r="I3" s="3">
        <f t="shared" si="0"/>
        <v>2.0864456828917355E-9</v>
      </c>
      <c r="J3" s="3">
        <f t="shared" si="1"/>
        <v>2.062380566836282</v>
      </c>
      <c r="K3">
        <f t="shared" si="2"/>
        <v>2.5820529688781447E-5</v>
      </c>
      <c r="O3" s="4">
        <f t="shared" si="4"/>
        <v>2.0364035519882675</v>
      </c>
      <c r="P3" s="4">
        <f t="shared" si="5"/>
        <v>3.5512624738094395E-3</v>
      </c>
      <c r="Q3" s="4">
        <f t="shared" si="6"/>
        <v>3.5254419441206582E-3</v>
      </c>
    </row>
    <row r="4" spans="1:20" x14ac:dyDescent="0.25">
      <c r="A4" s="27"/>
      <c r="B4" s="27"/>
      <c r="C4" s="1">
        <v>11.73</v>
      </c>
      <c r="D4" s="2">
        <v>284.88</v>
      </c>
      <c r="E4" s="1">
        <v>112.01</v>
      </c>
      <c r="F4" s="1">
        <v>11.201000000000001</v>
      </c>
      <c r="G4" s="2">
        <v>11201000</v>
      </c>
      <c r="H4" s="2">
        <v>286.9686413424136</v>
      </c>
      <c r="I4" s="3">
        <f t="shared" si="0"/>
        <v>6.0609117724652606E-10</v>
      </c>
      <c r="J4" s="3">
        <f t="shared" si="1"/>
        <v>2.0886413424136094</v>
      </c>
      <c r="K4">
        <f t="shared" si="2"/>
        <v>2.5548621240556089E-5</v>
      </c>
      <c r="O4" s="4">
        <f t="shared" si="4"/>
        <v>2.4160030600296025</v>
      </c>
      <c r="P4" s="4">
        <f t="shared" si="5"/>
        <v>3.5102499297950014E-3</v>
      </c>
      <c r="Q4" s="4">
        <f t="shared" si="6"/>
        <v>3.4847013085544452E-3</v>
      </c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M1" workbookViewId="0">
      <selection sqref="A1:T11"/>
    </sheetView>
  </sheetViews>
  <sheetFormatPr defaultRowHeight="15" x14ac:dyDescent="0.25"/>
  <cols>
    <col min="1" max="1" width="20.28515625" bestFit="1" customWidth="1"/>
    <col min="2" max="2" width="18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32</v>
      </c>
      <c r="B2" s="26" t="s">
        <v>33</v>
      </c>
      <c r="C2" s="1">
        <v>1.45</v>
      </c>
      <c r="D2" s="2">
        <v>274.60000000000002</v>
      </c>
      <c r="E2" s="1">
        <v>31.8</v>
      </c>
      <c r="F2" s="2">
        <v>3.18</v>
      </c>
      <c r="G2" s="2">
        <v>3180000</v>
      </c>
      <c r="H2" s="2">
        <v>274.96947387012835</v>
      </c>
      <c r="I2" s="3">
        <f t="shared" ref="I2:I11" si="0">F2-10^(-4646.471 +5314653/H2 -2271392000/H2^2 +430306500000/H2^3 -30511740000000/H2^4)</f>
        <v>3.3423548373434642E-9</v>
      </c>
      <c r="J2" s="3">
        <f t="shared" ref="J2:J11" si="1">H2-D2</f>
        <v>0.36947387012833133</v>
      </c>
      <c r="K2">
        <f t="shared" ref="K2:K11" si="2">(H2-D2)/(H2*D2)</f>
        <v>4.8932647526858869E-6</v>
      </c>
      <c r="L2">
        <f>_xlfn.STDEV.S(K2:K11)</f>
        <v>1.1312699441319551E-6</v>
      </c>
      <c r="M2">
        <f>AVERAGE(K2:K11)</f>
        <v>6.0421850689813444E-6</v>
      </c>
      <c r="N2">
        <f t="shared" ref="N2" si="3">100*L2/M2</f>
        <v>18.72286153463811</v>
      </c>
      <c r="O2" s="4">
        <f t="shared" ref="O2:O11" si="4">LN(F2)</f>
        <v>1.1568811967920856</v>
      </c>
      <c r="P2" s="4">
        <f t="shared" ref="P2:P11" si="5">1/D2</f>
        <v>3.6416605972323375E-3</v>
      </c>
      <c r="Q2" s="4">
        <f t="shared" ref="Q2:Q11" si="6">1/H2</f>
        <v>3.6367673324796518E-3</v>
      </c>
      <c r="R2">
        <f>SLOPE(O2:O11,P2:P11)</f>
        <v>-8075.3896415788195</v>
      </c>
      <c r="S2">
        <f>SLOPE(O2:O11,Q2:Q11)</f>
        <v>-7948.8078545612452</v>
      </c>
      <c r="T2">
        <f t="shared" ref="T2" si="7">100*ABS(S2-R2)/ABS(S2)</f>
        <v>1.5924625344282051</v>
      </c>
    </row>
    <row r="3" spans="1:20" x14ac:dyDescent="0.25">
      <c r="A3" s="27"/>
      <c r="B3" s="27"/>
      <c r="C3" s="1">
        <v>2.35</v>
      </c>
      <c r="D3" s="2">
        <v>275.5</v>
      </c>
      <c r="E3" s="1">
        <v>34.4</v>
      </c>
      <c r="F3" s="2">
        <v>3.44</v>
      </c>
      <c r="G3" s="2">
        <v>3440000</v>
      </c>
      <c r="H3" s="2">
        <v>275.80487857477232</v>
      </c>
      <c r="I3" s="3">
        <f t="shared" si="0"/>
        <v>2.9232318787819622E-9</v>
      </c>
      <c r="J3" s="3">
        <f t="shared" si="1"/>
        <v>0.30487857477231728</v>
      </c>
      <c r="K3">
        <f t="shared" si="2"/>
        <v>4.0123920240929345E-6</v>
      </c>
      <c r="O3" s="4">
        <f t="shared" si="4"/>
        <v>1.235471471385307</v>
      </c>
      <c r="P3" s="4">
        <f t="shared" si="5"/>
        <v>3.629764065335753E-3</v>
      </c>
      <c r="Q3" s="4">
        <f t="shared" si="6"/>
        <v>3.6257516733116603E-3</v>
      </c>
    </row>
    <row r="4" spans="1:20" x14ac:dyDescent="0.25">
      <c r="A4" s="27"/>
      <c r="B4" s="27"/>
      <c r="C4" s="1">
        <v>4.3499999999999996</v>
      </c>
      <c r="D4" s="2">
        <v>277.5</v>
      </c>
      <c r="E4" s="1">
        <v>42.2</v>
      </c>
      <c r="F4" s="2">
        <v>4.22</v>
      </c>
      <c r="G4" s="2">
        <v>4220000</v>
      </c>
      <c r="H4" s="2">
        <v>277.92920105241092</v>
      </c>
      <c r="I4" s="3">
        <f t="shared" si="0"/>
        <v>1.7186252421197423E-9</v>
      </c>
      <c r="J4" s="3">
        <f t="shared" si="1"/>
        <v>0.42920105241091733</v>
      </c>
      <c r="K4">
        <f t="shared" si="2"/>
        <v>5.5649800498896658E-6</v>
      </c>
      <c r="O4" s="4">
        <f t="shared" si="4"/>
        <v>1.4398351280479205</v>
      </c>
      <c r="P4" s="4">
        <f t="shared" si="5"/>
        <v>3.6036036036036037E-3</v>
      </c>
      <c r="Q4" s="4">
        <f t="shared" si="6"/>
        <v>3.5980386235537139E-3</v>
      </c>
    </row>
    <row r="5" spans="1:20" x14ac:dyDescent="0.25">
      <c r="A5" s="27"/>
      <c r="B5" s="27"/>
      <c r="C5" s="1">
        <v>5.45</v>
      </c>
      <c r="D5" s="2">
        <v>278.60000000000002</v>
      </c>
      <c r="E5" s="1">
        <v>47.9</v>
      </c>
      <c r="F5" s="2">
        <v>4.79</v>
      </c>
      <c r="G5" s="2">
        <v>4790000</v>
      </c>
      <c r="H5" s="2">
        <v>279.20505452672217</v>
      </c>
      <c r="I5" s="3">
        <f t="shared" si="0"/>
        <v>1.2465424248375712E-9</v>
      </c>
      <c r="J5" s="3">
        <f t="shared" si="1"/>
        <v>0.60505452672214233</v>
      </c>
      <c r="K5">
        <f t="shared" si="2"/>
        <v>7.7783973753828185E-6</v>
      </c>
      <c r="O5" s="4">
        <f t="shared" si="4"/>
        <v>1.5665304114228238</v>
      </c>
      <c r="P5" s="4">
        <f t="shared" si="5"/>
        <v>3.5893754486719309E-3</v>
      </c>
      <c r="Q5" s="4">
        <f t="shared" si="6"/>
        <v>3.5815970512965479E-3</v>
      </c>
    </row>
    <row r="6" spans="1:20" x14ac:dyDescent="0.25">
      <c r="A6" s="27"/>
      <c r="B6" s="27"/>
      <c r="C6" s="1">
        <v>6.65</v>
      </c>
      <c r="D6" s="2">
        <v>279.8</v>
      </c>
      <c r="E6" s="1">
        <v>53.7</v>
      </c>
      <c r="F6" s="2">
        <v>5.37</v>
      </c>
      <c r="G6" s="2">
        <v>5370000</v>
      </c>
      <c r="H6" s="2">
        <v>280.3273638518487</v>
      </c>
      <c r="I6" s="3">
        <f t="shared" si="0"/>
        <v>8.9000540270944839E-10</v>
      </c>
      <c r="J6" s="3">
        <f t="shared" si="1"/>
        <v>0.5273638518486905</v>
      </c>
      <c r="K6">
        <f t="shared" si="2"/>
        <v>6.7235270210815733E-6</v>
      </c>
      <c r="O6" s="4">
        <f t="shared" si="4"/>
        <v>1.6808279085207734</v>
      </c>
      <c r="P6" s="4">
        <f t="shared" si="5"/>
        <v>3.5739814152966403E-3</v>
      </c>
      <c r="Q6" s="4">
        <f t="shared" si="6"/>
        <v>3.5672578882755589E-3</v>
      </c>
    </row>
    <row r="7" spans="1:20" x14ac:dyDescent="0.25">
      <c r="A7" s="27"/>
      <c r="B7" s="27"/>
      <c r="C7" s="1">
        <v>7.75</v>
      </c>
      <c r="D7" s="2">
        <v>280.89999999999998</v>
      </c>
      <c r="E7" s="1">
        <v>60</v>
      </c>
      <c r="F7" s="1">
        <v>6</v>
      </c>
      <c r="G7" s="2">
        <v>6000000</v>
      </c>
      <c r="H7" s="2">
        <v>281.39088397389725</v>
      </c>
      <c r="I7" s="3">
        <f t="shared" si="0"/>
        <v>6.3139360406694323E-10</v>
      </c>
      <c r="J7" s="3">
        <f t="shared" si="1"/>
        <v>0.49088397389726879</v>
      </c>
      <c r="K7">
        <f t="shared" si="2"/>
        <v>6.2103645016323869E-6</v>
      </c>
      <c r="O7" s="4">
        <f t="shared" si="4"/>
        <v>1.791759469228055</v>
      </c>
      <c r="P7" s="4">
        <f t="shared" si="5"/>
        <v>3.55998576005696E-3</v>
      </c>
      <c r="Q7" s="4">
        <f t="shared" si="6"/>
        <v>3.5537753955553275E-3</v>
      </c>
    </row>
    <row r="8" spans="1:20" x14ac:dyDescent="0.25">
      <c r="A8" s="27"/>
      <c r="B8" s="27"/>
      <c r="C8" s="1">
        <v>8.5500000000000007</v>
      </c>
      <c r="D8" s="2">
        <v>281.7</v>
      </c>
      <c r="E8" s="1">
        <v>65.400000000000006</v>
      </c>
      <c r="F8" s="2">
        <v>6.54</v>
      </c>
      <c r="G8" s="2">
        <v>6540000</v>
      </c>
      <c r="H8" s="2">
        <v>282.20021686647647</v>
      </c>
      <c r="I8" s="3">
        <f t="shared" si="0"/>
        <v>3.9581316002568201E-10</v>
      </c>
      <c r="J8" s="3">
        <f t="shared" si="1"/>
        <v>0.50021686647647812</v>
      </c>
      <c r="K8">
        <f t="shared" si="2"/>
        <v>6.2923683969430079E-6</v>
      </c>
      <c r="O8" s="4">
        <f t="shared" si="4"/>
        <v>1.8779371654691073</v>
      </c>
      <c r="P8" s="4">
        <f t="shared" si="5"/>
        <v>3.549875754348598E-3</v>
      </c>
      <c r="Q8" s="4">
        <f t="shared" si="6"/>
        <v>3.5435833859516551E-3</v>
      </c>
    </row>
    <row r="9" spans="1:20" x14ac:dyDescent="0.25">
      <c r="A9" s="27"/>
      <c r="B9" s="27"/>
      <c r="C9" s="1">
        <v>9.5500000000000007</v>
      </c>
      <c r="D9" s="2">
        <v>282.7</v>
      </c>
      <c r="E9" s="1">
        <v>72.2</v>
      </c>
      <c r="F9" s="2">
        <v>7.22</v>
      </c>
      <c r="G9" s="2">
        <v>7220000</v>
      </c>
      <c r="H9" s="2">
        <v>283.11194636906356</v>
      </c>
      <c r="I9" s="3">
        <f t="shared" si="0"/>
        <v>3.3323210857361119E-10</v>
      </c>
      <c r="J9" s="3">
        <f t="shared" si="1"/>
        <v>0.41194636906357118</v>
      </c>
      <c r="K9">
        <f t="shared" si="2"/>
        <v>5.1470297120588902E-6</v>
      </c>
      <c r="O9" s="4">
        <f t="shared" si="4"/>
        <v>1.9768549529047348</v>
      </c>
      <c r="P9" s="4">
        <f t="shared" si="5"/>
        <v>3.5373187124159888E-3</v>
      </c>
      <c r="Q9" s="4">
        <f t="shared" si="6"/>
        <v>3.53217168270393E-3</v>
      </c>
    </row>
    <row r="10" spans="1:20" x14ac:dyDescent="0.25">
      <c r="A10" s="27"/>
      <c r="B10" s="27"/>
      <c r="C10" s="1">
        <v>9.9499999999999993</v>
      </c>
      <c r="D10" s="2">
        <v>283.10000000000002</v>
      </c>
      <c r="E10" s="1">
        <v>76.599999999999994</v>
      </c>
      <c r="F10" s="2">
        <v>7.66</v>
      </c>
      <c r="G10" s="2">
        <v>7660000</v>
      </c>
      <c r="H10" s="2">
        <v>283.64884678917895</v>
      </c>
      <c r="I10" s="3">
        <f t="shared" si="0"/>
        <v>1.7828583054324554E-10</v>
      </c>
      <c r="J10" s="3">
        <f t="shared" si="1"/>
        <v>0.54884678917892415</v>
      </c>
      <c r="K10">
        <f t="shared" si="2"/>
        <v>6.8348696479758075E-6</v>
      </c>
      <c r="O10" s="4">
        <f t="shared" si="4"/>
        <v>2.0360119837525001</v>
      </c>
      <c r="P10" s="4">
        <f t="shared" si="5"/>
        <v>3.5323207347227126E-3</v>
      </c>
      <c r="Q10" s="4">
        <f t="shared" si="6"/>
        <v>3.5254858650747367E-3</v>
      </c>
    </row>
    <row r="11" spans="1:20" x14ac:dyDescent="0.25">
      <c r="A11" s="27"/>
      <c r="B11" s="27"/>
      <c r="C11" s="1">
        <v>10.25</v>
      </c>
      <c r="D11" s="2">
        <v>283.39999999999998</v>
      </c>
      <c r="E11" s="1">
        <v>79.3</v>
      </c>
      <c r="F11" s="2">
        <v>7.93</v>
      </c>
      <c r="G11" s="2">
        <v>7930000</v>
      </c>
      <c r="H11" s="2">
        <v>283.96047660354412</v>
      </c>
      <c r="I11" s="3">
        <f t="shared" si="0"/>
        <v>1.9745982626773184E-10</v>
      </c>
      <c r="J11" s="3">
        <f t="shared" si="1"/>
        <v>0.56047660354414575</v>
      </c>
      <c r="K11">
        <f t="shared" si="2"/>
        <v>6.9646572080704742E-6</v>
      </c>
      <c r="O11" s="4">
        <f t="shared" si="4"/>
        <v>2.0706530356467567</v>
      </c>
      <c r="P11" s="4">
        <f t="shared" si="5"/>
        <v>3.5285815102328866E-3</v>
      </c>
      <c r="Q11" s="4">
        <f t="shared" si="6"/>
        <v>3.5216168530248161E-3</v>
      </c>
    </row>
  </sheetData>
  <mergeCells count="2">
    <mergeCell ref="A2:A11"/>
    <mergeCell ref="B2:B1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M1" workbookViewId="0">
      <selection activeCell="P17" sqref="P17"/>
    </sheetView>
  </sheetViews>
  <sheetFormatPr defaultRowHeight="15" x14ac:dyDescent="0.25"/>
  <cols>
    <col min="1" max="1" width="19.140625" bestFit="1" customWidth="1"/>
    <col min="2" max="2" width="17.28515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6" t="s">
        <v>2</v>
      </c>
      <c r="B2" s="30" t="s">
        <v>34</v>
      </c>
      <c r="C2" s="1">
        <v>3.9409999999999998</v>
      </c>
      <c r="D2" s="15">
        <v>277.09100000000001</v>
      </c>
      <c r="E2" s="1">
        <v>38.46</v>
      </c>
      <c r="F2" s="1">
        <v>3.8460000000000001</v>
      </c>
      <c r="G2" s="2">
        <v>3846000</v>
      </c>
      <c r="H2" s="15">
        <v>276.97408411731061</v>
      </c>
      <c r="I2" s="3">
        <f t="shared" ref="I2:I6" si="0">F2-10^(-4646.471 +5314653/H2 -2271392000/H2^2 +430306500000/H2^3 -30511740000000/H2^4)</f>
        <v>-3.5274005938390474E-11</v>
      </c>
      <c r="J2" s="3">
        <f>H2-D2</f>
        <v>-0.11691588268939768</v>
      </c>
      <c r="K2">
        <f t="shared" ref="K2:K6" si="1">(H2-D2)/(H2*D2)</f>
        <v>-1.5233930077958512E-6</v>
      </c>
      <c r="L2">
        <f>_xlfn.STDEV.S(K2:K6)</f>
        <v>1.46016201386834E-6</v>
      </c>
      <c r="M2">
        <f>AVERAGE(K2:K6)</f>
        <v>-1.0878815605861165E-9</v>
      </c>
      <c r="N2">
        <f>100*ABS(L2/M2)</f>
        <v>134220.67868138608</v>
      </c>
      <c r="O2" s="4">
        <f t="shared" ref="O2:O6" si="2">LN(F2)</f>
        <v>1.347033647166588</v>
      </c>
      <c r="P2" s="4">
        <f t="shared" ref="P2:P6" si="3">1/D2</f>
        <v>3.6089227004846782E-3</v>
      </c>
      <c r="Q2" s="4">
        <f t="shared" ref="Q2:Q6" si="4">1/H2</f>
        <v>3.610446093492474E-3</v>
      </c>
      <c r="R2">
        <f>SLOPE(O2:O6,P2:P6)</f>
        <v>-8723.7475830174717</v>
      </c>
      <c r="S2">
        <f>SLOPE(O2:O6,Q2:Q6)</f>
        <v>-8502.0198978554126</v>
      </c>
      <c r="T2">
        <f t="shared" ref="T2" si="5">100*ABS(S2-R2)/ABS(S2)</f>
        <v>2.6079412636753374</v>
      </c>
    </row>
    <row r="3" spans="1:20" x14ac:dyDescent="0.25">
      <c r="A3" s="27"/>
      <c r="B3" s="27"/>
      <c r="C3" s="1">
        <v>8.3000000000000007</v>
      </c>
      <c r="D3" s="2">
        <v>281.45</v>
      </c>
      <c r="E3" s="1">
        <v>59.8</v>
      </c>
      <c r="F3" s="2">
        <v>5.98</v>
      </c>
      <c r="G3" s="2">
        <v>5980000</v>
      </c>
      <c r="H3" s="2">
        <v>281.35923497096707</v>
      </c>
      <c r="I3" s="3">
        <f t="shared" si="0"/>
        <v>-1.6981971384666394E-11</v>
      </c>
      <c r="J3" s="3">
        <f t="shared" ref="J3:J6" si="6">H3-D3</f>
        <v>-9.0765029032922939E-2</v>
      </c>
      <c r="K3">
        <f t="shared" si="1"/>
        <v>-1.1461887024503763E-6</v>
      </c>
      <c r="O3" s="4">
        <f t="shared" si="2"/>
        <v>1.7884205679625405</v>
      </c>
      <c r="P3" s="4">
        <f t="shared" si="3"/>
        <v>3.5530289571860012E-3</v>
      </c>
      <c r="Q3" s="4">
        <f t="shared" si="4"/>
        <v>3.5541751458884516E-3</v>
      </c>
    </row>
    <row r="4" spans="1:20" x14ac:dyDescent="0.25">
      <c r="A4" s="27"/>
      <c r="B4" s="27"/>
      <c r="C4" s="1">
        <v>10.51</v>
      </c>
      <c r="D4" s="2">
        <v>283.66000000000003</v>
      </c>
      <c r="E4" s="1">
        <v>76.430000000000007</v>
      </c>
      <c r="F4" s="1">
        <v>7.6429999999999998</v>
      </c>
      <c r="G4" s="2">
        <v>7643000</v>
      </c>
      <c r="H4" s="2">
        <v>283.62879094180312</v>
      </c>
      <c r="I4" s="3">
        <f t="shared" si="0"/>
        <v>-6.4231286955873657E-11</v>
      </c>
      <c r="J4" s="3">
        <f t="shared" si="6"/>
        <v>-3.1209058196907336E-2</v>
      </c>
      <c r="K4">
        <f t="shared" si="1"/>
        <v>-3.8791113913841401E-7</v>
      </c>
      <c r="O4" s="4">
        <f t="shared" si="2"/>
        <v>2.033790196260747</v>
      </c>
      <c r="P4" s="4">
        <f t="shared" si="3"/>
        <v>3.5253472467038E-3</v>
      </c>
      <c r="Q4" s="4">
        <f t="shared" si="4"/>
        <v>3.5257351578429383E-3</v>
      </c>
    </row>
    <row r="5" spans="1:20" x14ac:dyDescent="0.25">
      <c r="A5" s="27"/>
      <c r="B5" s="27"/>
      <c r="C5" s="1">
        <v>12.32</v>
      </c>
      <c r="D5" s="2">
        <v>285.47000000000003</v>
      </c>
      <c r="E5" s="1">
        <v>95.62</v>
      </c>
      <c r="F5" s="1">
        <v>9.5619999999999994</v>
      </c>
      <c r="G5" s="2">
        <v>9562000</v>
      </c>
      <c r="H5" s="2">
        <v>285.61131299405315</v>
      </c>
      <c r="I5" s="3">
        <f t="shared" si="0"/>
        <v>3.3235636465178686E-12</v>
      </c>
      <c r="J5" s="3">
        <f t="shared" si="6"/>
        <v>0.14131299405312348</v>
      </c>
      <c r="K5">
        <f t="shared" si="1"/>
        <v>1.7331901702437224E-6</v>
      </c>
      <c r="O5" s="4">
        <f t="shared" si="2"/>
        <v>2.2577969102039117</v>
      </c>
      <c r="P5" s="4">
        <f t="shared" si="3"/>
        <v>3.5029950607769638E-3</v>
      </c>
      <c r="Q5" s="4">
        <f t="shared" si="4"/>
        <v>3.5012618706067203E-3</v>
      </c>
    </row>
    <row r="6" spans="1:20" x14ac:dyDescent="0.25">
      <c r="A6" s="27"/>
      <c r="B6" s="27"/>
      <c r="C6" s="1">
        <v>13.93</v>
      </c>
      <c r="D6" s="2">
        <v>287.08</v>
      </c>
      <c r="E6" s="1">
        <v>114.96</v>
      </c>
      <c r="F6" s="1">
        <v>11.496</v>
      </c>
      <c r="G6" s="2">
        <v>11496000</v>
      </c>
      <c r="H6" s="2">
        <v>287.1887351886765</v>
      </c>
      <c r="I6" s="3">
        <f t="shared" si="0"/>
        <v>-6.4300564872610266E-11</v>
      </c>
      <c r="J6" s="3">
        <f t="shared" si="6"/>
        <v>0.1087351886765191</v>
      </c>
      <c r="K6">
        <f t="shared" si="1"/>
        <v>1.3188632713379886E-6</v>
      </c>
      <c r="O6" s="4">
        <f t="shared" si="2"/>
        <v>2.4419991487767239</v>
      </c>
      <c r="P6" s="4">
        <f t="shared" si="3"/>
        <v>3.4833495889647487E-3</v>
      </c>
      <c r="Q6" s="4">
        <f t="shared" si="4"/>
        <v>3.4820307256934109E-3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35</vt:i4>
      </vt:variant>
    </vt:vector>
  </HeadingPairs>
  <TitlesOfParts>
    <vt:vector size="35" baseType="lpstr">
      <vt:lpstr>deahso4_1_gupta</vt:lpstr>
      <vt:lpstr>dmaof_5_altamash</vt:lpstr>
      <vt:lpstr>dmaof_10_altamash</vt:lpstr>
      <vt:lpstr>dmeaof_5_altamsh</vt:lpstr>
      <vt:lpstr>dmeaof_10_altamash</vt:lpstr>
      <vt:lpstr>eaof_5_altamash</vt:lpstr>
      <vt:lpstr>eaof_10_altamash</vt:lpstr>
      <vt:lpstr>teacl_10_25_kazemi</vt:lpstr>
      <vt:lpstr>tbmaof_5_altamash</vt:lpstr>
      <vt:lpstr>tbmaof_10_altamash</vt:lpstr>
      <vt:lpstr>teabr_1_qasim</vt:lpstr>
      <vt:lpstr>teabr_5_qasim</vt:lpstr>
      <vt:lpstr>teabr_10_qasim</vt:lpstr>
      <vt:lpstr>teai_1_qasim</vt:lpstr>
      <vt:lpstr>teai_5_qasim</vt:lpstr>
      <vt:lpstr>teai_10_nashed</vt:lpstr>
      <vt:lpstr>teai_10_qasim</vt:lpstr>
      <vt:lpstr>tmaac_1_tariq</vt:lpstr>
      <vt:lpstr>tmaac_5_tariq</vt:lpstr>
      <vt:lpstr>tmabr_1_qasim</vt:lpstr>
      <vt:lpstr>tmabr_5_qasim</vt:lpstr>
      <vt:lpstr>tmabr_10_qasim</vt:lpstr>
      <vt:lpstr>tmacl_1_khan</vt:lpstr>
      <vt:lpstr>tmacl_5_khan</vt:lpstr>
      <vt:lpstr>tmacl_10_khan</vt:lpstr>
      <vt:lpstr>tmaoh_1_khan</vt:lpstr>
      <vt:lpstr>tmaoh_5_khan</vt:lpstr>
      <vt:lpstr>tmaoh_10_khan</vt:lpstr>
      <vt:lpstr>triprahso4_1_gupta</vt:lpstr>
      <vt:lpstr>tribahso4_1_gupta</vt:lpstr>
      <vt:lpstr>tests</vt:lpstr>
      <vt:lpstr>test_1_pass</vt:lpstr>
      <vt:lpstr>test_2_pass</vt:lpstr>
      <vt:lpstr>test_1_nopass</vt:lpstr>
      <vt:lpstr>test_2_nopass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MARIANA DILL CARVALHO</cp:lastModifiedBy>
  <dcterms:created xsi:type="dcterms:W3CDTF">2024-04-06T18:22:27Z</dcterms:created>
  <dcterms:modified xsi:type="dcterms:W3CDTF">2024-05-24T17:41:08Z</dcterms:modified>
</cp:coreProperties>
</file>