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e6dbdf7f0022e79/Documentos/Coding/Year4Project/FYP_Aortic_Anatomy_CODE/"/>
    </mc:Choice>
  </mc:AlternateContent>
  <xr:revisionPtr revIDLastSave="1000" documentId="8_{0BC8DA0B-0130-48BD-B188-9C39C0A17F90}" xr6:coauthVersionLast="47" xr6:coauthVersionMax="47" xr10:uidLastSave="{1BE03103-0B64-4E12-B03F-9CF73310AA46}"/>
  <bookViews>
    <workbookView minimized="1" xWindow="15" yWindow="0" windowWidth="20505" windowHeight="13080" activeTab="5" xr2:uid="{198E8DF6-2ADD-4C06-9DC2-C20D7FF0DDA5}"/>
  </bookViews>
  <sheets>
    <sheet name="All Data" sheetId="1" r:id="rId1"/>
    <sheet name="Aortic Root" sheetId="2" r:id="rId2"/>
    <sheet name="Ascending Aorta" sheetId="3" r:id="rId3"/>
    <sheet name="Tranverse Aorta" sheetId="4" r:id="rId4"/>
    <sheet name="Uncertainty" sheetId="5" r:id="rId5"/>
    <sheet name="Correlation Information" sheetId="6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4" l="1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" i="4"/>
  <c r="J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1" i="2"/>
  <c r="H24" i="5"/>
  <c r="I15" i="5" s="1"/>
  <c r="J15" i="5" s="1"/>
  <c r="I9" i="5"/>
  <c r="J9" i="5" s="1"/>
  <c r="I10" i="5"/>
  <c r="J10" i="5" s="1"/>
  <c r="H23" i="5"/>
  <c r="I11" i="5" s="1"/>
  <c r="J11" i="5" s="1"/>
  <c r="J3" i="5"/>
  <c r="J4" i="5"/>
  <c r="J5" i="5"/>
  <c r="I3" i="5"/>
  <c r="I4" i="5"/>
  <c r="I5" i="5"/>
  <c r="I6" i="5"/>
  <c r="J6" i="5" s="1"/>
  <c r="I2" i="5"/>
  <c r="J2" i="5" s="1"/>
  <c r="H7" i="5" s="1"/>
  <c r="G14" i="2" s="1"/>
  <c r="F11" i="5"/>
  <c r="G11" i="5" s="1"/>
  <c r="H22" i="5"/>
  <c r="E24" i="5"/>
  <c r="F18" i="5" s="1"/>
  <c r="G18" i="5" s="1"/>
  <c r="E23" i="5"/>
  <c r="F9" i="5" s="1"/>
  <c r="G9" i="5" s="1"/>
  <c r="E22" i="5"/>
  <c r="F4" i="5" s="1"/>
  <c r="G4" i="5" s="1"/>
  <c r="C18" i="5"/>
  <c r="D18" i="5" s="1"/>
  <c r="B24" i="5"/>
  <c r="C17" i="5" s="1"/>
  <c r="D17" i="5" s="1"/>
  <c r="B23" i="5"/>
  <c r="C11" i="5" s="1"/>
  <c r="D11" i="5" s="1"/>
  <c r="B22" i="5"/>
  <c r="C4" i="5" s="1"/>
  <c r="D4" i="5" s="1"/>
  <c r="H2" i="4"/>
  <c r="H2" i="2"/>
  <c r="H2" i="3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" i="4"/>
  <c r="B3" i="4"/>
  <c r="D3" i="4" s="1"/>
  <c r="B4" i="4"/>
  <c r="D4" i="4" s="1"/>
  <c r="B5" i="4"/>
  <c r="D5" i="4" s="1"/>
  <c r="B6" i="4"/>
  <c r="B7" i="4"/>
  <c r="D7" i="4" s="1"/>
  <c r="B8" i="4"/>
  <c r="D8" i="4" s="1"/>
  <c r="F8" i="4" s="1"/>
  <c r="B9" i="4"/>
  <c r="D9" i="4" s="1"/>
  <c r="B10" i="4"/>
  <c r="D10" i="4" s="1"/>
  <c r="B11" i="4"/>
  <c r="D11" i="4" s="1"/>
  <c r="B12" i="4"/>
  <c r="D12" i="4" s="1"/>
  <c r="B13" i="4"/>
  <c r="D13" i="4" s="1"/>
  <c r="B14" i="4"/>
  <c r="D14" i="4" s="1"/>
  <c r="B15" i="4"/>
  <c r="D15" i="4" s="1"/>
  <c r="B16" i="4"/>
  <c r="D16" i="4" s="1"/>
  <c r="F16" i="4" s="1"/>
  <c r="B17" i="4"/>
  <c r="D17" i="4" s="1"/>
  <c r="B18" i="4"/>
  <c r="D18" i="4" s="1"/>
  <c r="B19" i="4"/>
  <c r="D19" i="4" s="1"/>
  <c r="B20" i="4"/>
  <c r="D20" i="4" s="1"/>
  <c r="B21" i="4"/>
  <c r="D21" i="4" s="1"/>
  <c r="B22" i="4"/>
  <c r="D22" i="4" s="1"/>
  <c r="B23" i="4"/>
  <c r="D23" i="4" s="1"/>
  <c r="B24" i="4"/>
  <c r="D24" i="4" s="1"/>
  <c r="F24" i="4" s="1"/>
  <c r="B25" i="4"/>
  <c r="D25" i="4" s="1"/>
  <c r="B26" i="4"/>
  <c r="D26" i="4" s="1"/>
  <c r="B27" i="4"/>
  <c r="D27" i="4" s="1"/>
  <c r="B2" i="4"/>
  <c r="D2" i="4" s="1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" i="4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" i="3"/>
  <c r="B3" i="3"/>
  <c r="D3" i="3" s="1"/>
  <c r="B4" i="3"/>
  <c r="D4" i="3" s="1"/>
  <c r="B5" i="3"/>
  <c r="D5" i="3" s="1"/>
  <c r="B6" i="3"/>
  <c r="D6" i="3" s="1"/>
  <c r="F6" i="3" s="1"/>
  <c r="B7" i="3"/>
  <c r="D7" i="3" s="1"/>
  <c r="F7" i="3" s="1"/>
  <c r="B8" i="3"/>
  <c r="D8" i="3" s="1"/>
  <c r="B9" i="3"/>
  <c r="D9" i="3" s="1"/>
  <c r="B10" i="3"/>
  <c r="D10" i="3" s="1"/>
  <c r="B11" i="3"/>
  <c r="D11" i="3" s="1"/>
  <c r="B12" i="3"/>
  <c r="D12" i="3" s="1"/>
  <c r="B13" i="3"/>
  <c r="D13" i="3" s="1"/>
  <c r="B14" i="3"/>
  <c r="D14" i="3" s="1"/>
  <c r="F14" i="3" s="1"/>
  <c r="B15" i="3"/>
  <c r="D15" i="3" s="1"/>
  <c r="B16" i="3"/>
  <c r="D16" i="3" s="1"/>
  <c r="B17" i="3"/>
  <c r="D17" i="3" s="1"/>
  <c r="B18" i="3"/>
  <c r="B19" i="3"/>
  <c r="D19" i="3" s="1"/>
  <c r="F19" i="3" s="1"/>
  <c r="B20" i="3"/>
  <c r="D20" i="3" s="1"/>
  <c r="B21" i="3"/>
  <c r="D21" i="3" s="1"/>
  <c r="B22" i="3"/>
  <c r="D22" i="3" s="1"/>
  <c r="F22" i="3" s="1"/>
  <c r="B23" i="3"/>
  <c r="D23" i="3" s="1"/>
  <c r="B24" i="3"/>
  <c r="D24" i="3" s="1"/>
  <c r="B25" i="3"/>
  <c r="D25" i="3" s="1"/>
  <c r="B26" i="3"/>
  <c r="D26" i="3" s="1"/>
  <c r="B27" i="3"/>
  <c r="D27" i="3" s="1"/>
  <c r="B2" i="3"/>
  <c r="D2" i="3" s="1"/>
  <c r="F2" i="3" s="1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" i="3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" i="2"/>
  <c r="B4" i="2"/>
  <c r="D4" i="2" s="1"/>
  <c r="B5" i="2"/>
  <c r="D5" i="2" s="1"/>
  <c r="B6" i="2"/>
  <c r="D6" i="2" s="1"/>
  <c r="B7" i="2"/>
  <c r="D7" i="2" s="1"/>
  <c r="B8" i="2"/>
  <c r="D8" i="2" s="1"/>
  <c r="B9" i="2"/>
  <c r="D9" i="2" s="1"/>
  <c r="B10" i="2"/>
  <c r="D10" i="2" s="1"/>
  <c r="B11" i="2"/>
  <c r="D11" i="2" s="1"/>
  <c r="B12" i="2"/>
  <c r="D12" i="2" s="1"/>
  <c r="B13" i="2"/>
  <c r="D13" i="2" s="1"/>
  <c r="B14" i="2"/>
  <c r="D14" i="2" s="1"/>
  <c r="B15" i="2"/>
  <c r="D15" i="2" s="1"/>
  <c r="B16" i="2"/>
  <c r="D16" i="2" s="1"/>
  <c r="B17" i="2"/>
  <c r="D17" i="2" s="1"/>
  <c r="B18" i="2"/>
  <c r="D18" i="2" s="1"/>
  <c r="B19" i="2"/>
  <c r="D19" i="2" s="1"/>
  <c r="B20" i="2"/>
  <c r="D20" i="2" s="1"/>
  <c r="B21" i="2"/>
  <c r="D21" i="2" s="1"/>
  <c r="B22" i="2"/>
  <c r="D22" i="2" s="1"/>
  <c r="B23" i="2"/>
  <c r="D23" i="2" s="1"/>
  <c r="B24" i="2"/>
  <c r="D24" i="2" s="1"/>
  <c r="B25" i="2"/>
  <c r="D25" i="2" s="1"/>
  <c r="B26" i="2"/>
  <c r="D26" i="2" s="1"/>
  <c r="B27" i="2"/>
  <c r="D27" i="2" s="1"/>
  <c r="B3" i="2"/>
  <c r="D3" i="2" s="1"/>
  <c r="B2" i="2"/>
  <c r="D2" i="2" s="1"/>
  <c r="D6" i="4"/>
  <c r="D18" i="3"/>
  <c r="F2" i="4" l="1"/>
  <c r="F17" i="3"/>
  <c r="F25" i="4"/>
  <c r="F17" i="4"/>
  <c r="F9" i="4"/>
  <c r="F11" i="3"/>
  <c r="F24" i="2"/>
  <c r="F16" i="2"/>
  <c r="F8" i="2"/>
  <c r="F25" i="3"/>
  <c r="C2" i="5"/>
  <c r="I14" i="5"/>
  <c r="J14" i="5" s="1"/>
  <c r="I18" i="5"/>
  <c r="J18" i="5" s="1"/>
  <c r="F8" i="5"/>
  <c r="G8" i="5" s="1"/>
  <c r="E13" i="5" s="1"/>
  <c r="G19" i="3" s="1"/>
  <c r="I17" i="5"/>
  <c r="J17" i="5" s="1"/>
  <c r="C14" i="5"/>
  <c r="D14" i="5" s="1"/>
  <c r="B19" i="5" s="1"/>
  <c r="G27" i="4" s="1"/>
  <c r="F12" i="5"/>
  <c r="G12" i="5" s="1"/>
  <c r="I16" i="5"/>
  <c r="J16" i="5" s="1"/>
  <c r="C15" i="5"/>
  <c r="D15" i="5" s="1"/>
  <c r="F10" i="5"/>
  <c r="G10" i="5" s="1"/>
  <c r="I8" i="5"/>
  <c r="J8" i="5" s="1"/>
  <c r="C16" i="5"/>
  <c r="D16" i="5" s="1"/>
  <c r="F17" i="5"/>
  <c r="G17" i="5" s="1"/>
  <c r="I12" i="5"/>
  <c r="J12" i="5" s="1"/>
  <c r="F16" i="5"/>
  <c r="G16" i="5" s="1"/>
  <c r="F15" i="5"/>
  <c r="G15" i="5" s="1"/>
  <c r="F14" i="5"/>
  <c r="G14" i="5" s="1"/>
  <c r="F5" i="5"/>
  <c r="G5" i="5" s="1"/>
  <c r="F6" i="5"/>
  <c r="G6" i="5" s="1"/>
  <c r="F2" i="5"/>
  <c r="G2" i="5" s="1"/>
  <c r="E7" i="5" s="1"/>
  <c r="G19" i="2" s="1"/>
  <c r="F3" i="5"/>
  <c r="G3" i="5" s="1"/>
  <c r="C12" i="5"/>
  <c r="D12" i="5" s="1"/>
  <c r="C9" i="5"/>
  <c r="D9" i="5" s="1"/>
  <c r="F27" i="3"/>
  <c r="C8" i="5"/>
  <c r="D8" i="5" s="1"/>
  <c r="C10" i="5"/>
  <c r="D10" i="5" s="1"/>
  <c r="C5" i="5"/>
  <c r="D5" i="5" s="1"/>
  <c r="C6" i="5"/>
  <c r="D6" i="5" s="1"/>
  <c r="D2" i="5"/>
  <c r="C3" i="5"/>
  <c r="D3" i="5" s="1"/>
  <c r="F15" i="2"/>
  <c r="F23" i="2"/>
  <c r="F7" i="2"/>
  <c r="F22" i="4"/>
  <c r="F15" i="4"/>
  <c r="F6" i="4"/>
  <c r="F4" i="4"/>
  <c r="F14" i="4"/>
  <c r="F23" i="4"/>
  <c r="F7" i="4"/>
  <c r="F23" i="3"/>
  <c r="F15" i="3"/>
  <c r="F13" i="4"/>
  <c r="F20" i="4"/>
  <c r="F12" i="4"/>
  <c r="F6" i="2"/>
  <c r="F22" i="2"/>
  <c r="F10" i="2"/>
  <c r="F11" i="4"/>
  <c r="F25" i="2"/>
  <c r="F17" i="2"/>
  <c r="F20" i="3"/>
  <c r="F12" i="3"/>
  <c r="F4" i="3"/>
  <c r="F21" i="4"/>
  <c r="F5" i="4"/>
  <c r="F19" i="4"/>
  <c r="F10" i="3"/>
  <c r="F26" i="4"/>
  <c r="F18" i="4"/>
  <c r="F10" i="4"/>
  <c r="F27" i="4"/>
  <c r="F3" i="4"/>
  <c r="F13" i="2"/>
  <c r="F9" i="3"/>
  <c r="F9" i="2"/>
  <c r="F18" i="3"/>
  <c r="F18" i="2"/>
  <c r="F3" i="3"/>
  <c r="F3" i="2"/>
  <c r="F14" i="2"/>
  <c r="F24" i="3"/>
  <c r="F16" i="3"/>
  <c r="F8" i="3"/>
  <c r="F26" i="3"/>
  <c r="F21" i="3"/>
  <c r="F13" i="3"/>
  <c r="F5" i="3"/>
  <c r="F21" i="2"/>
  <c r="F5" i="2"/>
  <c r="F20" i="2"/>
  <c r="F12" i="2"/>
  <c r="F4" i="2"/>
  <c r="F26" i="2"/>
  <c r="F27" i="2"/>
  <c r="F19" i="2"/>
  <c r="F11" i="2"/>
  <c r="F2" i="2"/>
  <c r="H13" i="5" l="1"/>
  <c r="G14" i="3" s="1"/>
  <c r="H19" i="5"/>
  <c r="G14" i="4" s="1"/>
  <c r="E19" i="5"/>
  <c r="G19" i="4" s="1"/>
  <c r="B7" i="5"/>
  <c r="G27" i="2" s="1"/>
  <c r="B13" i="5"/>
  <c r="G27" i="3" s="1"/>
</calcChain>
</file>

<file path=xl/sharedStrings.xml><?xml version="1.0" encoding="utf-8"?>
<sst xmlns="http://schemas.openxmlformats.org/spreadsheetml/2006/main" count="186" uniqueCount="109">
  <si>
    <t>Name</t>
  </si>
  <si>
    <t>Gestational Age (weeks)</t>
  </si>
  <si>
    <t>Condition</t>
  </si>
  <si>
    <t>Modeled?</t>
  </si>
  <si>
    <t>Scale</t>
  </si>
  <si>
    <t>Ao. Root (mm)</t>
  </si>
  <si>
    <t>Asc. Ao. (mm)</t>
  </si>
  <si>
    <t>Transv. Ao. (mm)</t>
  </si>
  <si>
    <t>Name Select</t>
  </si>
  <si>
    <t>06Apr2021P1</t>
  </si>
  <si>
    <t>Healthy</t>
  </si>
  <si>
    <t>X</t>
  </si>
  <si>
    <t>(0.117647, 0.117647, 0.500000)</t>
  </si>
  <si>
    <t>95pre</t>
  </si>
  <si>
    <t>15Oct2019P2</t>
  </si>
  <si>
    <t>(0.064516, 0.064516, 0.500000)</t>
  </si>
  <si>
    <t>23Mar2021P3</t>
  </si>
  <si>
    <t>(0.126582,  0.126582, 0.500000)</t>
  </si>
  <si>
    <t xml:space="preserve"> </t>
  </si>
  <si>
    <t>03Sep2019P2_0_1</t>
  </si>
  <si>
    <t>(0.109890, 0.109890, 0.500000)</t>
  </si>
  <si>
    <t>20Apr2021P1</t>
  </si>
  <si>
    <t>(0.169492, 0.169492, 0.500000)</t>
  </si>
  <si>
    <t>08Oct2019P1</t>
  </si>
  <si>
    <t>(0.060241, 0.060241, 0.500000)</t>
  </si>
  <si>
    <t>09Feb2021P2</t>
  </si>
  <si>
    <t>(0.135135, 0.135135, 0.500000)</t>
  </si>
  <si>
    <t>13Apr2021P1</t>
  </si>
  <si>
    <t>(0.196078, 0.196078, 0.500000)</t>
  </si>
  <si>
    <t>23Mar2021P1</t>
  </si>
  <si>
    <t>(0.149254, 0.149254, 0.500000)</t>
  </si>
  <si>
    <t>10Sep2019P1_1</t>
  </si>
  <si>
    <t>(0.142857, 0.142857, 0.500000)</t>
  </si>
  <si>
    <t>13Apr2021P2</t>
  </si>
  <si>
    <t>(0.126582, 0.126582, 0.500000)</t>
  </si>
  <si>
    <t>02Mar2021P1</t>
  </si>
  <si>
    <t>(0.104167, 0.104167, 0.500000)</t>
  </si>
  <si>
    <t>17Sep2019P1_3</t>
  </si>
  <si>
    <t>(0.131579, 0.131579, 0.500000)</t>
  </si>
  <si>
    <t>24Sep2019P1_5</t>
  </si>
  <si>
    <t>(0.107527, 0.107527, 0.500000)</t>
  </si>
  <si>
    <t>088pre_10000006</t>
  </si>
  <si>
    <t>Diseased</t>
  </si>
  <si>
    <t>(0.097087, 0.097087, 0.500000)</t>
  </si>
  <si>
    <t>09Feb2021P1</t>
  </si>
  <si>
    <t>(0.114943, 0.114943, 0.500000)</t>
  </si>
  <si>
    <t>28weekshealthy</t>
  </si>
  <si>
    <t>90pre_10000024</t>
  </si>
  <si>
    <t>(0.156250, 0.156250, 0.500000)</t>
  </si>
  <si>
    <t>91pre_10000016</t>
  </si>
  <si>
    <t>(0.106383, 0.106383, 0.500000)</t>
  </si>
  <si>
    <t>24092010P2_4</t>
  </si>
  <si>
    <t>(0.178571, 0.178571, 0.500000)</t>
  </si>
  <si>
    <t>01Oct2019P1_4</t>
  </si>
  <si>
    <t>08Oct2019P2</t>
  </si>
  <si>
    <t>(0.088496, 0.088496, 0.500000)</t>
  </si>
  <si>
    <t>15Oct2019P1</t>
  </si>
  <si>
    <t>(0.084746, 0.084746, 0.500000)</t>
  </si>
  <si>
    <t>08Oct2019P3</t>
  </si>
  <si>
    <t>(0.077519, 0.077519, 0.500000)</t>
  </si>
  <si>
    <t>102019P2</t>
  </si>
  <si>
    <t>(0.125000, 0.125000, 0.500000)</t>
  </si>
  <si>
    <t>Exp. Ao. Root (mm)</t>
  </si>
  <si>
    <t>Error Ao. Root</t>
  </si>
  <si>
    <t>Exp. Asc. Ao. (mm)</t>
  </si>
  <si>
    <t>Error Asc. Ao</t>
  </si>
  <si>
    <t>Exp. Transv. Ao. (mm)</t>
  </si>
  <si>
    <t>Error Transv. Ao.</t>
  </si>
  <si>
    <t>Uncertainty</t>
  </si>
  <si>
    <t>33 weeks</t>
  </si>
  <si>
    <t>Ao Root 1</t>
  </si>
  <si>
    <t>Ao Root 2</t>
  </si>
  <si>
    <t>Ao Root 3</t>
  </si>
  <si>
    <t>Ao Root 4</t>
  </si>
  <si>
    <t>Ao Root 5</t>
  </si>
  <si>
    <t>Asc Aorta 1</t>
  </si>
  <si>
    <t>Asc Aorta 2</t>
  </si>
  <si>
    <t>Asc Aorta 3</t>
  </si>
  <si>
    <t>Asc Aorta 4</t>
  </si>
  <si>
    <t>Asc Aorta 5</t>
  </si>
  <si>
    <t>Trsnvs. Aorta 1</t>
  </si>
  <si>
    <t>Trsnvs. Aorta 2</t>
  </si>
  <si>
    <t>Trsnvs. Aorta 3</t>
  </si>
  <si>
    <t>Trsnvs. Aorta 4</t>
  </si>
  <si>
    <t>Trsnvs. Aorta 5</t>
  </si>
  <si>
    <t>29 weeks (95pre)</t>
  </si>
  <si>
    <t>22 weeks (17Sep)</t>
  </si>
  <si>
    <t>Column1</t>
  </si>
  <si>
    <t>Number of readings</t>
  </si>
  <si>
    <t>Mean Asc. Aorta</t>
  </si>
  <si>
    <t>Mean Ao. Root</t>
  </si>
  <si>
    <t>Mean Trasnvs. Aorta</t>
  </si>
  <si>
    <t>±</t>
  </si>
  <si>
    <t>T-value</t>
  </si>
  <si>
    <t>Degrees of Freedom</t>
  </si>
  <si>
    <t>Type of Tail</t>
  </si>
  <si>
    <t>p-value</t>
  </si>
  <si>
    <t>95% Confidence Interval</t>
  </si>
  <si>
    <t>Cohen's D</t>
  </si>
  <si>
    <t>Bayes Factor</t>
  </si>
  <si>
    <t>Power</t>
  </si>
  <si>
    <t>Aortic Root</t>
  </si>
  <si>
    <t>Ascending Aorta</t>
  </si>
  <si>
    <t>Transverse Aorta</t>
  </si>
  <si>
    <t>two-sided</t>
  </si>
  <si>
    <t>[0.1  0.82]</t>
  </si>
  <si>
    <t>[-0.33  0.38]</t>
  </si>
  <si>
    <t>[-0.26  0.44]</t>
  </si>
  <si>
    <t>Pearson's Correlation (r)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</si>
</sst>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0.00;[Red]0.00"/>
    <numFmt numFmtId="165" formatCode="0.000"/>
    <numFmt numFmtId="166" formatCode="0.0000"/>
  </numFmts>
  <fonts count="1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FFFF"/>
      <name val="Calibri"/>
    </font>
    <font>
      <b/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FFFF"/>
      <name val="Calibri"/>
      <family val="2"/>
    </font>
    <font>
      <sz val="11"/>
      <color theme="1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B9B9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0" tint="-0.14996795556505021"/>
        <bgColor indexed="64"/>
      </patternFill>
    </fill>
  </fills>
  <borders count="25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rgb="FF3F3F3F"/>
      </right>
      <top/>
      <bottom/>
      <diagonal/>
    </border>
    <border>
      <left style="thin">
        <color rgb="FF3F3F3F"/>
      </left>
      <right style="thin">
        <color rgb="FF3F3F3F"/>
      </right>
      <top/>
      <bottom/>
      <diagonal/>
    </border>
    <border>
      <left style="thin">
        <color rgb="FF3F3F3F"/>
      </left>
      <right/>
      <top/>
      <bottom/>
      <diagonal/>
    </border>
    <border>
      <left style="thin">
        <color rgb="FF3F3F3F"/>
      </left>
      <right/>
      <top/>
      <bottom style="thin">
        <color rgb="FF3F3F3F"/>
      </bottom>
      <diagonal/>
    </border>
    <border>
      <left/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rgb="FF3F3F3F"/>
      </top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thin">
        <color auto="1"/>
      </left>
      <right/>
      <top style="double">
        <color rgb="FF3F3F3F"/>
      </top>
      <bottom/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4">
    <xf numFmtId="0" fontId="0" fillId="0" borderId="0"/>
    <xf numFmtId="9" fontId="2" fillId="0" borderId="0" applyFont="0" applyFill="0" applyBorder="0" applyAlignment="0" applyProtection="0"/>
    <xf numFmtId="0" fontId="4" fillId="0" borderId="0" applyNumberFormat="0" applyFill="0" applyBorder="0" applyAlignment="0" applyProtection="0"/>
    <xf numFmtId="9" fontId="6" fillId="3" borderId="3" applyAlignment="0">
      <alignment horizontal="center"/>
    </xf>
    <xf numFmtId="0" fontId="3" fillId="2" borderId="4"/>
    <xf numFmtId="0" fontId="3" fillId="2" borderId="4"/>
    <xf numFmtId="0" fontId="5" fillId="4" borderId="4"/>
    <xf numFmtId="0" fontId="10" fillId="7" borderId="3" applyNumberFormat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9" fillId="11" borderId="1"/>
    <xf numFmtId="0" fontId="9" fillId="12" borderId="12"/>
    <xf numFmtId="0" fontId="2" fillId="0" borderId="4"/>
  </cellStyleXfs>
  <cellXfs count="63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/>
    <xf numFmtId="2" fontId="4" fillId="0" borderId="0" xfId="2" applyNumberFormat="1"/>
    <xf numFmtId="0" fontId="0" fillId="0" borderId="6" xfId="0" applyBorder="1"/>
    <xf numFmtId="0" fontId="0" fillId="0" borderId="7" xfId="0" applyBorder="1"/>
    <xf numFmtId="2" fontId="0" fillId="0" borderId="7" xfId="0" applyNumberFormat="1" applyBorder="1"/>
    <xf numFmtId="0" fontId="0" fillId="0" borderId="2" xfId="0" applyBorder="1"/>
    <xf numFmtId="0" fontId="0" fillId="0" borderId="10" xfId="0" applyBorder="1"/>
    <xf numFmtId="2" fontId="0" fillId="0" borderId="8" xfId="0" applyNumberFormat="1" applyBorder="1"/>
    <xf numFmtId="2" fontId="4" fillId="0" borderId="1" xfId="2" applyNumberFormat="1" applyBorder="1"/>
    <xf numFmtId="0" fontId="5" fillId="4" borderId="5" xfId="6" applyBorder="1"/>
    <xf numFmtId="0" fontId="0" fillId="0" borderId="4" xfId="0" applyBorder="1"/>
    <xf numFmtId="0" fontId="0" fillId="0" borderId="4" xfId="0" applyBorder="1" applyAlignment="1">
      <alignment horizontal="center"/>
    </xf>
    <xf numFmtId="2" fontId="0" fillId="0" borderId="4" xfId="0" applyNumberFormat="1" applyBorder="1"/>
    <xf numFmtId="2" fontId="0" fillId="0" borderId="1" xfId="0" applyNumberFormat="1" applyBorder="1"/>
    <xf numFmtId="2" fontId="0" fillId="0" borderId="1" xfId="0" applyNumberFormat="1" applyFont="1" applyBorder="1"/>
    <xf numFmtId="2" fontId="3" fillId="2" borderId="1" xfId="1" applyNumberFormat="1" applyFont="1" applyFill="1" applyBorder="1"/>
    <xf numFmtId="2" fontId="0" fillId="0" borderId="0" xfId="1" applyNumberFormat="1" applyFont="1"/>
    <xf numFmtId="0" fontId="7" fillId="5" borderId="0" xfId="0" applyFont="1" applyFill="1"/>
    <xf numFmtId="164" fontId="4" fillId="0" borderId="1" xfId="2" applyNumberFormat="1" applyBorder="1"/>
    <xf numFmtId="164" fontId="0" fillId="0" borderId="1" xfId="0" applyNumberFormat="1" applyBorder="1"/>
    <xf numFmtId="164" fontId="3" fillId="2" borderId="11" xfId="1" applyNumberFormat="1" applyFont="1" applyFill="1" applyBorder="1"/>
    <xf numFmtId="164" fontId="0" fillId="0" borderId="0" xfId="0" applyNumberFormat="1"/>
    <xf numFmtId="164" fontId="0" fillId="0" borderId="0" xfId="1" applyNumberFormat="1" applyFont="1"/>
    <xf numFmtId="0" fontId="8" fillId="0" borderId="0" xfId="0" applyFont="1"/>
    <xf numFmtId="164" fontId="8" fillId="0" borderId="2" xfId="0" applyNumberFormat="1" applyFont="1" applyBorder="1"/>
    <xf numFmtId="2" fontId="8" fillId="4" borderId="0" xfId="0" applyNumberFormat="1" applyFont="1" applyFill="1"/>
    <xf numFmtId="164" fontId="8" fillId="4" borderId="9" xfId="1" applyNumberFormat="1" applyFont="1" applyFill="1" applyBorder="1"/>
    <xf numFmtId="0" fontId="9" fillId="6" borderId="2" xfId="0" applyFont="1" applyFill="1" applyBorder="1" applyAlignment="1">
      <alignment horizontal="center"/>
    </xf>
    <xf numFmtId="0" fontId="10" fillId="7" borderId="3" xfId="7"/>
    <xf numFmtId="0" fontId="2" fillId="0" borderId="4" xfId="13"/>
    <xf numFmtId="0" fontId="0" fillId="0" borderId="13" xfId="0" applyBorder="1"/>
    <xf numFmtId="0" fontId="0" fillId="9" borderId="13" xfId="9" applyFont="1" applyFill="1" applyBorder="1"/>
    <xf numFmtId="0" fontId="0" fillId="0" borderId="14" xfId="0" applyBorder="1"/>
    <xf numFmtId="0" fontId="11" fillId="12" borderId="15" xfId="12" applyNumberFormat="1" applyFont="1" applyFill="1" applyBorder="1" applyAlignment="1"/>
    <xf numFmtId="0" fontId="0" fillId="8" borderId="16" xfId="8" applyFont="1" applyFill="1" applyBorder="1"/>
    <xf numFmtId="0" fontId="0" fillId="8" borderId="13" xfId="8" applyFont="1" applyFill="1" applyBorder="1"/>
    <xf numFmtId="0" fontId="0" fillId="10" borderId="16" xfId="10" applyFont="1" applyFill="1" applyBorder="1"/>
    <xf numFmtId="0" fontId="0" fillId="10" borderId="13" xfId="10" applyFont="1" applyFill="1" applyBorder="1"/>
    <xf numFmtId="0" fontId="7" fillId="0" borderId="16" xfId="0" applyFont="1" applyBorder="1"/>
    <xf numFmtId="0" fontId="7" fillId="0" borderId="13" xfId="0" applyFont="1" applyBorder="1"/>
    <xf numFmtId="0" fontId="7" fillId="0" borderId="0" xfId="0" applyFont="1"/>
    <xf numFmtId="165" fontId="0" fillId="0" borderId="0" xfId="0" applyNumberFormat="1"/>
    <xf numFmtId="166" fontId="0" fillId="0" borderId="0" xfId="0" applyNumberFormat="1"/>
    <xf numFmtId="0" fontId="11" fillId="12" borderId="17" xfId="12" applyFont="1" applyBorder="1"/>
    <xf numFmtId="0" fontId="7" fillId="0" borderId="20" xfId="13" applyFont="1" applyBorder="1" applyAlignment="1">
      <alignment horizontal="center"/>
    </xf>
    <xf numFmtId="0" fontId="7" fillId="0" borderId="24" xfId="13" applyFont="1" applyBorder="1" applyAlignment="1">
      <alignment horizontal="center"/>
    </xf>
    <xf numFmtId="0" fontId="7" fillId="0" borderId="21" xfId="13" applyFont="1" applyBorder="1" applyAlignment="1">
      <alignment horizontal="center"/>
    </xf>
    <xf numFmtId="0" fontId="9" fillId="11" borderId="11" xfId="11" applyNumberFormat="1" applyFont="1" applyFill="1" applyBorder="1" applyAlignment="1">
      <alignment horizontal="center"/>
    </xf>
    <xf numFmtId="0" fontId="9" fillId="11" borderId="23" xfId="11" applyNumberFormat="1" applyFont="1" applyFill="1" applyBorder="1" applyAlignment="1">
      <alignment horizontal="center"/>
    </xf>
    <xf numFmtId="0" fontId="9" fillId="11" borderId="18" xfId="11" applyNumberFormat="1" applyFont="1" applyFill="1" applyBorder="1" applyAlignment="1">
      <alignment horizontal="center"/>
    </xf>
    <xf numFmtId="0" fontId="13" fillId="0" borderId="0" xfId="0" applyFont="1"/>
    <xf numFmtId="166" fontId="11" fillId="12" borderId="17" xfId="12" applyNumberFormat="1" applyFont="1" applyFill="1" applyBorder="1" applyAlignment="1">
      <alignment horizontal="center"/>
    </xf>
    <xf numFmtId="166" fontId="11" fillId="12" borderId="22" xfId="12" applyNumberFormat="1" applyFont="1" applyFill="1" applyBorder="1" applyAlignment="1">
      <alignment horizontal="center"/>
    </xf>
    <xf numFmtId="166" fontId="11" fillId="12" borderId="19" xfId="12" applyNumberFormat="1" applyFont="1" applyFill="1" applyBorder="1" applyAlignment="1">
      <alignment horizontal="center"/>
    </xf>
    <xf numFmtId="166" fontId="11" fillId="12" borderId="17" xfId="12" applyNumberFormat="1" applyFont="1" applyBorder="1" applyAlignment="1">
      <alignment horizontal="center"/>
    </xf>
    <xf numFmtId="166" fontId="11" fillId="12" borderId="22" xfId="12" applyNumberFormat="1" applyFont="1" applyBorder="1" applyAlignment="1">
      <alignment horizontal="center"/>
    </xf>
    <xf numFmtId="166" fontId="11" fillId="12" borderId="19" xfId="12" applyNumberFormat="1" applyFont="1" applyBorder="1" applyAlignment="1">
      <alignment horizontal="center"/>
    </xf>
    <xf numFmtId="2" fontId="12" fillId="0" borderId="0" xfId="0" applyNumberFormat="1" applyFont="1"/>
    <xf numFmtId="164" fontId="12" fillId="0" borderId="2" xfId="0" applyNumberFormat="1" applyFont="1" applyBorder="1"/>
    <xf numFmtId="0" fontId="2" fillId="0" borderId="4" xfId="13" applyAlignment="1">
      <alignment horizontal="center"/>
    </xf>
    <xf numFmtId="0" fontId="9" fillId="11" borderId="1" xfId="11" applyAlignment="1">
      <alignment horizontal="center"/>
    </xf>
  </cellXfs>
  <cellStyles count="14">
    <cellStyle name="60% - Accent1" xfId="8" builtinId="32"/>
    <cellStyle name="60% - Accent2" xfId="9" builtinId="36"/>
    <cellStyle name="60% - Accent6" xfId="10" builtinId="52"/>
    <cellStyle name="Calculation" xfId="7" builtinId="22"/>
    <cellStyle name="Error Heading" xfId="5" xr:uid="{AC53FDE9-7BCD-4468-B859-742A84432ADD}"/>
    <cellStyle name="Error heading 2" xfId="6" xr:uid="{31F2F1BA-3378-4BC7-9578-F84C674AC0BA}"/>
    <cellStyle name="Error Style" xfId="4" xr:uid="{E9BA49E9-AD86-4F39-AE62-B5A47DB83F1B}"/>
    <cellStyle name="Explanatory Text" xfId="2" builtinId="53"/>
    <cellStyle name="header" xfId="11" xr:uid="{5C1C37FA-EC68-427D-ADC2-CF10308B21A1}"/>
    <cellStyle name="Normal" xfId="0" builtinId="0"/>
    <cellStyle name="Percent" xfId="1" builtinId="5"/>
    <cellStyle name="Style 1" xfId="3" xr:uid="{AA0F96DA-1C98-45F7-BCC6-0D729655CAE3}"/>
    <cellStyle name="Style 2" xfId="12" xr:uid="{EBBA3DF0-8298-40D3-A277-BD331CABD666}"/>
    <cellStyle name="Style 3" xfId="13" xr:uid="{500957B6-8576-4B06-A84E-8A69FF6938B7}"/>
  </cellStyles>
  <dxfs count="60">
    <dxf>
      <numFmt numFmtId="166" formatCode="0.0000"/>
    </dxf>
    <dxf>
      <fill>
        <patternFill patternType="lightUp">
          <fgColor theme="2" tint="-0.24994659260841701"/>
          <bgColor auto="1"/>
        </patternFill>
      </fill>
      <border>
        <vertical/>
        <horizontal/>
      </border>
    </dxf>
    <dxf>
      <font>
        <color rgb="FF0070C0"/>
      </font>
    </dxf>
    <dxf>
      <fill>
        <patternFill>
          <bgColor rgb="FFFFFF00"/>
        </patternFill>
      </fill>
    </dxf>
    <dxf>
      <fill>
        <patternFill patternType="lightUp">
          <fgColor theme="2" tint="-0.24994659260841701"/>
          <bgColor auto="1"/>
        </patternFill>
      </fill>
      <border>
        <vertical/>
        <horizontal/>
      </border>
    </dxf>
    <dxf>
      <font>
        <color rgb="FF0070C0"/>
      </font>
    </dxf>
    <dxf>
      <fill>
        <patternFill>
          <bgColor rgb="FFFFFF00"/>
        </patternFill>
      </fill>
    </dxf>
    <dxf>
      <font>
        <color rgb="FF0070C0"/>
      </font>
    </dxf>
    <dxf>
      <fill>
        <patternFill patternType="lightUp">
          <fgColor theme="2" tint="-0.24994659260841701"/>
          <bgColor auto="1"/>
        </patternFill>
      </fill>
      <border>
        <vertical/>
        <horizontal/>
      </border>
    </dxf>
    <dxf>
      <fill>
        <patternFill>
          <bgColor rgb="FFFFFF00"/>
        </patternFill>
      </fill>
    </dxf>
    <dxf>
      <fill>
        <patternFill patternType="lightUp">
          <fgColor theme="2" tint="-0.24994659260841701"/>
          <bgColor auto="1"/>
        </patternFill>
      </fill>
      <border>
        <vertical/>
        <horizontal/>
      </border>
    </dxf>
    <dxf>
      <font>
        <color rgb="FF0070C0"/>
      </font>
    </dxf>
    <dxf>
      <fill>
        <patternFill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FFF00"/>
        </patternFill>
      </fill>
    </dxf>
    <dxf>
      <numFmt numFmtId="166" formatCode="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family val="2"/>
        <scheme val="minor"/>
      </font>
      <numFmt numFmtId="164" formatCode="0.00;[Red]0.00"/>
      <fill>
        <patternFill patternType="solid">
          <fgColor indexed="64"/>
          <bgColor rgb="FFFFC7CE"/>
        </patternFill>
      </fill>
      <border diagonalUp="0" diagonalDown="0" outline="0">
        <left style="thin">
          <color rgb="FF3F3F3F"/>
        </left>
        <right/>
        <top style="thin">
          <color rgb="FF3F3F3F"/>
        </top>
        <bottom style="thin">
          <color rgb="FF3F3F3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;[Red]0.00"/>
      <border diagonalUp="0" diagonalDown="0">
        <left style="thin">
          <color rgb="FF3F3F3F"/>
        </left>
        <right style="thin">
          <color rgb="FF3F3F3F"/>
        </right>
        <top style="thin">
          <color rgb="FF3F3F3F"/>
        </top>
        <bottom style="thin">
          <color rgb="FF3F3F3F"/>
        </bottom>
        <vertical style="thin">
          <color rgb="FF3F3F3F"/>
        </vertical>
        <horizontal style="thin">
          <color rgb="FF3F3F3F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;[Red]0.00"/>
      <border diagonalUp="0" diagonalDown="0">
        <left style="thin">
          <color rgb="FF3F3F3F"/>
        </left>
        <right style="thin">
          <color rgb="FF3F3F3F"/>
        </right>
        <top style="thin">
          <color rgb="FF3F3F3F"/>
        </top>
        <bottom style="thin">
          <color rgb="FF3F3F3F"/>
        </bottom>
        <vertical style="thin">
          <color rgb="FF3F3F3F"/>
        </vertical>
        <horizontal style="thin">
          <color rgb="FF3F3F3F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top style="thin">
          <color rgb="FF3F3F3F"/>
        </top>
      </border>
    </dxf>
    <dxf>
      <border diagonalUp="0" diagonalDown="0">
        <left style="thin">
          <color rgb="FF3F3F3F"/>
        </left>
        <right style="thin">
          <color rgb="FF3F3F3F"/>
        </right>
        <top style="thin">
          <color rgb="FF3F3F3F"/>
        </top>
        <bottom style="thin">
          <color rgb="FF3F3F3F"/>
        </bottom>
      </border>
    </dxf>
    <dxf>
      <border>
        <bottom style="thin">
          <color rgb="FF3F3F3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2" tint="-0.49998474074526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3F3F3F"/>
        </left>
        <right style="thin">
          <color rgb="FF3F3F3F"/>
        </right>
        <top/>
        <bottom/>
        <vertical style="thin">
          <color rgb="FF3F3F3F"/>
        </vertical>
        <horizontal style="thin">
          <color rgb="FF3F3F3F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FFF00"/>
        </patternFill>
      </fill>
    </dxf>
    <dxf>
      <numFmt numFmtId="166" formatCode="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family val="2"/>
        <scheme val="minor"/>
      </font>
      <numFmt numFmtId="2" formatCode="0.00"/>
      <fill>
        <patternFill patternType="solid">
          <fgColor indexed="64"/>
          <bgColor rgb="FFFFC7CE"/>
        </patternFill>
      </fill>
      <border diagonalUp="0" diagonalDown="0" outline="0">
        <left style="thin">
          <color rgb="FF3F3F3F"/>
        </left>
        <right/>
        <top style="thin">
          <color rgb="FF3F3F3F"/>
        </top>
        <bottom style="thin">
          <color rgb="FF3F3F3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border diagonalUp="0" diagonalDown="0">
        <left style="thin">
          <color rgb="FF3F3F3F"/>
        </left>
        <right style="thin">
          <color rgb="FF3F3F3F"/>
        </right>
        <top style="thin">
          <color rgb="FF3F3F3F"/>
        </top>
        <bottom style="thin">
          <color rgb="FF3F3F3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border diagonalUp="0" diagonalDown="0">
        <left style="thin">
          <color rgb="FF3F3F3F"/>
        </left>
        <right style="thin">
          <color rgb="FF3F3F3F"/>
        </right>
        <top style="thin">
          <color rgb="FF3F3F3F"/>
        </top>
        <bottom style="thin">
          <color rgb="FF3F3F3F"/>
        </bottom>
        <vertical style="thin">
          <color rgb="FF3F3F3F"/>
        </vertical>
        <horizontal style="thin">
          <color rgb="FF3F3F3F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theme="1"/>
        </top>
      </border>
    </dxf>
    <dxf>
      <border outline="0">
        <top style="thin">
          <color rgb="FF3F3F3F"/>
        </top>
      </border>
    </dxf>
    <dxf>
      <border outline="0">
        <bottom style="thin">
          <color rgb="FF3F3F3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2" tint="-0.49998474074526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3F3F3F"/>
        </left>
        <right style="thin">
          <color rgb="FF3F3F3F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family val="2"/>
        <scheme val="minor"/>
      </font>
      <numFmt numFmtId="2" formatCode="0.00"/>
      <fill>
        <patternFill patternType="solid">
          <fgColor indexed="64"/>
          <bgColor rgb="FFFFC7CE"/>
        </patternFill>
      </fill>
      <border diagonalUp="0" diagonalDown="0" outline="0">
        <left style="thin">
          <color rgb="FF3F3F3F"/>
        </left>
        <right/>
        <top style="thin">
          <color rgb="FF3F3F3F"/>
        </top>
        <bottom style="thin">
          <color rgb="FF3F3F3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border diagonalUp="0" diagonalDown="0">
        <left style="thin">
          <color rgb="FF3F3F3F"/>
        </left>
        <right style="thin">
          <color rgb="FF3F3F3F"/>
        </right>
        <top style="thin">
          <color rgb="FF3F3F3F"/>
        </top>
        <bottom style="thin">
          <color rgb="FF3F3F3F"/>
        </bottom>
        <vertical style="thin">
          <color rgb="FF3F3F3F"/>
        </vertical>
        <horizontal style="thin">
          <color rgb="FF3F3F3F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border diagonalUp="0" diagonalDown="0">
        <left style="thin">
          <color rgb="FF3F3F3F"/>
        </left>
        <right style="thin">
          <color rgb="FF3F3F3F"/>
        </right>
        <top style="thin">
          <color rgb="FF3F3F3F"/>
        </top>
        <bottom style="thin">
          <color rgb="FF3F3F3F"/>
        </bottom>
        <vertical style="thin">
          <color rgb="FF3F3F3F"/>
        </vertical>
        <horizontal style="thin">
          <color rgb="FF3F3F3F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theme="1"/>
        </top>
      </border>
    </dxf>
    <dxf>
      <border outline="0">
        <top style="thin">
          <color rgb="FF3F3F3F"/>
        </top>
      </border>
    </dxf>
    <dxf>
      <border outline="0">
        <bottom style="thin">
          <color rgb="FF3F3F3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2" tint="-0.49998474074526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3F3F3F"/>
        </left>
        <right style="thin">
          <color rgb="FF3F3F3F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FFF00"/>
        </patternFill>
      </fill>
    </dxf>
    <dxf>
      <numFmt numFmtId="2" formatCode="0.0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2" formatCode="0.0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2" formatCode="0.0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rgb="FF3F3F3F"/>
        </left>
        <right style="thin">
          <color rgb="FF3F3F3F"/>
        </right>
        <top style="thin">
          <color rgb="FF3F3F3F"/>
        </top>
        <bottom style="thin">
          <color rgb="FF3F3F3F"/>
        </bottom>
      </border>
    </dxf>
    <dxf>
      <border diagonalUp="0" diagonalDown="0">
        <left style="thin">
          <color rgb="FF3F3F3F"/>
        </left>
        <right style="thin">
          <color rgb="FF3F3F3F"/>
        </right>
        <top/>
        <bottom/>
        <vertical style="thin">
          <color rgb="FF3F3F3F"/>
        </vertical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1" defaultTableStyle="TableStyleMedium2" defaultPivotStyle="PivotStyleLight16">
    <tableStyle name="Table Style 1" pivot="0" count="1" xr9:uid="{72B1552C-9810-4949-AB43-F24C6B8A28BD}">
      <tableStyleElement type="wholeTable" dxfId="59"/>
    </tableStyle>
  </tableStyles>
  <colors>
    <mruColors>
      <color rgb="FFFFB9B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890882663571437"/>
          <c:y val="7.7786987321420711E-2"/>
          <c:w val="0.86038732210266544"/>
          <c:h val="0.78794541728719758"/>
        </c:manualLayout>
      </c:layout>
      <c:scatterChart>
        <c:scatterStyle val="lineMarker"/>
        <c:varyColors val="0"/>
        <c:ser>
          <c:idx val="0"/>
          <c:order val="0"/>
          <c:tx>
            <c:v>Age vs Ao. Root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tx1"/>
                </a:solidFill>
                <a:prstDash val="dash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5821543223431725"/>
                  <c:y val="0.248803759662276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'Aortic Root'!$B$2:$B$27</c:f>
              <c:numCache>
                <c:formatCode>General</c:formatCode>
                <c:ptCount val="26"/>
                <c:pt idx="0">
                  <c:v>21</c:v>
                </c:pt>
                <c:pt idx="1">
                  <c:v>21.14</c:v>
                </c:pt>
                <c:pt idx="2">
                  <c:v>21.14</c:v>
                </c:pt>
                <c:pt idx="3">
                  <c:v>21.29</c:v>
                </c:pt>
                <c:pt idx="4">
                  <c:v>21.29</c:v>
                </c:pt>
                <c:pt idx="5">
                  <c:v>21.43</c:v>
                </c:pt>
                <c:pt idx="6">
                  <c:v>21.43</c:v>
                </c:pt>
                <c:pt idx="7">
                  <c:v>21.43</c:v>
                </c:pt>
                <c:pt idx="8">
                  <c:v>21.43</c:v>
                </c:pt>
                <c:pt idx="9">
                  <c:v>21.57</c:v>
                </c:pt>
                <c:pt idx="10">
                  <c:v>21.57</c:v>
                </c:pt>
                <c:pt idx="11">
                  <c:v>21.57</c:v>
                </c:pt>
                <c:pt idx="12">
                  <c:v>22</c:v>
                </c:pt>
                <c:pt idx="13">
                  <c:v>22</c:v>
                </c:pt>
                <c:pt idx="14">
                  <c:v>22.57</c:v>
                </c:pt>
                <c:pt idx="15">
                  <c:v>22.57</c:v>
                </c:pt>
                <c:pt idx="16">
                  <c:v>28</c:v>
                </c:pt>
                <c:pt idx="17">
                  <c:v>29</c:v>
                </c:pt>
                <c:pt idx="18">
                  <c:v>29.14</c:v>
                </c:pt>
                <c:pt idx="19">
                  <c:v>29.86</c:v>
                </c:pt>
                <c:pt idx="20">
                  <c:v>32</c:v>
                </c:pt>
                <c:pt idx="21">
                  <c:v>32</c:v>
                </c:pt>
                <c:pt idx="22">
                  <c:v>32</c:v>
                </c:pt>
                <c:pt idx="23">
                  <c:v>32</c:v>
                </c:pt>
                <c:pt idx="24">
                  <c:v>32.57</c:v>
                </c:pt>
                <c:pt idx="25">
                  <c:v>33</c:v>
                </c:pt>
              </c:numCache>
            </c:numRef>
          </c:xVal>
          <c:yVal>
            <c:numRef>
              <c:f>'Aortic Root'!$E$2:$E$27</c:f>
              <c:numCache>
                <c:formatCode>0.00</c:formatCode>
                <c:ptCount val="26"/>
                <c:pt idx="0">
                  <c:v>3.34</c:v>
                </c:pt>
                <c:pt idx="1">
                  <c:v>4.4000000000000004</c:v>
                </c:pt>
                <c:pt idx="2">
                  <c:v>4.37</c:v>
                </c:pt>
                <c:pt idx="3">
                  <c:v>4.5</c:v>
                </c:pt>
                <c:pt idx="4">
                  <c:v>3.1</c:v>
                </c:pt>
                <c:pt idx="5">
                  <c:v>4.12</c:v>
                </c:pt>
                <c:pt idx="6">
                  <c:v>4.3</c:v>
                </c:pt>
                <c:pt idx="7">
                  <c:v>3.82</c:v>
                </c:pt>
                <c:pt idx="8">
                  <c:v>2.64</c:v>
                </c:pt>
                <c:pt idx="9">
                  <c:v>4.0199999999999996</c:v>
                </c:pt>
                <c:pt idx="10">
                  <c:v>4.1900000000000004</c:v>
                </c:pt>
                <c:pt idx="11">
                  <c:v>3.85</c:v>
                </c:pt>
                <c:pt idx="12">
                  <c:v>3.42</c:v>
                </c:pt>
                <c:pt idx="13">
                  <c:v>3.63</c:v>
                </c:pt>
                <c:pt idx="14">
                  <c:v>4.92</c:v>
                </c:pt>
                <c:pt idx="15">
                  <c:v>4.07</c:v>
                </c:pt>
                <c:pt idx="16">
                  <c:v>7.43</c:v>
                </c:pt>
                <c:pt idx="17">
                  <c:v>4.67</c:v>
                </c:pt>
                <c:pt idx="18">
                  <c:v>7.95</c:v>
                </c:pt>
                <c:pt idx="19">
                  <c:v>4.46</c:v>
                </c:pt>
                <c:pt idx="20">
                  <c:v>6.79</c:v>
                </c:pt>
                <c:pt idx="21">
                  <c:v>5.31</c:v>
                </c:pt>
                <c:pt idx="22">
                  <c:v>5.72</c:v>
                </c:pt>
                <c:pt idx="23">
                  <c:v>5.84</c:v>
                </c:pt>
                <c:pt idx="24">
                  <c:v>5.79</c:v>
                </c:pt>
                <c:pt idx="25">
                  <c:v>5.52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2D8-40B6-B91D-20776CCE58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0375903"/>
        <c:axId val="690369663"/>
      </c:scatterChart>
      <c:valAx>
        <c:axId val="690375903"/>
        <c:scaling>
          <c:orientation val="minMax"/>
          <c:max val="33"/>
          <c:min val="2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Gestational Age (weeks)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369663"/>
        <c:crosses val="autoZero"/>
        <c:crossBetween val="midCat"/>
      </c:valAx>
      <c:valAx>
        <c:axId val="690369663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Aortic Root Diameter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375903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476540034089364"/>
          <c:y val="8.1475322424380436E-2"/>
          <c:w val="0.86718679089416606"/>
          <c:h val="0.7805687470812781"/>
        </c:manualLayout>
      </c:layout>
      <c:scatterChart>
        <c:scatterStyle val="lineMarker"/>
        <c:varyColors val="0"/>
        <c:ser>
          <c:idx val="0"/>
          <c:order val="0"/>
          <c:tx>
            <c:v>Age vs Asc. Ao.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tx1"/>
                </a:solidFill>
                <a:prstDash val="dash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9070385126162018"/>
                  <c:y val="0.338324589752585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'Ascending Aorta'!$B$2:$B$27</c:f>
              <c:numCache>
                <c:formatCode>General</c:formatCode>
                <c:ptCount val="26"/>
                <c:pt idx="0">
                  <c:v>21</c:v>
                </c:pt>
                <c:pt idx="1">
                  <c:v>21.14</c:v>
                </c:pt>
                <c:pt idx="2">
                  <c:v>21.14</c:v>
                </c:pt>
                <c:pt idx="3">
                  <c:v>21.29</c:v>
                </c:pt>
                <c:pt idx="4">
                  <c:v>21.29</c:v>
                </c:pt>
                <c:pt idx="5">
                  <c:v>21.43</c:v>
                </c:pt>
                <c:pt idx="6">
                  <c:v>21.43</c:v>
                </c:pt>
                <c:pt idx="7">
                  <c:v>21.43</c:v>
                </c:pt>
                <c:pt idx="8">
                  <c:v>21.43</c:v>
                </c:pt>
                <c:pt idx="9">
                  <c:v>21.57</c:v>
                </c:pt>
                <c:pt idx="10">
                  <c:v>21.57</c:v>
                </c:pt>
                <c:pt idx="11">
                  <c:v>21.57</c:v>
                </c:pt>
                <c:pt idx="12">
                  <c:v>22</c:v>
                </c:pt>
                <c:pt idx="13">
                  <c:v>22</c:v>
                </c:pt>
                <c:pt idx="14">
                  <c:v>22.57</c:v>
                </c:pt>
                <c:pt idx="15">
                  <c:v>22.57</c:v>
                </c:pt>
                <c:pt idx="16">
                  <c:v>28</c:v>
                </c:pt>
                <c:pt idx="17">
                  <c:v>29</c:v>
                </c:pt>
                <c:pt idx="18">
                  <c:v>29.14</c:v>
                </c:pt>
                <c:pt idx="19">
                  <c:v>29.86</c:v>
                </c:pt>
                <c:pt idx="20">
                  <c:v>32</c:v>
                </c:pt>
                <c:pt idx="21">
                  <c:v>32</c:v>
                </c:pt>
                <c:pt idx="22">
                  <c:v>32</c:v>
                </c:pt>
                <c:pt idx="23">
                  <c:v>32</c:v>
                </c:pt>
                <c:pt idx="24">
                  <c:v>32.57</c:v>
                </c:pt>
                <c:pt idx="25">
                  <c:v>33</c:v>
                </c:pt>
              </c:numCache>
            </c:numRef>
          </c:xVal>
          <c:yVal>
            <c:numRef>
              <c:f>'Ascending Aorta'!$E$2:$E$27</c:f>
              <c:numCache>
                <c:formatCode>0.00</c:formatCode>
                <c:ptCount val="26"/>
                <c:pt idx="0">
                  <c:v>2.5299999999999998</c:v>
                </c:pt>
                <c:pt idx="1">
                  <c:v>4.92</c:v>
                </c:pt>
                <c:pt idx="2">
                  <c:v>3.3</c:v>
                </c:pt>
                <c:pt idx="3">
                  <c:v>4.74</c:v>
                </c:pt>
                <c:pt idx="4">
                  <c:v>3.75</c:v>
                </c:pt>
                <c:pt idx="5">
                  <c:v>3.79</c:v>
                </c:pt>
                <c:pt idx="6">
                  <c:v>3.69</c:v>
                </c:pt>
                <c:pt idx="7">
                  <c:v>3.21</c:v>
                </c:pt>
                <c:pt idx="8">
                  <c:v>3.3</c:v>
                </c:pt>
                <c:pt idx="9">
                  <c:v>3.43</c:v>
                </c:pt>
                <c:pt idx="10">
                  <c:v>3.08</c:v>
                </c:pt>
                <c:pt idx="11">
                  <c:v>3.93</c:v>
                </c:pt>
                <c:pt idx="12">
                  <c:v>3.76</c:v>
                </c:pt>
                <c:pt idx="13">
                  <c:v>2.58</c:v>
                </c:pt>
                <c:pt idx="14">
                  <c:v>3.51</c:v>
                </c:pt>
                <c:pt idx="15">
                  <c:v>3.93</c:v>
                </c:pt>
                <c:pt idx="16">
                  <c:v>5.81</c:v>
                </c:pt>
                <c:pt idx="17">
                  <c:v>5.82</c:v>
                </c:pt>
                <c:pt idx="18">
                  <c:v>6.68</c:v>
                </c:pt>
                <c:pt idx="19">
                  <c:v>3.8</c:v>
                </c:pt>
                <c:pt idx="20">
                  <c:v>6.01</c:v>
                </c:pt>
                <c:pt idx="21">
                  <c:v>6.18</c:v>
                </c:pt>
                <c:pt idx="22">
                  <c:v>7.71</c:v>
                </c:pt>
                <c:pt idx="23">
                  <c:v>7.44</c:v>
                </c:pt>
                <c:pt idx="24">
                  <c:v>6.41</c:v>
                </c:pt>
                <c:pt idx="25">
                  <c:v>5.07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86C-4018-A602-587039C973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0375903"/>
        <c:axId val="690369663"/>
      </c:scatterChart>
      <c:valAx>
        <c:axId val="690375903"/>
        <c:scaling>
          <c:orientation val="minMax"/>
          <c:max val="33"/>
          <c:min val="2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Gestational Age (weeks)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369663"/>
        <c:crosses val="autoZero"/>
        <c:crossBetween val="midCat"/>
      </c:valAx>
      <c:valAx>
        <c:axId val="690369663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Ascending Aorta Diameter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375903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476540034089364"/>
          <c:y val="9.9916997939179061E-2"/>
          <c:w val="0.86718679089416617"/>
          <c:h val="0.77319207687535862"/>
        </c:manualLayout>
      </c:layout>
      <c:scatterChart>
        <c:scatterStyle val="lineMarker"/>
        <c:varyColors val="0"/>
        <c:ser>
          <c:idx val="0"/>
          <c:order val="0"/>
          <c:tx>
            <c:v>Age vs Transv. Ao.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tx1"/>
                </a:solidFill>
                <a:prstDash val="dash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8012155125372277"/>
                  <c:y val="2.228991777710265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'Tranverse Aorta'!$B$2:$B$27</c:f>
              <c:numCache>
                <c:formatCode>General</c:formatCode>
                <c:ptCount val="26"/>
                <c:pt idx="0">
                  <c:v>21</c:v>
                </c:pt>
                <c:pt idx="1">
                  <c:v>21.14</c:v>
                </c:pt>
                <c:pt idx="2">
                  <c:v>21.14</c:v>
                </c:pt>
                <c:pt idx="3">
                  <c:v>21.29</c:v>
                </c:pt>
                <c:pt idx="4">
                  <c:v>21.29</c:v>
                </c:pt>
                <c:pt idx="5">
                  <c:v>21.43</c:v>
                </c:pt>
                <c:pt idx="6">
                  <c:v>21.43</c:v>
                </c:pt>
                <c:pt idx="7">
                  <c:v>21.43</c:v>
                </c:pt>
                <c:pt idx="8">
                  <c:v>21.43</c:v>
                </c:pt>
                <c:pt idx="9">
                  <c:v>21.57</c:v>
                </c:pt>
                <c:pt idx="10">
                  <c:v>21.57</c:v>
                </c:pt>
                <c:pt idx="11">
                  <c:v>21.57</c:v>
                </c:pt>
                <c:pt idx="12">
                  <c:v>22</c:v>
                </c:pt>
                <c:pt idx="13">
                  <c:v>22</c:v>
                </c:pt>
                <c:pt idx="14">
                  <c:v>22.57</c:v>
                </c:pt>
                <c:pt idx="15">
                  <c:v>22.57</c:v>
                </c:pt>
                <c:pt idx="16">
                  <c:v>28</c:v>
                </c:pt>
                <c:pt idx="17">
                  <c:v>29</c:v>
                </c:pt>
                <c:pt idx="18">
                  <c:v>29.14</c:v>
                </c:pt>
                <c:pt idx="19">
                  <c:v>29.86</c:v>
                </c:pt>
                <c:pt idx="20">
                  <c:v>32</c:v>
                </c:pt>
                <c:pt idx="21">
                  <c:v>32</c:v>
                </c:pt>
                <c:pt idx="22">
                  <c:v>32</c:v>
                </c:pt>
                <c:pt idx="23">
                  <c:v>32</c:v>
                </c:pt>
                <c:pt idx="24">
                  <c:v>32.57</c:v>
                </c:pt>
                <c:pt idx="25">
                  <c:v>33</c:v>
                </c:pt>
              </c:numCache>
            </c:numRef>
          </c:xVal>
          <c:yVal>
            <c:numRef>
              <c:f>'Tranverse Aorta'!$E$2:$E$27</c:f>
              <c:numCache>
                <c:formatCode>0.00;[Red]0.00</c:formatCode>
                <c:ptCount val="26"/>
                <c:pt idx="0">
                  <c:v>2.87</c:v>
                </c:pt>
                <c:pt idx="1">
                  <c:v>4.29</c:v>
                </c:pt>
                <c:pt idx="2">
                  <c:v>3.36</c:v>
                </c:pt>
                <c:pt idx="3">
                  <c:v>3.06</c:v>
                </c:pt>
                <c:pt idx="4">
                  <c:v>2.79</c:v>
                </c:pt>
                <c:pt idx="5">
                  <c:v>3.9</c:v>
                </c:pt>
                <c:pt idx="6">
                  <c:v>3.23</c:v>
                </c:pt>
                <c:pt idx="7">
                  <c:v>3.89</c:v>
                </c:pt>
                <c:pt idx="8">
                  <c:v>3.5</c:v>
                </c:pt>
                <c:pt idx="9">
                  <c:v>3.51</c:v>
                </c:pt>
                <c:pt idx="10">
                  <c:v>3.37</c:v>
                </c:pt>
                <c:pt idx="11">
                  <c:v>2.99</c:v>
                </c:pt>
                <c:pt idx="12">
                  <c:v>3.44</c:v>
                </c:pt>
                <c:pt idx="13">
                  <c:v>3.74</c:v>
                </c:pt>
                <c:pt idx="14">
                  <c:v>3.07</c:v>
                </c:pt>
                <c:pt idx="15">
                  <c:v>3.19</c:v>
                </c:pt>
                <c:pt idx="16">
                  <c:v>7.22</c:v>
                </c:pt>
                <c:pt idx="17">
                  <c:v>2.99</c:v>
                </c:pt>
                <c:pt idx="18">
                  <c:v>6.26</c:v>
                </c:pt>
                <c:pt idx="19">
                  <c:v>3.35</c:v>
                </c:pt>
                <c:pt idx="20">
                  <c:v>4.8600000000000003</c:v>
                </c:pt>
                <c:pt idx="21">
                  <c:v>5.47</c:v>
                </c:pt>
                <c:pt idx="22">
                  <c:v>5.91</c:v>
                </c:pt>
                <c:pt idx="23">
                  <c:v>5.55</c:v>
                </c:pt>
                <c:pt idx="24">
                  <c:v>5.03</c:v>
                </c:pt>
                <c:pt idx="25">
                  <c:v>5.14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E50-4C0A-9305-410087BBD6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0375903"/>
        <c:axId val="690369663"/>
      </c:scatterChart>
      <c:valAx>
        <c:axId val="690375903"/>
        <c:scaling>
          <c:orientation val="minMax"/>
          <c:max val="33"/>
          <c:min val="2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Gestational Age (weeks)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369663"/>
        <c:crosses val="autoZero"/>
        <c:crossBetween val="midCat"/>
      </c:valAx>
      <c:valAx>
        <c:axId val="690369663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Aortic Root Diameter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;[Red]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375903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33338</xdr:colOff>
      <xdr:row>4</xdr:row>
      <xdr:rowOff>185737</xdr:rowOff>
    </xdr:from>
    <xdr:to>
      <xdr:col>19</xdr:col>
      <xdr:colOff>519113</xdr:colOff>
      <xdr:row>23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BE5CDC-B0A5-462E-85C4-D49B514CB3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28575</xdr:colOff>
      <xdr:row>6</xdr:row>
      <xdr:rowOff>19049</xdr:rowOff>
    </xdr:from>
    <xdr:to>
      <xdr:col>19</xdr:col>
      <xdr:colOff>452436</xdr:colOff>
      <xdr:row>24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C75D76-E483-4B65-95BB-8D3BE937D8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347662</xdr:colOff>
      <xdr:row>3</xdr:row>
      <xdr:rowOff>23813</xdr:rowOff>
    </xdr:from>
    <xdr:to>
      <xdr:col>20</xdr:col>
      <xdr:colOff>561974</xdr:colOff>
      <xdr:row>21</xdr:row>
      <xdr:rowOff>38101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75B8B4-D64A-4B36-A3B5-46DF75AFB5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1F7AD18-E58C-4B6E-A467-6AC4AEC2E5F3}" name="Table1" displayName="Table1" ref="A1:H27" totalsRowShown="0" headerRowDxfId="58" tableBorderDxfId="57" headerRowCellStyle="Normal">
  <autoFilter ref="A1:H27" xr:uid="{EC3E02B3-7B65-46DE-A2AF-AC27C4CEA03D}"/>
  <sortState xmlns:xlrd2="http://schemas.microsoft.com/office/spreadsheetml/2017/richdata2" ref="A2:H27">
    <sortCondition ref="B1:B27"/>
  </sortState>
  <tableColumns count="8">
    <tableColumn id="1" xr3:uid="{1C3F3917-5792-4E8E-AC6F-F48554D7D4D7}" name="Name" dataDxfId="56"/>
    <tableColumn id="2" xr3:uid="{336EBA03-9898-4335-9A76-A52CA540CFDF}" name="Gestational Age (weeks)" dataDxfId="55"/>
    <tableColumn id="3" xr3:uid="{BA6BDD30-A8F8-42FC-96C2-9A31291DE7C0}" name="Condition" dataDxfId="54"/>
    <tableColumn id="4" xr3:uid="{9F4D0135-27FA-43D0-ACF5-07FA98D378FC}" name="Modeled?" dataDxfId="53"/>
    <tableColumn id="5" xr3:uid="{A4692683-A0A0-4ABB-A325-AFE2AE76FBCB}" name="Scale" dataDxfId="52"/>
    <tableColumn id="7" xr3:uid="{39BD6DEA-B984-4096-8B38-D4BF25A5FACE}" name="Ao. Root (mm)" dataDxfId="51"/>
    <tableColumn id="9" xr3:uid="{3D94241B-1880-497A-A867-F8DC693216D5}" name="Asc. Ao. (mm)" dataDxfId="50"/>
    <tableColumn id="11" xr3:uid="{9B8444C6-0DA2-4BEB-904F-6A4B3507A81D}" name="Transv. Ao. (mm)" dataDxfId="49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DCC6C21-11B7-4727-AEAD-9257A5B487A4}" name="Table5" displayName="Table5" ref="J1:J2" totalsRowShown="0" headerRowDxfId="48">
  <autoFilter ref="J1:J2" xr:uid="{BD1D37B4-95B5-4392-80CD-CF9B4A777497}"/>
  <tableColumns count="1">
    <tableColumn id="1" xr3:uid="{8B919515-83C3-4F6C-ABA0-08CBF098C509}" name="Name Select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B3B74E0-C4F1-463A-BFFB-17CF6EC9D759}" name="Table2" displayName="Table2" ref="A1:G27" totalsRowShown="0" headerRowDxfId="47" headerRowBorderDxfId="46" tableBorderDxfId="45" totalsRowBorderDxfId="44">
  <autoFilter ref="A1:G27" xr:uid="{BEA93199-AA94-44B6-A75D-322DA6E2207A}"/>
  <sortState xmlns:xlrd2="http://schemas.microsoft.com/office/spreadsheetml/2017/richdata2" ref="A2:F27">
    <sortCondition ref="B1:B27"/>
  </sortState>
  <tableColumns count="7">
    <tableColumn id="1" xr3:uid="{810F9A07-81D1-4B0F-94B8-DF7FD21126C3}" name="Name" dataDxfId="43">
      <calculatedColumnFormula>Table1[[#This Row],[Name]]</calculatedColumnFormula>
    </tableColumn>
    <tableColumn id="2" xr3:uid="{284636E3-9483-4EFD-93E6-A255EE19BDB9}" name="Gestational Age (weeks)" dataDxfId="42">
      <calculatedColumnFormula>Table1[[#This Row],[Gestational Age (weeks)]]</calculatedColumnFormula>
    </tableColumn>
    <tableColumn id="3" xr3:uid="{3390CD25-AB55-4545-9046-BF11C72EE7E6}" name="Condition" dataDxfId="41">
      <calculatedColumnFormula>Table1[[#This Row],[Condition]]</calculatedColumnFormula>
    </tableColumn>
    <tableColumn id="4" xr3:uid="{D87583CE-E9DB-4BDC-BBB3-583A6D1EA109}" name="Exp. Ao. Root (mm)" dataDxfId="40">
      <calculatedColumnFormula>(0.22*Table2[[#This Row],[Gestational Age (weeks)]])-0.38</calculatedColumnFormula>
    </tableColumn>
    <tableColumn id="5" xr3:uid="{D10C7393-1AC4-48BB-902E-823519719B6B}" name="Ao. Root (mm)" dataDxfId="39">
      <calculatedColumnFormula>Table1[[#This Row],[Ao. Root (mm)]]</calculatedColumnFormula>
    </tableColumn>
    <tableColumn id="6" xr3:uid="{FF9C85D4-DCD2-4AFE-BD87-2DEDA1A22E03}" name="Error Ao. Root" dataDxfId="38">
      <calculatedColumnFormula>ABS(Table2[[#This Row],[Ao. Root (mm)]]-Table2[[#This Row],[Exp. Ao. Root (mm)]])/Table2[[#This Row],[Exp. Ao. Root (mm)]]</calculatedColumnFormula>
    </tableColumn>
    <tableColumn id="9" xr3:uid="{E2398DEA-4846-42F4-9072-E7DE8AFDB810}" name="Uncertainty" dataDxfId="0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3403FA3-50D7-429F-8EFF-6D0DE2D3F8F2}" name="Table58" displayName="Table58" ref="H1:H2" totalsRowShown="0" headerRowDxfId="13">
  <autoFilter ref="H1:H2" xr:uid="{A24F08A4-F868-4567-91E4-99184BFF8B0B}"/>
  <tableColumns count="1">
    <tableColumn id="1" xr3:uid="{0B3D8AE5-DE7C-4103-A98A-1E1317F4D2CE}" name="Name Select">
      <calculatedColumnFormula>Table5[[#This Row],[Name Select]]</calculatedColumnFormula>
    </tableColumn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481520A-41B6-4343-818A-058D0E1E0C7B}" name="Table4" displayName="Table4" ref="A1:G27" totalsRowShown="0" headerRowDxfId="37" headerRowBorderDxfId="36" tableBorderDxfId="35" totalsRowBorderDxfId="34">
  <autoFilter ref="A1:G27" xr:uid="{5B08C63C-C7B8-4694-B3A1-804F5123DA04}"/>
  <sortState xmlns:xlrd2="http://schemas.microsoft.com/office/spreadsheetml/2017/richdata2" ref="A2:F27">
    <sortCondition ref="B1:B27"/>
  </sortState>
  <tableColumns count="7">
    <tableColumn id="1" xr3:uid="{ABF67C33-915A-4B40-9627-8692EF10E2C3}" name="Name" dataDxfId="33">
      <calculatedColumnFormula>Table1[[#This Row],[Name]]</calculatedColumnFormula>
    </tableColumn>
    <tableColumn id="2" xr3:uid="{F4102C55-2CE9-4030-A2F4-EEA99DE4FB14}" name="Gestational Age (weeks)" dataDxfId="32">
      <calculatedColumnFormula>Table1[[#This Row],[Gestational Age (weeks)]]</calculatedColumnFormula>
    </tableColumn>
    <tableColumn id="3" xr3:uid="{5ACC1302-C26A-4E5D-A295-E4786B283D5E}" name="Condition" dataDxfId="31">
      <calculatedColumnFormula>Table1[[#This Row],[Condition]]</calculatedColumnFormula>
    </tableColumn>
    <tableColumn id="4" xr3:uid="{2F2FE732-9662-4AB9-8303-A8A39C613BB5}" name="Exp. Asc. Ao. (mm)" dataDxfId="30">
      <calculatedColumnFormula>(0.2*Table4[[#This Row],[Gestational Age (weeks)]])-0.46</calculatedColumnFormula>
    </tableColumn>
    <tableColumn id="5" xr3:uid="{EDBA3AE3-38B1-48CD-91A0-F588B58F0C21}" name="Asc. Ao. (mm)" dataDxfId="29">
      <calculatedColumnFormula>Table1[[#This Row],[Asc. Ao. (mm)]]</calculatedColumnFormula>
    </tableColumn>
    <tableColumn id="6" xr3:uid="{D82218A8-4643-4596-8D99-0AF37300268B}" name="Error Asc. Ao" dataDxfId="28">
      <calculatedColumnFormula>ABS(Table4[[#This Row],[Asc. Ao. (mm)]]-Table4[[#This Row],[Exp. Asc. Ao. (mm)]])/Table4[[#This Row],[Exp. Asc. Ao. (mm)]]</calculatedColumnFormula>
    </tableColumn>
    <tableColumn id="7" xr3:uid="{1CB8055D-1EBA-4850-93FA-C8F5A4E8A7F6}" name="Uncertainty" dataDxfId="27"/>
  </tableColumns>
  <tableStyleInfo name="TableStyleLight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26D1520-A388-4C40-A612-4AB8C4BEE68D}" name="Table589" displayName="Table589" ref="H1:H2" totalsRowShown="0" headerRowDxfId="26">
  <autoFilter ref="H1:H2" xr:uid="{59B5FCD6-EBDC-4D41-884A-E3ACFB92D985}"/>
  <tableColumns count="1">
    <tableColumn id="1" xr3:uid="{88CB425D-1675-486B-9007-CE4CB628927E}" name="Name Select">
      <calculatedColumnFormula>Table5[[#This Row],[Name Select]]</calculatedColumnFormula>
    </tableColumn>
  </tableColumns>
  <tableStyleInfo name="TableStyleLight8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72D87EC-7BF9-4558-9E78-074D2FC655EC}" name="Table3" displayName="Table3" ref="A1:G27" totalsRowShown="0" headerRowDxfId="25" headerRowBorderDxfId="24" tableBorderDxfId="23" totalsRowBorderDxfId="22">
  <autoFilter ref="A1:G27" xr:uid="{63912F93-E800-475D-B830-10E984592EA3}"/>
  <sortState xmlns:xlrd2="http://schemas.microsoft.com/office/spreadsheetml/2017/richdata2" ref="A2:F27">
    <sortCondition ref="B1:B27"/>
  </sortState>
  <tableColumns count="7">
    <tableColumn id="1" xr3:uid="{F5B38887-0050-4B5E-9554-506811F914B2}" name="Name" dataDxfId="21">
      <calculatedColumnFormula>Table1[[#This Row],[Name]]</calculatedColumnFormula>
    </tableColumn>
    <tableColumn id="2" xr3:uid="{C6FC35F6-1930-4F3C-9AB9-2DC5E04DBF4B}" name="Gestational Age (weeks)" dataDxfId="20"/>
    <tableColumn id="3" xr3:uid="{59800FA4-A662-4BF7-ADE9-CE93C06FECD9}" name="Condition" dataDxfId="19">
      <calculatedColumnFormula>Table1[[#This Row],[Condition]]</calculatedColumnFormula>
    </tableColumn>
    <tableColumn id="4" xr3:uid="{A86B4F47-6B6D-4101-92CA-CEF1A05C7773}" name="Exp. Transv. Ao. (mm)" dataDxfId="18">
      <calculatedColumnFormula>(0.18*Table3[[#This Row],[Gestational Age (weeks)]])-0.37</calculatedColumnFormula>
    </tableColumn>
    <tableColumn id="5" xr3:uid="{73BE2436-E416-4A78-A6F8-3876D8C18968}" name="Transv. Ao. (mm)" dataDxfId="17">
      <calculatedColumnFormula>Table1[[#This Row],[Transv. Ao. (mm)]]</calculatedColumnFormula>
    </tableColumn>
    <tableColumn id="6" xr3:uid="{C5E1184C-57BA-4529-8AB0-EE09E6E85841}" name="Error Transv. Ao." dataDxfId="16">
      <calculatedColumnFormula>ABS(Table3[[#This Row],[Transv. Ao. (mm)]]-Table3[[#This Row],[Exp. Transv. Ao. (mm)]])/Table3[[#This Row],[Exp. Transv. Ao. (mm)]]</calculatedColumnFormula>
    </tableColumn>
    <tableColumn id="7" xr3:uid="{79B5B705-3578-4348-8247-839856BBB2BA}" name="Uncertainty" dataDxfId="15"/>
  </tableColumns>
  <tableStyleInfo name="TableStyleLight8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BB00F8E-0708-4C9C-9D81-9BF982A9C28C}" name="Table5810" displayName="Table5810" ref="H1:H2" totalsRowShown="0" headerRowDxfId="14">
  <autoFilter ref="H1:H2" xr:uid="{CC2351AC-D084-4DAF-8F62-A491CB2107BC}"/>
  <tableColumns count="1">
    <tableColumn id="1" xr3:uid="{C666EB21-38DE-4D43-A97F-C102FF77D933}" name="Name Select">
      <calculatedColumnFormula>Table5[[#This Row],[Name Select]]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6D126-90F5-4A76-AADE-1DCA0F587A9C}">
  <sheetPr>
    <tabColor theme="2" tint="-0.499984740745262"/>
  </sheetPr>
  <dimension ref="A1:J27"/>
  <sheetViews>
    <sheetView zoomScaleNormal="100" workbookViewId="0">
      <pane ySplit="1" topLeftCell="A2" activePane="bottomLeft" state="frozen"/>
      <selection pane="bottomLeft" activeCell="K28" sqref="K28"/>
    </sheetView>
  </sheetViews>
  <sheetFormatPr defaultRowHeight="15" x14ac:dyDescent="0.25"/>
  <cols>
    <col min="1" max="1" width="16.85546875" customWidth="1"/>
    <col min="2" max="2" width="27.42578125" style="1" customWidth="1"/>
    <col min="3" max="3" width="15" customWidth="1"/>
    <col min="4" max="4" width="15" style="1" customWidth="1"/>
    <col min="5" max="5" width="27.28515625" customWidth="1"/>
    <col min="6" max="6" width="16.28515625" style="2" bestFit="1" customWidth="1"/>
    <col min="7" max="7" width="15.7109375" style="3" bestFit="1" customWidth="1"/>
    <col min="8" max="8" width="18.42578125" style="2" bestFit="1" customWidth="1"/>
    <col min="9" max="9" width="3.42578125" customWidth="1"/>
    <col min="10" max="10" width="18.85546875" customWidth="1"/>
    <col min="12" max="12" width="14" bestFit="1" customWidth="1"/>
    <col min="13" max="13" width="13.42578125" bestFit="1" customWidth="1"/>
    <col min="14" max="14" width="16.140625" bestFit="1" customWidth="1"/>
  </cols>
  <sheetData>
    <row r="1" spans="1:10" x14ac:dyDescent="0.25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6" t="s">
        <v>5</v>
      </c>
      <c r="G1" s="6" t="s">
        <v>6</v>
      </c>
      <c r="H1" s="9" t="s">
        <v>7</v>
      </c>
      <c r="J1" s="19" t="s">
        <v>8</v>
      </c>
    </row>
    <row r="2" spans="1:10" x14ac:dyDescent="0.25">
      <c r="A2" s="12" t="s">
        <v>9</v>
      </c>
      <c r="B2" s="13">
        <v>21</v>
      </c>
      <c r="C2" s="12" t="s">
        <v>10</v>
      </c>
      <c r="D2" s="13" t="s">
        <v>11</v>
      </c>
      <c r="E2" s="12" t="s">
        <v>12</v>
      </c>
      <c r="F2" s="14">
        <v>3.34</v>
      </c>
      <c r="G2" s="14">
        <v>2.5299999999999998</v>
      </c>
      <c r="H2" s="14">
        <v>2.87</v>
      </c>
      <c r="J2" t="s">
        <v>37</v>
      </c>
    </row>
    <row r="3" spans="1:10" x14ac:dyDescent="0.25">
      <c r="A3" s="12" t="s">
        <v>14</v>
      </c>
      <c r="B3" s="13">
        <v>21.14</v>
      </c>
      <c r="C3" s="12" t="s">
        <v>10</v>
      </c>
      <c r="D3" s="13" t="s">
        <v>11</v>
      </c>
      <c r="E3" s="12" t="s">
        <v>15</v>
      </c>
      <c r="F3" s="14">
        <v>4.4000000000000004</v>
      </c>
      <c r="G3" s="14">
        <v>4.92</v>
      </c>
      <c r="H3" s="14">
        <v>4.29</v>
      </c>
    </row>
    <row r="4" spans="1:10" x14ac:dyDescent="0.25">
      <c r="A4" s="12" t="s">
        <v>16</v>
      </c>
      <c r="B4" s="13">
        <v>21.14</v>
      </c>
      <c r="C4" s="12" t="s">
        <v>10</v>
      </c>
      <c r="D4" s="13" t="s">
        <v>11</v>
      </c>
      <c r="E4" s="12" t="s">
        <v>17</v>
      </c>
      <c r="F4" s="14">
        <v>4.37</v>
      </c>
      <c r="G4" s="14">
        <v>3.3</v>
      </c>
      <c r="H4" s="14">
        <v>3.36</v>
      </c>
      <c r="J4" t="s">
        <v>18</v>
      </c>
    </row>
    <row r="5" spans="1:10" x14ac:dyDescent="0.25">
      <c r="A5" s="12" t="s">
        <v>19</v>
      </c>
      <c r="B5" s="13">
        <v>21.29</v>
      </c>
      <c r="C5" s="12" t="s">
        <v>10</v>
      </c>
      <c r="D5" s="13" t="s">
        <v>11</v>
      </c>
      <c r="E5" s="12" t="s">
        <v>20</v>
      </c>
      <c r="F5" s="14">
        <v>4.5</v>
      </c>
      <c r="G5" s="14">
        <v>4.74</v>
      </c>
      <c r="H5" s="14">
        <v>3.06</v>
      </c>
    </row>
    <row r="6" spans="1:10" x14ac:dyDescent="0.25">
      <c r="A6" s="12" t="s">
        <v>21</v>
      </c>
      <c r="B6" s="13">
        <v>21.29</v>
      </c>
      <c r="C6" s="12" t="s">
        <v>10</v>
      </c>
      <c r="D6" s="13" t="s">
        <v>11</v>
      </c>
      <c r="E6" s="12" t="s">
        <v>22</v>
      </c>
      <c r="F6" s="14">
        <v>3.1</v>
      </c>
      <c r="G6" s="14">
        <v>3.75</v>
      </c>
      <c r="H6" s="14">
        <v>2.79</v>
      </c>
    </row>
    <row r="7" spans="1:10" x14ac:dyDescent="0.25">
      <c r="A7" s="12" t="s">
        <v>23</v>
      </c>
      <c r="B7" s="13">
        <v>21.43</v>
      </c>
      <c r="C7" s="12" t="s">
        <v>10</v>
      </c>
      <c r="D7" s="13" t="s">
        <v>11</v>
      </c>
      <c r="E7" s="12" t="s">
        <v>24</v>
      </c>
      <c r="F7" s="14">
        <v>4.12</v>
      </c>
      <c r="G7" s="14">
        <v>3.79</v>
      </c>
      <c r="H7" s="14">
        <v>3.9</v>
      </c>
    </row>
    <row r="8" spans="1:10" x14ac:dyDescent="0.25">
      <c r="A8" s="12" t="s">
        <v>25</v>
      </c>
      <c r="B8" s="13">
        <v>21.43</v>
      </c>
      <c r="C8" s="12" t="s">
        <v>10</v>
      </c>
      <c r="D8" s="13" t="s">
        <v>11</v>
      </c>
      <c r="E8" s="12" t="s">
        <v>26</v>
      </c>
      <c r="F8" s="14">
        <v>4.3</v>
      </c>
      <c r="G8" s="14">
        <v>3.69</v>
      </c>
      <c r="H8" s="14">
        <v>3.23</v>
      </c>
    </row>
    <row r="9" spans="1:10" x14ac:dyDescent="0.25">
      <c r="A9" s="12" t="s">
        <v>27</v>
      </c>
      <c r="B9" s="13">
        <v>21.43</v>
      </c>
      <c r="C9" s="12" t="s">
        <v>10</v>
      </c>
      <c r="D9" s="13" t="s">
        <v>11</v>
      </c>
      <c r="E9" s="12" t="s">
        <v>28</v>
      </c>
      <c r="F9" s="14">
        <v>3.82</v>
      </c>
      <c r="G9" s="14">
        <v>3.21</v>
      </c>
      <c r="H9" s="14">
        <v>3.89</v>
      </c>
    </row>
    <row r="10" spans="1:10" x14ac:dyDescent="0.25">
      <c r="A10" s="12" t="s">
        <v>29</v>
      </c>
      <c r="B10" s="13">
        <v>21.43</v>
      </c>
      <c r="C10" s="12" t="s">
        <v>10</v>
      </c>
      <c r="D10" s="13" t="s">
        <v>11</v>
      </c>
      <c r="E10" s="12" t="s">
        <v>30</v>
      </c>
      <c r="F10" s="14">
        <v>2.64</v>
      </c>
      <c r="G10" s="14">
        <v>3.3</v>
      </c>
      <c r="H10" s="14">
        <v>3.5</v>
      </c>
    </row>
    <row r="11" spans="1:10" x14ac:dyDescent="0.25">
      <c r="A11" s="12" t="s">
        <v>31</v>
      </c>
      <c r="B11" s="13">
        <v>21.57</v>
      </c>
      <c r="C11" s="12" t="s">
        <v>10</v>
      </c>
      <c r="D11" s="13" t="s">
        <v>11</v>
      </c>
      <c r="E11" s="12" t="s">
        <v>32</v>
      </c>
      <c r="F11" s="14">
        <v>4.0199999999999996</v>
      </c>
      <c r="G11" s="14">
        <v>3.43</v>
      </c>
      <c r="H11" s="14">
        <v>3.51</v>
      </c>
    </row>
    <row r="12" spans="1:10" x14ac:dyDescent="0.25">
      <c r="A12" s="12" t="s">
        <v>33</v>
      </c>
      <c r="B12" s="13">
        <v>21.57</v>
      </c>
      <c r="C12" s="12" t="s">
        <v>10</v>
      </c>
      <c r="D12" s="13" t="s">
        <v>11</v>
      </c>
      <c r="E12" s="12" t="s">
        <v>34</v>
      </c>
      <c r="F12" s="14">
        <v>4.1900000000000004</v>
      </c>
      <c r="G12" s="14">
        <v>3.08</v>
      </c>
      <c r="H12" s="14">
        <v>3.37</v>
      </c>
    </row>
    <row r="13" spans="1:10" x14ac:dyDescent="0.25">
      <c r="A13" s="12" t="s">
        <v>35</v>
      </c>
      <c r="B13" s="13">
        <v>21.57</v>
      </c>
      <c r="C13" s="12" t="s">
        <v>10</v>
      </c>
      <c r="D13" s="13" t="s">
        <v>11</v>
      </c>
      <c r="E13" s="12" t="s">
        <v>36</v>
      </c>
      <c r="F13" s="14">
        <v>3.85</v>
      </c>
      <c r="G13" s="14">
        <v>3.93</v>
      </c>
      <c r="H13" s="14">
        <v>2.99</v>
      </c>
    </row>
    <row r="14" spans="1:10" x14ac:dyDescent="0.25">
      <c r="A14" s="12" t="s">
        <v>37</v>
      </c>
      <c r="B14" s="13">
        <v>22</v>
      </c>
      <c r="C14" s="12" t="s">
        <v>10</v>
      </c>
      <c r="D14" s="13" t="s">
        <v>11</v>
      </c>
      <c r="E14" s="12" t="s">
        <v>38</v>
      </c>
      <c r="F14" s="14">
        <v>3.42</v>
      </c>
      <c r="G14" s="14">
        <v>3.76</v>
      </c>
      <c r="H14" s="14">
        <v>3.44</v>
      </c>
    </row>
    <row r="15" spans="1:10" x14ac:dyDescent="0.25">
      <c r="A15" s="12" t="s">
        <v>39</v>
      </c>
      <c r="B15" s="13">
        <v>22</v>
      </c>
      <c r="C15" s="12" t="s">
        <v>10</v>
      </c>
      <c r="D15" s="13" t="s">
        <v>11</v>
      </c>
      <c r="E15" s="12" t="s">
        <v>40</v>
      </c>
      <c r="F15" s="14">
        <v>3.63</v>
      </c>
      <c r="G15" s="14">
        <v>2.58</v>
      </c>
      <c r="H15" s="14">
        <v>3.74</v>
      </c>
    </row>
    <row r="16" spans="1:10" x14ac:dyDescent="0.25">
      <c r="A16" s="12" t="s">
        <v>41</v>
      </c>
      <c r="B16" s="13">
        <v>22.57</v>
      </c>
      <c r="C16" s="12" t="s">
        <v>42</v>
      </c>
      <c r="D16" s="13" t="s">
        <v>11</v>
      </c>
      <c r="E16" s="12" t="s">
        <v>43</v>
      </c>
      <c r="F16" s="14">
        <v>4.92</v>
      </c>
      <c r="G16" s="14">
        <v>3.51</v>
      </c>
      <c r="H16" s="14">
        <v>3.07</v>
      </c>
    </row>
    <row r="17" spans="1:8" x14ac:dyDescent="0.25">
      <c r="A17" s="12" t="s">
        <v>44</v>
      </c>
      <c r="B17" s="13">
        <v>22.57</v>
      </c>
      <c r="C17" s="12" t="s">
        <v>10</v>
      </c>
      <c r="D17" s="13" t="s">
        <v>11</v>
      </c>
      <c r="E17" s="12" t="s">
        <v>45</v>
      </c>
      <c r="F17" s="14">
        <v>4.07</v>
      </c>
      <c r="G17" s="14">
        <v>3.93</v>
      </c>
      <c r="H17" s="14">
        <v>3.19</v>
      </c>
    </row>
    <row r="18" spans="1:8" x14ac:dyDescent="0.25">
      <c r="A18" s="12" t="s">
        <v>46</v>
      </c>
      <c r="B18" s="13">
        <v>28</v>
      </c>
      <c r="C18" s="12" t="s">
        <v>10</v>
      </c>
      <c r="D18" s="13" t="s">
        <v>11</v>
      </c>
      <c r="E18" s="12" t="s">
        <v>40</v>
      </c>
      <c r="F18" s="14">
        <v>7.43</v>
      </c>
      <c r="G18" s="14">
        <v>5.81</v>
      </c>
      <c r="H18" s="14">
        <v>7.22</v>
      </c>
    </row>
    <row r="19" spans="1:8" x14ac:dyDescent="0.25">
      <c r="A19" s="12" t="s">
        <v>13</v>
      </c>
      <c r="B19" s="13">
        <v>29</v>
      </c>
      <c r="C19" s="12" t="s">
        <v>42</v>
      </c>
      <c r="D19" s="13" t="s">
        <v>11</v>
      </c>
      <c r="E19" s="12" t="s">
        <v>45</v>
      </c>
      <c r="F19" s="14">
        <v>4.67</v>
      </c>
      <c r="G19" s="14">
        <v>5.82</v>
      </c>
      <c r="H19" s="14">
        <v>2.99</v>
      </c>
    </row>
    <row r="20" spans="1:8" x14ac:dyDescent="0.25">
      <c r="A20" s="12" t="s">
        <v>47</v>
      </c>
      <c r="B20" s="13">
        <v>29.14</v>
      </c>
      <c r="C20" s="12" t="s">
        <v>42</v>
      </c>
      <c r="D20" s="13" t="s">
        <v>11</v>
      </c>
      <c r="E20" s="12" t="s">
        <v>48</v>
      </c>
      <c r="F20" s="14">
        <v>7.95</v>
      </c>
      <c r="G20" s="14">
        <v>6.68</v>
      </c>
      <c r="H20" s="14">
        <v>6.26</v>
      </c>
    </row>
    <row r="21" spans="1:8" x14ac:dyDescent="0.25">
      <c r="A21" s="12" t="s">
        <v>49</v>
      </c>
      <c r="B21" s="13">
        <v>29.86</v>
      </c>
      <c r="C21" s="12" t="s">
        <v>42</v>
      </c>
      <c r="D21" s="13" t="s">
        <v>11</v>
      </c>
      <c r="E21" s="12" t="s">
        <v>50</v>
      </c>
      <c r="F21" s="14">
        <v>4.46</v>
      </c>
      <c r="G21" s="14">
        <v>3.8</v>
      </c>
      <c r="H21" s="14">
        <v>3.35</v>
      </c>
    </row>
    <row r="22" spans="1:8" x14ac:dyDescent="0.25">
      <c r="A22" s="12" t="s">
        <v>51</v>
      </c>
      <c r="B22" s="13">
        <v>32</v>
      </c>
      <c r="C22" s="12" t="s">
        <v>10</v>
      </c>
      <c r="D22" s="13" t="s">
        <v>11</v>
      </c>
      <c r="E22" s="12" t="s">
        <v>52</v>
      </c>
      <c r="F22" s="14">
        <v>6.79</v>
      </c>
      <c r="G22" s="14">
        <v>6.01</v>
      </c>
      <c r="H22" s="14">
        <v>4.8600000000000003</v>
      </c>
    </row>
    <row r="23" spans="1:8" x14ac:dyDescent="0.25">
      <c r="A23" s="12" t="s">
        <v>53</v>
      </c>
      <c r="B23" s="13">
        <v>32</v>
      </c>
      <c r="C23" s="12" t="s">
        <v>10</v>
      </c>
      <c r="D23" s="13" t="s">
        <v>11</v>
      </c>
      <c r="E23" s="12" t="s">
        <v>28</v>
      </c>
      <c r="F23" s="14">
        <v>5.31</v>
      </c>
      <c r="G23" s="14">
        <v>6.18</v>
      </c>
      <c r="H23" s="14">
        <v>5.47</v>
      </c>
    </row>
    <row r="24" spans="1:8" x14ac:dyDescent="0.25">
      <c r="A24" s="12" t="s">
        <v>54</v>
      </c>
      <c r="B24" s="13">
        <v>32</v>
      </c>
      <c r="C24" s="12" t="s">
        <v>10</v>
      </c>
      <c r="D24" s="13" t="s">
        <v>11</v>
      </c>
      <c r="E24" s="12" t="s">
        <v>55</v>
      </c>
      <c r="F24" s="14">
        <v>5.72</v>
      </c>
      <c r="G24" s="14">
        <v>7.71</v>
      </c>
      <c r="H24" s="14">
        <v>5.91</v>
      </c>
    </row>
    <row r="25" spans="1:8" x14ac:dyDescent="0.25">
      <c r="A25" s="12" t="s">
        <v>56</v>
      </c>
      <c r="B25" s="13">
        <v>32</v>
      </c>
      <c r="C25" s="12" t="s">
        <v>10</v>
      </c>
      <c r="D25" s="13" t="s">
        <v>11</v>
      </c>
      <c r="E25" s="12" t="s">
        <v>57</v>
      </c>
      <c r="F25" s="14">
        <v>5.84</v>
      </c>
      <c r="G25" s="14">
        <v>7.44</v>
      </c>
      <c r="H25" s="14">
        <v>5.55</v>
      </c>
    </row>
    <row r="26" spans="1:8" x14ac:dyDescent="0.25">
      <c r="A26" s="12" t="s">
        <v>58</v>
      </c>
      <c r="B26" s="13">
        <v>32.57</v>
      </c>
      <c r="C26" s="12" t="s">
        <v>10</v>
      </c>
      <c r="D26" s="13" t="s">
        <v>11</v>
      </c>
      <c r="E26" s="12" t="s">
        <v>59</v>
      </c>
      <c r="F26" s="14">
        <v>5.79</v>
      </c>
      <c r="G26" s="14">
        <v>6.41</v>
      </c>
      <c r="H26" s="14">
        <v>5.03</v>
      </c>
    </row>
    <row r="27" spans="1:8" x14ac:dyDescent="0.25">
      <c r="A27" s="12" t="s">
        <v>60</v>
      </c>
      <c r="B27" s="13">
        <v>33</v>
      </c>
      <c r="C27" s="12" t="s">
        <v>10</v>
      </c>
      <c r="D27" s="13" t="s">
        <v>11</v>
      </c>
      <c r="E27" s="12" t="s">
        <v>61</v>
      </c>
      <c r="F27" s="14">
        <v>5.52</v>
      </c>
      <c r="G27" s="14">
        <v>5.07</v>
      </c>
      <c r="H27" s="14">
        <v>5.14</v>
      </c>
    </row>
  </sheetData>
  <sortState xmlns:xlrd2="http://schemas.microsoft.com/office/spreadsheetml/2017/richdata2" ref="A2:E17">
    <sortCondition ref="B2:B17"/>
  </sortState>
  <phoneticPr fontId="1" type="noConversion"/>
  <conditionalFormatting sqref="A2:H27">
    <cfRule type="expression" dxfId="12" priority="7">
      <formula>$A2=$J$2</formula>
    </cfRule>
    <cfRule type="expression" dxfId="11" priority="11">
      <formula>$C2="Diseased"</formula>
    </cfRule>
    <cfRule type="expression" dxfId="10" priority="16">
      <formula>COUNTBLANK($A2:$D2)</formula>
    </cfRule>
  </conditionalFormatting>
  <dataValidations count="1">
    <dataValidation type="list" allowBlank="1" showInputMessage="1" showErrorMessage="1" sqref="J2" xr:uid="{AF9A0107-7196-4274-9FC3-0384F624B685}">
      <formula1>$A$2:$A$27</formula1>
    </dataValidation>
  </dataValidations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A299C-2165-48C1-9387-CF1586EB74E2}">
  <sheetPr>
    <tabColor rgb="FFFF0000"/>
  </sheetPr>
  <dimension ref="A1:K27"/>
  <sheetViews>
    <sheetView workbookViewId="0">
      <selection activeCell="J1" sqref="J1:J27"/>
    </sheetView>
  </sheetViews>
  <sheetFormatPr defaultRowHeight="15" x14ac:dyDescent="0.25"/>
  <cols>
    <col min="1" max="1" width="16.5703125" bestFit="1" customWidth="1"/>
    <col min="2" max="2" width="25.42578125" bestFit="1" customWidth="1"/>
    <col min="3" max="3" width="12" bestFit="1" customWidth="1"/>
    <col min="4" max="4" width="17.28515625" customWidth="1"/>
    <col min="5" max="5" width="16.28515625" bestFit="1" customWidth="1"/>
    <col min="6" max="6" width="15.7109375" style="18" bestFit="1" customWidth="1"/>
    <col min="7" max="7" width="18" customWidth="1"/>
    <col min="8" max="8" width="17.5703125" customWidth="1"/>
    <col min="10" max="10" width="20.28515625" bestFit="1" customWidth="1"/>
  </cols>
  <sheetData>
    <row r="1" spans="1:11" x14ac:dyDescent="0.25">
      <c r="A1" t="s">
        <v>0</v>
      </c>
      <c r="B1" t="s">
        <v>1</v>
      </c>
      <c r="C1" t="s">
        <v>2</v>
      </c>
      <c r="D1" s="25" t="s">
        <v>62</v>
      </c>
      <c r="E1" t="s">
        <v>5</v>
      </c>
      <c r="F1" s="27" t="s">
        <v>63</v>
      </c>
      <c r="G1" s="29" t="s">
        <v>68</v>
      </c>
      <c r="H1" s="19" t="s">
        <v>8</v>
      </c>
      <c r="J1" t="str">
        <f>Table2[[#Headers],[Ao. Root (mm)]]</f>
        <v>Ao. Root (mm)</v>
      </c>
    </row>
    <row r="2" spans="1:11" x14ac:dyDescent="0.25">
      <c r="A2" s="12" t="str">
        <f>Table1[[#This Row],[Name]]</f>
        <v>06Apr2021P1</v>
      </c>
      <c r="B2" s="13">
        <f>Table1[[#This Row],[Gestational Age (weeks)]]</f>
        <v>21</v>
      </c>
      <c r="C2" s="12" t="str">
        <f>Table1[[#This Row],[Condition]]</f>
        <v>Healthy</v>
      </c>
      <c r="D2" s="10">
        <f>(0.22*Table2[[#This Row],[Gestational Age (weeks)]])-0.38</f>
        <v>4.24</v>
      </c>
      <c r="E2" s="16">
        <f>Table1[[#This Row],[Ao. Root (mm)]]</f>
        <v>3.34</v>
      </c>
      <c r="F2" s="17">
        <f>ABS(Table2[[#This Row],[Ao. Root (mm)]]-Table2[[#This Row],[Exp. Ao. Root (mm)]])/Table2[[#This Row],[Exp. Ao. Root (mm)]]</f>
        <v>0.21226415094339629</v>
      </c>
      <c r="G2" s="44">
        <v>0.36209999999999998</v>
      </c>
      <c r="H2" t="str">
        <f>Table5[[#This Row],[Name Select]]</f>
        <v>17Sep2019P1_3</v>
      </c>
      <c r="J2" s="2" t="str">
        <f>Table2[[#This Row],[Ao. Root (mm)]]&amp; " ± "&amp;Table2[[#This Row],[Uncertainty]]</f>
        <v>3.34 ± 0.3621</v>
      </c>
      <c r="K2" s="52" t="s">
        <v>92</v>
      </c>
    </row>
    <row r="3" spans="1:11" x14ac:dyDescent="0.25">
      <c r="A3" s="12" t="str">
        <f>Table1[[#This Row],[Name]]</f>
        <v>15Oct2019P2</v>
      </c>
      <c r="B3" s="13">
        <f>Table1[[#This Row],[Gestational Age (weeks)]]</f>
        <v>21.14</v>
      </c>
      <c r="C3" s="12" t="str">
        <f>Table1[[#This Row],[Condition]]</f>
        <v>Healthy</v>
      </c>
      <c r="D3" s="10">
        <f>(0.22*Table2[[#This Row],[Gestational Age (weeks)]])-0.38</f>
        <v>4.2708000000000004</v>
      </c>
      <c r="E3" s="16">
        <f>Table1[[#This Row],[Ao. Root (mm)]]</f>
        <v>4.4000000000000004</v>
      </c>
      <c r="F3" s="17">
        <f>ABS(Table2[[#This Row],[Ao. Root (mm)]]-Table2[[#This Row],[Exp. Ao. Root (mm)]])/Table2[[#This Row],[Exp. Ao. Root (mm)]]</f>
        <v>3.0251943429802371E-2</v>
      </c>
      <c r="G3" s="44">
        <v>0.2036</v>
      </c>
      <c r="J3" s="2" t="str">
        <f>Table2[[#This Row],[Ao. Root (mm)]]&amp; " ± "&amp;Table2[[#This Row],[Uncertainty]]</f>
        <v>4.4 ± 0.2036</v>
      </c>
    </row>
    <row r="4" spans="1:11" x14ac:dyDescent="0.25">
      <c r="A4" s="12" t="str">
        <f>Table1[[#This Row],[Name]]</f>
        <v>23Mar2021P3</v>
      </c>
      <c r="B4" s="13">
        <f>Table1[[#This Row],[Gestational Age (weeks)]]</f>
        <v>21.14</v>
      </c>
      <c r="C4" s="12" t="str">
        <f>Table1[[#This Row],[Condition]]</f>
        <v>Healthy</v>
      </c>
      <c r="D4" s="10">
        <f>(0.22*Table2[[#This Row],[Gestational Age (weeks)]])-0.38</f>
        <v>4.2708000000000004</v>
      </c>
      <c r="E4" s="16">
        <f>Table1[[#This Row],[Ao. Root (mm)]]</f>
        <v>4.37</v>
      </c>
      <c r="F4" s="17">
        <f>ABS(Table2[[#This Row],[Ao. Root (mm)]]-Table2[[#This Row],[Exp. Ao. Root (mm)]])/Table2[[#This Row],[Exp. Ao. Root (mm)]]</f>
        <v>2.3227498360962752E-2</v>
      </c>
      <c r="G4" s="44">
        <v>0.23469999999999999</v>
      </c>
      <c r="J4" s="2" t="str">
        <f>Table2[[#This Row],[Ao. Root (mm)]]&amp; " ± "&amp;Table2[[#This Row],[Uncertainty]]</f>
        <v>4.37 ± 0.2347</v>
      </c>
    </row>
    <row r="5" spans="1:11" x14ac:dyDescent="0.25">
      <c r="A5" s="12" t="str">
        <f>Table1[[#This Row],[Name]]</f>
        <v>03Sep2019P2_0_1</v>
      </c>
      <c r="B5" s="13">
        <f>Table1[[#This Row],[Gestational Age (weeks)]]</f>
        <v>21.29</v>
      </c>
      <c r="C5" s="12" t="str">
        <f>Table1[[#This Row],[Condition]]</f>
        <v>Healthy</v>
      </c>
      <c r="D5" s="10">
        <f>(0.22*Table2[[#This Row],[Gestational Age (weeks)]])-0.38</f>
        <v>4.3037999999999998</v>
      </c>
      <c r="E5" s="16">
        <f>Table1[[#This Row],[Ao. Root (mm)]]</f>
        <v>4.5</v>
      </c>
      <c r="F5" s="17">
        <f>ABS(Table2[[#This Row],[Ao. Root (mm)]]-Table2[[#This Row],[Exp. Ao. Root (mm)]])/Table2[[#This Row],[Exp. Ao. Root (mm)]]</f>
        <v>4.5587620242576364E-2</v>
      </c>
      <c r="G5" s="44">
        <v>0.21129999999999999</v>
      </c>
      <c r="J5" s="2" t="str">
        <f>Table2[[#This Row],[Ao. Root (mm)]]&amp; " ± "&amp;Table2[[#This Row],[Uncertainty]]</f>
        <v>4.5 ± 0.2113</v>
      </c>
    </row>
    <row r="6" spans="1:11" x14ac:dyDescent="0.25">
      <c r="A6" s="12" t="str">
        <f>Table1[[#This Row],[Name]]</f>
        <v>20Apr2021P1</v>
      </c>
      <c r="B6" s="13">
        <f>Table1[[#This Row],[Gestational Age (weeks)]]</f>
        <v>21.29</v>
      </c>
      <c r="C6" s="12" t="str">
        <f>Table1[[#This Row],[Condition]]</f>
        <v>Healthy</v>
      </c>
      <c r="D6" s="10">
        <f>(0.22*Table2[[#This Row],[Gestational Age (weeks)]])-0.38</f>
        <v>4.3037999999999998</v>
      </c>
      <c r="E6" s="16">
        <f>Table1[[#This Row],[Ao. Root (mm)]]</f>
        <v>3.1</v>
      </c>
      <c r="F6" s="17">
        <f>ABS(Table2[[#This Row],[Ao. Root (mm)]]-Table2[[#This Row],[Exp. Ao. Root (mm)]])/Table2[[#This Row],[Exp. Ao. Root (mm)]]</f>
        <v>0.27970630605511404</v>
      </c>
      <c r="G6" s="44">
        <v>0.3105</v>
      </c>
      <c r="J6" s="2" t="str">
        <f>Table2[[#This Row],[Ao. Root (mm)]]&amp; " ± "&amp;Table2[[#This Row],[Uncertainty]]</f>
        <v>3.1 ± 0.3105</v>
      </c>
    </row>
    <row r="7" spans="1:11" x14ac:dyDescent="0.25">
      <c r="A7" s="12" t="str">
        <f>Table1[[#This Row],[Name]]</f>
        <v>08Oct2019P1</v>
      </c>
      <c r="B7" s="13">
        <f>Table1[[#This Row],[Gestational Age (weeks)]]</f>
        <v>21.43</v>
      </c>
      <c r="C7" s="12" t="str">
        <f>Table1[[#This Row],[Condition]]</f>
        <v>Healthy</v>
      </c>
      <c r="D7" s="10">
        <f>(0.22*Table2[[#This Row],[Gestational Age (weeks)]])-0.38</f>
        <v>4.3346</v>
      </c>
      <c r="E7" s="16">
        <f>Table1[[#This Row],[Ao. Root (mm)]]</f>
        <v>4.12</v>
      </c>
      <c r="F7" s="17">
        <f>ABS(Table2[[#This Row],[Ao. Root (mm)]]-Table2[[#This Row],[Exp. Ao. Root (mm)]])/Table2[[#This Row],[Exp. Ao. Root (mm)]]</f>
        <v>4.9508605176948252E-2</v>
      </c>
      <c r="G7" s="44">
        <v>0.28460000000000002</v>
      </c>
      <c r="J7" s="2" t="str">
        <f>Table2[[#This Row],[Ao. Root (mm)]]&amp; " ± "&amp;Table2[[#This Row],[Uncertainty]]</f>
        <v>4.12 ± 0.2846</v>
      </c>
    </row>
    <row r="8" spans="1:11" x14ac:dyDescent="0.25">
      <c r="A8" s="12" t="str">
        <f>Table1[[#This Row],[Name]]</f>
        <v>09Feb2021P2</v>
      </c>
      <c r="B8" s="13">
        <f>Table1[[#This Row],[Gestational Age (weeks)]]</f>
        <v>21.43</v>
      </c>
      <c r="C8" s="12" t="str">
        <f>Table1[[#This Row],[Condition]]</f>
        <v>Healthy</v>
      </c>
      <c r="D8" s="10">
        <f>(0.22*Table2[[#This Row],[Gestational Age (weeks)]])-0.38</f>
        <v>4.3346</v>
      </c>
      <c r="E8" s="16">
        <f>Table1[[#This Row],[Ao. Root (mm)]]</f>
        <v>4.3</v>
      </c>
      <c r="F8" s="17">
        <f>ABS(Table2[[#This Row],[Ao. Root (mm)]]-Table2[[#This Row],[Exp. Ao. Root (mm)]])/Table2[[#This Row],[Exp. Ao. Root (mm)]]</f>
        <v>7.982282102154797E-3</v>
      </c>
      <c r="G8" s="44">
        <v>0.31259999999999999</v>
      </c>
      <c r="J8" s="2" t="str">
        <f>Table2[[#This Row],[Ao. Root (mm)]]&amp; " ± "&amp;Table2[[#This Row],[Uncertainty]]</f>
        <v>4.3 ± 0.3126</v>
      </c>
    </row>
    <row r="9" spans="1:11" x14ac:dyDescent="0.25">
      <c r="A9" s="12" t="str">
        <f>Table1[[#This Row],[Name]]</f>
        <v>13Apr2021P1</v>
      </c>
      <c r="B9" s="13">
        <f>Table1[[#This Row],[Gestational Age (weeks)]]</f>
        <v>21.43</v>
      </c>
      <c r="C9" s="12" t="str">
        <f>Table1[[#This Row],[Condition]]</f>
        <v>Healthy</v>
      </c>
      <c r="D9" s="10">
        <f>(0.22*Table2[[#This Row],[Gestational Age (weeks)]])-0.38</f>
        <v>4.3346</v>
      </c>
      <c r="E9" s="16">
        <f>Table1[[#This Row],[Ao. Root (mm)]]</f>
        <v>3.82</v>
      </c>
      <c r="F9" s="17">
        <f>ABS(Table2[[#This Row],[Ao. Root (mm)]]-Table2[[#This Row],[Exp. Ao. Root (mm)]])/Table2[[#This Row],[Exp. Ao. Root (mm)]]</f>
        <v>0.11871914363493752</v>
      </c>
      <c r="G9" s="44">
        <v>0.31850000000000001</v>
      </c>
      <c r="J9" s="2" t="str">
        <f>Table2[[#This Row],[Ao. Root (mm)]]&amp; " ± "&amp;Table2[[#This Row],[Uncertainty]]</f>
        <v>3.82 ± 0.3185</v>
      </c>
    </row>
    <row r="10" spans="1:11" x14ac:dyDescent="0.25">
      <c r="A10" s="12" t="str">
        <f>Table1[[#This Row],[Name]]</f>
        <v>23Mar2021P1</v>
      </c>
      <c r="B10" s="13">
        <f>Table1[[#This Row],[Gestational Age (weeks)]]</f>
        <v>21.43</v>
      </c>
      <c r="C10" s="12" t="str">
        <f>Table1[[#This Row],[Condition]]</f>
        <v>Healthy</v>
      </c>
      <c r="D10" s="10">
        <f>(0.22*Table2[[#This Row],[Gestational Age (weeks)]])-0.38</f>
        <v>4.3346</v>
      </c>
      <c r="E10" s="16">
        <f>Table1[[#This Row],[Ao. Root (mm)]]</f>
        <v>2.64</v>
      </c>
      <c r="F10" s="17">
        <f>ABS(Table2[[#This Row],[Ao. Root (mm)]]-Table2[[#This Row],[Exp. Ao. Root (mm)]])/Table2[[#This Row],[Exp. Ao. Root (mm)]]</f>
        <v>0.390947261569695</v>
      </c>
      <c r="G10" s="44">
        <v>0.39340000000000003</v>
      </c>
      <c r="J10" s="2" t="str">
        <f>Table2[[#This Row],[Ao. Root (mm)]]&amp; " ± "&amp;Table2[[#This Row],[Uncertainty]]</f>
        <v>2.64 ± 0.3934</v>
      </c>
    </row>
    <row r="11" spans="1:11" x14ac:dyDescent="0.25">
      <c r="A11" s="12" t="str">
        <f>Table1[[#This Row],[Name]]</f>
        <v>10Sep2019P1_1</v>
      </c>
      <c r="B11" s="13">
        <f>Table1[[#This Row],[Gestational Age (weeks)]]</f>
        <v>21.57</v>
      </c>
      <c r="C11" s="12" t="str">
        <f>Table1[[#This Row],[Condition]]</f>
        <v>Healthy</v>
      </c>
      <c r="D11" s="10">
        <f>(0.22*Table2[[#This Row],[Gestational Age (weeks)]])-0.38</f>
        <v>4.3654000000000002</v>
      </c>
      <c r="E11" s="16">
        <f>Table1[[#This Row],[Ao. Root (mm)]]</f>
        <v>4.0199999999999996</v>
      </c>
      <c r="F11" s="17">
        <f>ABS(Table2[[#This Row],[Ao. Root (mm)]]-Table2[[#This Row],[Exp. Ao. Root (mm)]])/Table2[[#This Row],[Exp. Ao. Root (mm)]]</f>
        <v>7.9122188115636732E-2</v>
      </c>
      <c r="G11" s="44">
        <v>0.21560000000000001</v>
      </c>
      <c r="J11" s="2" t="str">
        <f>Table2[[#This Row],[Ao. Root (mm)]]&amp; " ± "&amp;Table2[[#This Row],[Uncertainty]]</f>
        <v>4.02 ± 0.2156</v>
      </c>
    </row>
    <row r="12" spans="1:11" x14ac:dyDescent="0.25">
      <c r="A12" s="12" t="str">
        <f>Table1[[#This Row],[Name]]</f>
        <v>13Apr2021P2</v>
      </c>
      <c r="B12" s="13">
        <f>Table1[[#This Row],[Gestational Age (weeks)]]</f>
        <v>21.57</v>
      </c>
      <c r="C12" s="12" t="str">
        <f>Table1[[#This Row],[Condition]]</f>
        <v>Healthy</v>
      </c>
      <c r="D12" s="10">
        <f>(0.22*Table2[[#This Row],[Gestational Age (weeks)]])-0.38</f>
        <v>4.3654000000000002</v>
      </c>
      <c r="E12" s="16">
        <f>Table1[[#This Row],[Ao. Root (mm)]]</f>
        <v>4.1900000000000004</v>
      </c>
      <c r="F12" s="17">
        <f>ABS(Table2[[#This Row],[Ao. Root (mm)]]-Table2[[#This Row],[Exp. Ao. Root (mm)]])/Table2[[#This Row],[Exp. Ao. Root (mm)]]</f>
        <v>4.0179594080725654E-2</v>
      </c>
      <c r="G12" s="44">
        <v>0.27610000000000001</v>
      </c>
      <c r="J12" s="2" t="str">
        <f>Table2[[#This Row],[Ao. Root (mm)]]&amp; " ± "&amp;Table2[[#This Row],[Uncertainty]]</f>
        <v>4.19 ± 0.2761</v>
      </c>
    </row>
    <row r="13" spans="1:11" x14ac:dyDescent="0.25">
      <c r="A13" s="12" t="str">
        <f>Table1[[#This Row],[Name]]</f>
        <v>02Mar2021P1</v>
      </c>
      <c r="B13" s="13">
        <f>Table1[[#This Row],[Gestational Age (weeks)]]</f>
        <v>21.57</v>
      </c>
      <c r="C13" s="12" t="str">
        <f>Table1[[#This Row],[Condition]]</f>
        <v>Healthy</v>
      </c>
      <c r="D13" s="10">
        <f>(0.22*Table2[[#This Row],[Gestational Age (weeks)]])-0.38</f>
        <v>4.3654000000000002</v>
      </c>
      <c r="E13" s="16">
        <f>Table1[[#This Row],[Ao. Root (mm)]]</f>
        <v>3.85</v>
      </c>
      <c r="F13" s="17">
        <f>ABS(Table2[[#This Row],[Ao. Root (mm)]]-Table2[[#This Row],[Exp. Ao. Root (mm)]])/Table2[[#This Row],[Exp. Ao. Root (mm)]]</f>
        <v>0.1180647821505475</v>
      </c>
      <c r="G13" s="44">
        <v>0.25669999999999998</v>
      </c>
      <c r="J13" s="2" t="str">
        <f>Table2[[#This Row],[Ao. Root (mm)]]&amp; " ± "&amp;Table2[[#This Row],[Uncertainty]]</f>
        <v>3.85 ± 0.2567</v>
      </c>
    </row>
    <row r="14" spans="1:11" x14ac:dyDescent="0.25">
      <c r="A14" s="12" t="str">
        <f>Table1[[#This Row],[Name]]</f>
        <v>17Sep2019P1_3</v>
      </c>
      <c r="B14" s="13">
        <f>Table1[[#This Row],[Gestational Age (weeks)]]</f>
        <v>22</v>
      </c>
      <c r="C14" s="12" t="str">
        <f>Table1[[#This Row],[Condition]]</f>
        <v>Healthy</v>
      </c>
      <c r="D14" s="10">
        <f>(0.22*Table2[[#This Row],[Gestational Age (weeks)]])-0.38</f>
        <v>4.46</v>
      </c>
      <c r="E14" s="16">
        <f>Table1[[#This Row],[Ao. Root (mm)]]</f>
        <v>3.42</v>
      </c>
      <c r="F14" s="17">
        <f>ABS(Table2[[#This Row],[Ao. Root (mm)]]-Table2[[#This Row],[Exp. Ao. Root (mm)]])/Table2[[#This Row],[Exp. Ao. Root (mm)]]</f>
        <v>0.23318385650224216</v>
      </c>
      <c r="G14" s="44">
        <f>Uncertainty!H7</f>
        <v>0.26775735284021612</v>
      </c>
      <c r="J14" s="2" t="str">
        <f>Table2[[#This Row],[Ao. Root (mm)]]&amp; " ± "&amp;Table2[[#This Row],[Uncertainty]]</f>
        <v>3.42 ± 0.267757352840216</v>
      </c>
    </row>
    <row r="15" spans="1:11" x14ac:dyDescent="0.25">
      <c r="A15" s="12" t="str">
        <f>Table1[[#This Row],[Name]]</f>
        <v>24Sep2019P1_5</v>
      </c>
      <c r="B15" s="13">
        <f>Table1[[#This Row],[Gestational Age (weeks)]]</f>
        <v>22</v>
      </c>
      <c r="C15" s="12" t="str">
        <f>Table1[[#This Row],[Condition]]</f>
        <v>Healthy</v>
      </c>
      <c r="D15" s="10">
        <f>(0.22*Table2[[#This Row],[Gestational Age (weeks)]])-0.38</f>
        <v>4.46</v>
      </c>
      <c r="E15" s="16">
        <f>Table1[[#This Row],[Ao. Root (mm)]]</f>
        <v>3.63</v>
      </c>
      <c r="F15" s="17">
        <f>ABS(Table2[[#This Row],[Ao. Root (mm)]]-Table2[[#This Row],[Exp. Ao. Root (mm)]])/Table2[[#This Row],[Exp. Ao. Root (mm)]]</f>
        <v>0.18609865470852019</v>
      </c>
      <c r="G15" s="44">
        <v>0.23780000000000001</v>
      </c>
      <c r="J15" s="2" t="str">
        <f>Table2[[#This Row],[Ao. Root (mm)]]&amp; " ± "&amp;Table2[[#This Row],[Uncertainty]]</f>
        <v>3.63 ± 0.2378</v>
      </c>
    </row>
    <row r="16" spans="1:11" x14ac:dyDescent="0.25">
      <c r="A16" s="12" t="str">
        <f>Table1[[#This Row],[Name]]</f>
        <v>088pre_10000006</v>
      </c>
      <c r="B16" s="13">
        <f>Table1[[#This Row],[Gestational Age (weeks)]]</f>
        <v>22.57</v>
      </c>
      <c r="C16" s="12" t="str">
        <f>Table1[[#This Row],[Condition]]</f>
        <v>Diseased</v>
      </c>
      <c r="D16" s="10">
        <f>(0.22*Table2[[#This Row],[Gestational Age (weeks)]])-0.38</f>
        <v>4.5853999999999999</v>
      </c>
      <c r="E16" s="16">
        <f>Table1[[#This Row],[Ao. Root (mm)]]</f>
        <v>4.92</v>
      </c>
      <c r="F16" s="17">
        <f>ABS(Table2[[#This Row],[Ao. Root (mm)]]-Table2[[#This Row],[Exp. Ao. Root (mm)]])/Table2[[#This Row],[Exp. Ao. Root (mm)]]</f>
        <v>7.2970733196667692E-2</v>
      </c>
      <c r="G16" s="44">
        <v>0.29970000000000002</v>
      </c>
      <c r="J16" s="2" t="str">
        <f>Table2[[#This Row],[Ao. Root (mm)]]&amp; " ± "&amp;Table2[[#This Row],[Uncertainty]]</f>
        <v>4.92 ± 0.2997</v>
      </c>
    </row>
    <row r="17" spans="1:10" x14ac:dyDescent="0.25">
      <c r="A17" s="12" t="str">
        <f>Table1[[#This Row],[Name]]</f>
        <v>09Feb2021P1</v>
      </c>
      <c r="B17" s="13">
        <f>Table1[[#This Row],[Gestational Age (weeks)]]</f>
        <v>22.57</v>
      </c>
      <c r="C17" s="12" t="str">
        <f>Table1[[#This Row],[Condition]]</f>
        <v>Healthy</v>
      </c>
      <c r="D17" s="10">
        <f>(0.22*Table2[[#This Row],[Gestational Age (weeks)]])-0.38</f>
        <v>4.5853999999999999</v>
      </c>
      <c r="E17" s="16">
        <f>Table1[[#This Row],[Ao. Root (mm)]]</f>
        <v>4.07</v>
      </c>
      <c r="F17" s="17">
        <f>ABS(Table2[[#This Row],[Ao. Root (mm)]]-Table2[[#This Row],[Exp. Ao. Root (mm)]])/Table2[[#This Row],[Exp. Ao. Root (mm)]]</f>
        <v>0.11240022680682157</v>
      </c>
      <c r="G17" s="44">
        <v>0.28749999999999998</v>
      </c>
      <c r="J17" s="2" t="str">
        <f>Table2[[#This Row],[Ao. Root (mm)]]&amp; " ± "&amp;Table2[[#This Row],[Uncertainty]]</f>
        <v>4.07 ± 0.2875</v>
      </c>
    </row>
    <row r="18" spans="1:10" x14ac:dyDescent="0.25">
      <c r="A18" s="12" t="str">
        <f>Table1[[#This Row],[Name]]</f>
        <v>28weekshealthy</v>
      </c>
      <c r="B18" s="13">
        <f>Table1[[#This Row],[Gestational Age (weeks)]]</f>
        <v>28</v>
      </c>
      <c r="C18" s="12" t="str">
        <f>Table1[[#This Row],[Condition]]</f>
        <v>Healthy</v>
      </c>
      <c r="D18" s="10">
        <f>(0.22*Table2[[#This Row],[Gestational Age (weeks)]])-0.38</f>
        <v>5.78</v>
      </c>
      <c r="E18" s="16">
        <f>Table1[[#This Row],[Ao. Root (mm)]]</f>
        <v>7.43</v>
      </c>
      <c r="F18" s="17">
        <f>ABS(Table2[[#This Row],[Ao. Root (mm)]]-Table2[[#This Row],[Exp. Ao. Root (mm)]])/Table2[[#This Row],[Exp. Ao. Root (mm)]]</f>
        <v>0.28546712802768154</v>
      </c>
      <c r="G18" s="44">
        <v>0.32890000000000003</v>
      </c>
      <c r="J18" s="2" t="str">
        <f>Table2[[#This Row],[Ao. Root (mm)]]&amp; " ± "&amp;Table2[[#This Row],[Uncertainty]]</f>
        <v>7.43 ± 0.3289</v>
      </c>
    </row>
    <row r="19" spans="1:10" x14ac:dyDescent="0.25">
      <c r="A19" s="12" t="str">
        <f>Table1[[#This Row],[Name]]</f>
        <v>95pre</v>
      </c>
      <c r="B19" s="13">
        <f>Table1[[#This Row],[Gestational Age (weeks)]]</f>
        <v>29</v>
      </c>
      <c r="C19" s="12" t="str">
        <f>Table1[[#This Row],[Condition]]</f>
        <v>Diseased</v>
      </c>
      <c r="D19" s="10">
        <f>(0.22*Table2[[#This Row],[Gestational Age (weeks)]])-0.38</f>
        <v>6</v>
      </c>
      <c r="E19" s="16">
        <f>Table1[[#This Row],[Ao. Root (mm)]]</f>
        <v>4.67</v>
      </c>
      <c r="F19" s="17">
        <f>ABS(Table2[[#This Row],[Ao. Root (mm)]]-Table2[[#This Row],[Exp. Ao. Root (mm)]])/Table2[[#This Row],[Exp. Ao. Root (mm)]]</f>
        <v>0.22166666666666668</v>
      </c>
      <c r="G19" s="44">
        <f>Uncertainty!E7</f>
        <v>0.21308683675910156</v>
      </c>
      <c r="J19" s="2" t="str">
        <f>Table2[[#This Row],[Ao. Root (mm)]]&amp; " ± "&amp;Table2[[#This Row],[Uncertainty]]</f>
        <v>4.67 ± 0.213086836759102</v>
      </c>
    </row>
    <row r="20" spans="1:10" x14ac:dyDescent="0.25">
      <c r="A20" s="12" t="str">
        <f>Table1[[#This Row],[Name]]</f>
        <v>90pre_10000024</v>
      </c>
      <c r="B20" s="13">
        <f>Table1[[#This Row],[Gestational Age (weeks)]]</f>
        <v>29.14</v>
      </c>
      <c r="C20" s="12" t="str">
        <f>Table1[[#This Row],[Condition]]</f>
        <v>Diseased</v>
      </c>
      <c r="D20" s="10">
        <f>(0.22*Table2[[#This Row],[Gestational Age (weeks)]])-0.38</f>
        <v>6.0308000000000002</v>
      </c>
      <c r="E20" s="16">
        <f>Table1[[#This Row],[Ao. Root (mm)]]</f>
        <v>7.95</v>
      </c>
      <c r="F20" s="17">
        <f>ABS(Table2[[#This Row],[Ao. Root (mm)]]-Table2[[#This Row],[Exp. Ao. Root (mm)]])/Table2[[#This Row],[Exp. Ao. Root (mm)]]</f>
        <v>0.31823307023943753</v>
      </c>
      <c r="G20" s="43">
        <v>0.26729999999999998</v>
      </c>
      <c r="J20" s="2" t="str">
        <f>Table2[[#This Row],[Ao. Root (mm)]]&amp; " ± "&amp;Table2[[#This Row],[Uncertainty]]</f>
        <v>7.95 ± 0.2673</v>
      </c>
    </row>
    <row r="21" spans="1:10" x14ac:dyDescent="0.25">
      <c r="A21" s="12" t="str">
        <f>Table1[[#This Row],[Name]]</f>
        <v>91pre_10000016</v>
      </c>
      <c r="B21" s="13">
        <f>Table1[[#This Row],[Gestational Age (weeks)]]</f>
        <v>29.86</v>
      </c>
      <c r="C21" s="12" t="str">
        <f>Table1[[#This Row],[Condition]]</f>
        <v>Diseased</v>
      </c>
      <c r="D21" s="10">
        <f>(0.22*Table2[[#This Row],[Gestational Age (weeks)]])-0.38</f>
        <v>6.1891999999999996</v>
      </c>
      <c r="E21" s="16">
        <f>Table1[[#This Row],[Ao. Root (mm)]]</f>
        <v>4.46</v>
      </c>
      <c r="F21" s="17">
        <f>ABS(Table2[[#This Row],[Ao. Root (mm)]]-Table2[[#This Row],[Exp. Ao. Root (mm)]])/Table2[[#This Row],[Exp. Ao. Root (mm)]]</f>
        <v>0.27938990499579908</v>
      </c>
      <c r="G21" s="44">
        <v>0.2341</v>
      </c>
      <c r="J21" s="2" t="str">
        <f>Table2[[#This Row],[Ao. Root (mm)]]&amp; " ± "&amp;Table2[[#This Row],[Uncertainty]]</f>
        <v>4.46 ± 0.2341</v>
      </c>
    </row>
    <row r="22" spans="1:10" x14ac:dyDescent="0.25">
      <c r="A22" s="12" t="str">
        <f>Table1[[#This Row],[Name]]</f>
        <v>24092010P2_4</v>
      </c>
      <c r="B22" s="13">
        <f>Table1[[#This Row],[Gestational Age (weeks)]]</f>
        <v>32</v>
      </c>
      <c r="C22" s="12" t="str">
        <f>Table1[[#This Row],[Condition]]</f>
        <v>Healthy</v>
      </c>
      <c r="D22" s="10">
        <f>(0.22*Table2[[#This Row],[Gestational Age (weeks)]])-0.38</f>
        <v>6.66</v>
      </c>
      <c r="E22" s="16">
        <f>Table1[[#This Row],[Ao. Root (mm)]]</f>
        <v>6.79</v>
      </c>
      <c r="F22" s="17">
        <f>ABS(Table2[[#This Row],[Ao. Root (mm)]]-Table2[[#This Row],[Exp. Ao. Root (mm)]])/Table2[[#This Row],[Exp. Ao. Root (mm)]]</f>
        <v>1.9519519519519503E-2</v>
      </c>
      <c r="G22" s="44">
        <v>0.40050000000000002</v>
      </c>
      <c r="J22" s="2" t="str">
        <f>Table2[[#This Row],[Ao. Root (mm)]]&amp; " ± "&amp;Table2[[#This Row],[Uncertainty]]</f>
        <v>6.79 ± 0.4005</v>
      </c>
    </row>
    <row r="23" spans="1:10" x14ac:dyDescent="0.25">
      <c r="A23" s="12" t="str">
        <f>Table1[[#This Row],[Name]]</f>
        <v>01Oct2019P1_4</v>
      </c>
      <c r="B23" s="13">
        <f>Table1[[#This Row],[Gestational Age (weeks)]]</f>
        <v>32</v>
      </c>
      <c r="C23" s="12" t="str">
        <f>Table1[[#This Row],[Condition]]</f>
        <v>Healthy</v>
      </c>
      <c r="D23" s="10">
        <f>(0.22*Table2[[#This Row],[Gestational Age (weeks)]])-0.38</f>
        <v>6.66</v>
      </c>
      <c r="E23" s="16">
        <f>Table1[[#This Row],[Ao. Root (mm)]]</f>
        <v>5.31</v>
      </c>
      <c r="F23" s="17">
        <f>ABS(Table2[[#This Row],[Ao. Root (mm)]]-Table2[[#This Row],[Exp. Ao. Root (mm)]])/Table2[[#This Row],[Exp. Ao. Root (mm)]]</f>
        <v>0.20270270270270277</v>
      </c>
      <c r="G23" s="44">
        <v>0.34560000000000002</v>
      </c>
      <c r="J23" s="2" t="str">
        <f>Table2[[#This Row],[Ao. Root (mm)]]&amp; " ± "&amp;Table2[[#This Row],[Uncertainty]]</f>
        <v>5.31 ± 0.3456</v>
      </c>
    </row>
    <row r="24" spans="1:10" x14ac:dyDescent="0.25">
      <c r="A24" s="12" t="str">
        <f>Table1[[#This Row],[Name]]</f>
        <v>08Oct2019P2</v>
      </c>
      <c r="B24" s="13">
        <f>Table1[[#This Row],[Gestational Age (weeks)]]</f>
        <v>32</v>
      </c>
      <c r="C24" s="12" t="str">
        <f>Table1[[#This Row],[Condition]]</f>
        <v>Healthy</v>
      </c>
      <c r="D24" s="10">
        <f>(0.22*Table2[[#This Row],[Gestational Age (weeks)]])-0.38</f>
        <v>6.66</v>
      </c>
      <c r="E24" s="16">
        <f>Table1[[#This Row],[Ao. Root (mm)]]</f>
        <v>5.72</v>
      </c>
      <c r="F24" s="17">
        <f>ABS(Table2[[#This Row],[Ao. Root (mm)]]-Table2[[#This Row],[Exp. Ao. Root (mm)]])/Table2[[#This Row],[Exp. Ao. Root (mm)]]</f>
        <v>0.14114114114114121</v>
      </c>
      <c r="G24" s="44">
        <v>0.245</v>
      </c>
      <c r="J24" s="2" t="str">
        <f>Table2[[#This Row],[Ao. Root (mm)]]&amp; " ± "&amp;Table2[[#This Row],[Uncertainty]]</f>
        <v>5.72 ± 0.245</v>
      </c>
    </row>
    <row r="25" spans="1:10" x14ac:dyDescent="0.25">
      <c r="A25" s="12" t="str">
        <f>Table1[[#This Row],[Name]]</f>
        <v>15Oct2019P1</v>
      </c>
      <c r="B25" s="13">
        <f>Table1[[#This Row],[Gestational Age (weeks)]]</f>
        <v>32</v>
      </c>
      <c r="C25" s="12" t="str">
        <f>Table1[[#This Row],[Condition]]</f>
        <v>Healthy</v>
      </c>
      <c r="D25" s="10">
        <f>(0.22*Table2[[#This Row],[Gestational Age (weeks)]])-0.38</f>
        <v>6.66</v>
      </c>
      <c r="E25" s="16">
        <f>Table1[[#This Row],[Ao. Root (mm)]]</f>
        <v>5.84</v>
      </c>
      <c r="F25" s="17">
        <f>ABS(Table2[[#This Row],[Ao. Root (mm)]]-Table2[[#This Row],[Exp. Ao. Root (mm)]])/Table2[[#This Row],[Exp. Ao. Root (mm)]]</f>
        <v>0.12312312312312317</v>
      </c>
      <c r="G25" s="44">
        <v>0.35799999999999998</v>
      </c>
      <c r="J25" s="2" t="str">
        <f>Table2[[#This Row],[Ao. Root (mm)]]&amp; " ± "&amp;Table2[[#This Row],[Uncertainty]]</f>
        <v>5.84 ± 0.358</v>
      </c>
    </row>
    <row r="26" spans="1:10" x14ac:dyDescent="0.25">
      <c r="A26" s="12" t="str">
        <f>Table1[[#This Row],[Name]]</f>
        <v>08Oct2019P3</v>
      </c>
      <c r="B26" s="13">
        <f>Table1[[#This Row],[Gestational Age (weeks)]]</f>
        <v>32.57</v>
      </c>
      <c r="C26" s="12" t="str">
        <f>Table1[[#This Row],[Condition]]</f>
        <v>Healthy</v>
      </c>
      <c r="D26" s="10">
        <f>(0.22*Table2[[#This Row],[Gestational Age (weeks)]])-0.38</f>
        <v>6.7854000000000001</v>
      </c>
      <c r="E26" s="16">
        <f>Table1[[#This Row],[Ao. Root (mm)]]</f>
        <v>5.79</v>
      </c>
      <c r="F26" s="17">
        <f>ABS(Table2[[#This Row],[Ao. Root (mm)]]-Table2[[#This Row],[Exp. Ao. Root (mm)]])/Table2[[#This Row],[Exp. Ao. Root (mm)]]</f>
        <v>0.1466973207180122</v>
      </c>
      <c r="G26" s="44">
        <v>0.32400000000000001</v>
      </c>
      <c r="J26" s="2" t="str">
        <f>Table2[[#This Row],[Ao. Root (mm)]]&amp; " ± "&amp;Table2[[#This Row],[Uncertainty]]</f>
        <v>5.79 ± 0.324</v>
      </c>
    </row>
    <row r="27" spans="1:10" x14ac:dyDescent="0.25">
      <c r="A27" s="12" t="str">
        <f>Table1[[#This Row],[Name]]</f>
        <v>102019P2</v>
      </c>
      <c r="B27" s="13">
        <f>Table1[[#This Row],[Gestational Age (weeks)]]</f>
        <v>33</v>
      </c>
      <c r="C27" s="12" t="str">
        <f>Table1[[#This Row],[Condition]]</f>
        <v>Healthy</v>
      </c>
      <c r="D27" s="10">
        <f>(0.22*Table2[[#This Row],[Gestational Age (weeks)]])-0.38</f>
        <v>6.88</v>
      </c>
      <c r="E27" s="16">
        <f>Table1[[#This Row],[Ao. Root (mm)]]</f>
        <v>5.52</v>
      </c>
      <c r="F27" s="17">
        <f>ABS(Table2[[#This Row],[Ao. Root (mm)]]-Table2[[#This Row],[Exp. Ao. Root (mm)]])/Table2[[#This Row],[Exp. Ao. Root (mm)]]</f>
        <v>0.19767441860465121</v>
      </c>
      <c r="G27" s="44">
        <f>Uncertainty!B7</f>
        <v>0.41671813015514453</v>
      </c>
      <c r="J27" s="2" t="str">
        <f>Table2[[#This Row],[Ao. Root (mm)]]&amp; " ± "&amp;Table2[[#This Row],[Uncertainty]]</f>
        <v>5.52 ± 0.416718130155145</v>
      </c>
    </row>
  </sheetData>
  <phoneticPr fontId="1" type="noConversion"/>
  <conditionalFormatting sqref="A2:F27">
    <cfRule type="expression" dxfId="9" priority="16">
      <formula>$A2=$H$2</formula>
    </cfRule>
    <cfRule type="expression" dxfId="8" priority="20">
      <formula>$E2=0</formula>
    </cfRule>
    <cfRule type="expression" dxfId="7" priority="23">
      <formula>$C2="Diseased"</formula>
    </cfRule>
  </conditionalFormatting>
  <dataValidations count="1">
    <dataValidation type="list" allowBlank="1" showInputMessage="1" showErrorMessage="1" sqref="H2" xr:uid="{7A212405-9CF4-472F-9C00-E6887093E8E4}">
      <formula1>$A$2:$A$27</formula1>
    </dataValidation>
  </dataValidations>
  <pageMargins left="0.7" right="0.7" top="0.75" bottom="0.75" header="0.3" footer="0.3"/>
  <pageSetup orientation="portrait" r:id="rId1"/>
  <drawing r:id="rId2"/>
  <tableParts count="2"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27611-7C59-41DA-8A8E-DDCB9F7C6290}">
  <sheetPr>
    <tabColor rgb="FF0070C0"/>
  </sheetPr>
  <dimension ref="A1:J27"/>
  <sheetViews>
    <sheetView workbookViewId="0">
      <selection activeCell="H34" sqref="H34"/>
    </sheetView>
  </sheetViews>
  <sheetFormatPr defaultRowHeight="15" x14ac:dyDescent="0.25"/>
  <cols>
    <col min="1" max="1" width="16.5703125" bestFit="1" customWidth="1"/>
    <col min="2" max="2" width="25.42578125" bestFit="1" customWidth="1"/>
    <col min="3" max="3" width="12" bestFit="1" customWidth="1"/>
    <col min="4" max="4" width="16.28515625" customWidth="1"/>
    <col min="5" max="5" width="13.85546875" style="2" customWidth="1"/>
    <col min="6" max="6" width="14.42578125" bestFit="1" customWidth="1"/>
    <col min="7" max="7" width="16.140625" customWidth="1"/>
    <col min="8" max="8" width="18.140625" customWidth="1"/>
    <col min="10" max="10" width="23.42578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64</v>
      </c>
      <c r="E1" s="59" t="s">
        <v>6</v>
      </c>
      <c r="F1" s="11" t="s">
        <v>65</v>
      </c>
      <c r="G1" s="29" t="s">
        <v>68</v>
      </c>
      <c r="H1" s="19" t="s">
        <v>8</v>
      </c>
      <c r="J1" t="s">
        <v>6</v>
      </c>
    </row>
    <row r="2" spans="1:10" x14ac:dyDescent="0.25">
      <c r="A2" s="12" t="str">
        <f>Table1[[#This Row],[Name]]</f>
        <v>06Apr2021P1</v>
      </c>
      <c r="B2" s="13">
        <f>Table1[[#This Row],[Gestational Age (weeks)]]</f>
        <v>21</v>
      </c>
      <c r="C2" s="12" t="str">
        <f>Table1[[#This Row],[Condition]]</f>
        <v>Healthy</v>
      </c>
      <c r="D2" s="10">
        <f>(0.2*Table4[[#This Row],[Gestational Age (weeks)]])-0.46</f>
        <v>3.74</v>
      </c>
      <c r="E2" s="15">
        <f>Table1[[#This Row],[Asc. Ao. (mm)]]</f>
        <v>2.5299999999999998</v>
      </c>
      <c r="F2" s="17">
        <f>ABS(Table4[[#This Row],[Asc. Ao. (mm)]]-Table4[[#This Row],[Exp. Asc. Ao. (mm)]])/Table4[[#This Row],[Exp. Asc. Ao. (mm)]]</f>
        <v>0.32352941176470595</v>
      </c>
      <c r="G2" s="44">
        <v>0.12870000000000001</v>
      </c>
      <c r="H2" t="str">
        <f>Table5[[#This Row],[Name Select]]</f>
        <v>17Sep2019P1_3</v>
      </c>
      <c r="J2" s="2" t="str">
        <f>Table4[[#This Row],[Asc. Ao. (mm)]]&amp; " ± "&amp;Table4[[#This Row],[Uncertainty]]</f>
        <v>2.53 ± 0.1287</v>
      </c>
    </row>
    <row r="3" spans="1:10" x14ac:dyDescent="0.25">
      <c r="A3" s="12" t="str">
        <f>Table1[[#This Row],[Name]]</f>
        <v>15Oct2019P2</v>
      </c>
      <c r="B3" s="13">
        <f>Table1[[#This Row],[Gestational Age (weeks)]]</f>
        <v>21.14</v>
      </c>
      <c r="C3" s="12" t="str">
        <f>Table1[[#This Row],[Condition]]</f>
        <v>Healthy</v>
      </c>
      <c r="D3" s="10">
        <f>(0.2*Table4[[#This Row],[Gestational Age (weeks)]])-0.46</f>
        <v>3.7680000000000007</v>
      </c>
      <c r="E3" s="15">
        <f>Table1[[#This Row],[Asc. Ao. (mm)]]</f>
        <v>4.92</v>
      </c>
      <c r="F3" s="17">
        <f>ABS(Table4[[#This Row],[Asc. Ao. (mm)]]-Table4[[#This Row],[Exp. Asc. Ao. (mm)]])/Table4[[#This Row],[Exp. Asc. Ao. (mm)]]</f>
        <v>0.30573248407643289</v>
      </c>
      <c r="G3" s="44">
        <v>0.46870000000000001</v>
      </c>
      <c r="J3" s="2" t="str">
        <f>Table4[[#This Row],[Asc. Ao. (mm)]]&amp; " ± "&amp;Table4[[#This Row],[Uncertainty]]</f>
        <v>4.92 ± 0.4687</v>
      </c>
    </row>
    <row r="4" spans="1:10" x14ac:dyDescent="0.25">
      <c r="A4" s="12" t="str">
        <f>Table1[[#This Row],[Name]]</f>
        <v>23Mar2021P3</v>
      </c>
      <c r="B4" s="13">
        <f>Table1[[#This Row],[Gestational Age (weeks)]]</f>
        <v>21.14</v>
      </c>
      <c r="C4" s="12" t="str">
        <f>Table1[[#This Row],[Condition]]</f>
        <v>Healthy</v>
      </c>
      <c r="D4" s="10">
        <f>(0.2*Table4[[#This Row],[Gestational Age (weeks)]])-0.46</f>
        <v>3.7680000000000007</v>
      </c>
      <c r="E4" s="15">
        <f>Table1[[#This Row],[Asc. Ao. (mm)]]</f>
        <v>3.3</v>
      </c>
      <c r="F4" s="17">
        <f>ABS(Table4[[#This Row],[Asc. Ao. (mm)]]-Table4[[#This Row],[Exp. Asc. Ao. (mm)]])/Table4[[#This Row],[Exp. Asc. Ao. (mm)]]</f>
        <v>0.12420382165605116</v>
      </c>
      <c r="G4" s="44">
        <v>0.2278</v>
      </c>
      <c r="J4" s="2" t="str">
        <f>Table4[[#This Row],[Asc. Ao. (mm)]]&amp; " ± "&amp;Table4[[#This Row],[Uncertainty]]</f>
        <v>3.3 ± 0.2278</v>
      </c>
    </row>
    <row r="5" spans="1:10" x14ac:dyDescent="0.25">
      <c r="A5" s="12" t="str">
        <f>Table1[[#This Row],[Name]]</f>
        <v>03Sep2019P2_0_1</v>
      </c>
      <c r="B5" s="13">
        <f>Table1[[#This Row],[Gestational Age (weeks)]]</f>
        <v>21.29</v>
      </c>
      <c r="C5" s="12" t="str">
        <f>Table1[[#This Row],[Condition]]</f>
        <v>Healthy</v>
      </c>
      <c r="D5" s="10">
        <f>(0.2*Table4[[#This Row],[Gestational Age (weeks)]])-0.46</f>
        <v>3.798</v>
      </c>
      <c r="E5" s="15">
        <f>Table1[[#This Row],[Asc. Ao. (mm)]]</f>
        <v>4.74</v>
      </c>
      <c r="F5" s="17">
        <f>ABS(Table4[[#This Row],[Asc. Ao. (mm)]]-Table4[[#This Row],[Exp. Asc. Ao. (mm)]])/Table4[[#This Row],[Exp. Asc. Ao. (mm)]]</f>
        <v>0.24802527646129546</v>
      </c>
      <c r="G5" s="44">
        <v>0.27560000000000001</v>
      </c>
      <c r="J5" s="2" t="str">
        <f>Table4[[#This Row],[Asc. Ao. (mm)]]&amp; " ± "&amp;Table4[[#This Row],[Uncertainty]]</f>
        <v>4.74 ± 0.2756</v>
      </c>
    </row>
    <row r="6" spans="1:10" x14ac:dyDescent="0.25">
      <c r="A6" s="12" t="str">
        <f>Table1[[#This Row],[Name]]</f>
        <v>20Apr2021P1</v>
      </c>
      <c r="B6" s="13">
        <f>Table1[[#This Row],[Gestational Age (weeks)]]</f>
        <v>21.29</v>
      </c>
      <c r="C6" s="12" t="str">
        <f>Table1[[#This Row],[Condition]]</f>
        <v>Healthy</v>
      </c>
      <c r="D6" s="10">
        <f>(0.2*Table4[[#This Row],[Gestational Age (weeks)]])-0.46</f>
        <v>3.798</v>
      </c>
      <c r="E6" s="15">
        <f>Table1[[#This Row],[Asc. Ao. (mm)]]</f>
        <v>3.75</v>
      </c>
      <c r="F6" s="17">
        <f>ABS(Table4[[#This Row],[Asc. Ao. (mm)]]-Table4[[#This Row],[Exp. Asc. Ao. (mm)]])/Table4[[#This Row],[Exp. Asc. Ao. (mm)]]</f>
        <v>1.2638230647709331E-2</v>
      </c>
      <c r="G6" s="44">
        <v>0.48620000000000002</v>
      </c>
      <c r="J6" s="2" t="str">
        <f>Table4[[#This Row],[Asc. Ao. (mm)]]&amp; " ± "&amp;Table4[[#This Row],[Uncertainty]]</f>
        <v>3.75 ± 0.4862</v>
      </c>
    </row>
    <row r="7" spans="1:10" x14ac:dyDescent="0.25">
      <c r="A7" s="12" t="str">
        <f>Table1[[#This Row],[Name]]</f>
        <v>08Oct2019P1</v>
      </c>
      <c r="B7" s="13">
        <f>Table1[[#This Row],[Gestational Age (weeks)]]</f>
        <v>21.43</v>
      </c>
      <c r="C7" s="12" t="str">
        <f>Table1[[#This Row],[Condition]]</f>
        <v>Healthy</v>
      </c>
      <c r="D7" s="10">
        <f>(0.2*Table4[[#This Row],[Gestational Age (weeks)]])-0.46</f>
        <v>3.8260000000000005</v>
      </c>
      <c r="E7" s="15">
        <f>Table1[[#This Row],[Asc. Ao. (mm)]]</f>
        <v>3.79</v>
      </c>
      <c r="F7" s="17">
        <f>ABS(Table4[[#This Row],[Asc. Ao. (mm)]]-Table4[[#This Row],[Exp. Asc. Ao. (mm)]])/Table4[[#This Row],[Exp. Asc. Ao. (mm)]]</f>
        <v>9.4093047569264177E-3</v>
      </c>
      <c r="G7" s="44">
        <v>0.1123</v>
      </c>
      <c r="J7" s="2" t="str">
        <f>Table4[[#This Row],[Asc. Ao. (mm)]]&amp; " ± "&amp;Table4[[#This Row],[Uncertainty]]</f>
        <v>3.79 ± 0.1123</v>
      </c>
    </row>
    <row r="8" spans="1:10" x14ac:dyDescent="0.25">
      <c r="A8" s="12" t="str">
        <f>Table1[[#This Row],[Name]]</f>
        <v>09Feb2021P2</v>
      </c>
      <c r="B8" s="13">
        <f>Table1[[#This Row],[Gestational Age (weeks)]]</f>
        <v>21.43</v>
      </c>
      <c r="C8" s="12" t="str">
        <f>Table1[[#This Row],[Condition]]</f>
        <v>Healthy</v>
      </c>
      <c r="D8" s="10">
        <f>(0.2*Table4[[#This Row],[Gestational Age (weeks)]])-0.46</f>
        <v>3.8260000000000005</v>
      </c>
      <c r="E8" s="15">
        <f>Table1[[#This Row],[Asc. Ao. (mm)]]</f>
        <v>3.69</v>
      </c>
      <c r="F8" s="17">
        <f>ABS(Table4[[#This Row],[Asc. Ao. (mm)]]-Table4[[#This Row],[Exp. Asc. Ao. (mm)]])/Table4[[#This Row],[Exp. Asc. Ao. (mm)]]</f>
        <v>3.5546262415055027E-2</v>
      </c>
      <c r="G8" s="44">
        <v>0.1988</v>
      </c>
      <c r="J8" s="2" t="str">
        <f>Table4[[#This Row],[Asc. Ao. (mm)]]&amp; " ± "&amp;Table4[[#This Row],[Uncertainty]]</f>
        <v>3.69 ± 0.1988</v>
      </c>
    </row>
    <row r="9" spans="1:10" x14ac:dyDescent="0.25">
      <c r="A9" s="12" t="str">
        <f>Table1[[#This Row],[Name]]</f>
        <v>13Apr2021P1</v>
      </c>
      <c r="B9" s="13">
        <f>Table1[[#This Row],[Gestational Age (weeks)]]</f>
        <v>21.43</v>
      </c>
      <c r="C9" s="12" t="str">
        <f>Table1[[#This Row],[Condition]]</f>
        <v>Healthy</v>
      </c>
      <c r="D9" s="10">
        <f>(0.2*Table4[[#This Row],[Gestational Age (weeks)]])-0.46</f>
        <v>3.8260000000000005</v>
      </c>
      <c r="E9" s="15">
        <f>Table1[[#This Row],[Asc. Ao. (mm)]]</f>
        <v>3.21</v>
      </c>
      <c r="F9" s="17">
        <f>ABS(Table4[[#This Row],[Asc. Ao. (mm)]]-Table4[[#This Row],[Exp. Asc. Ao. (mm)]])/Table4[[#This Row],[Exp. Asc. Ao. (mm)]]</f>
        <v>0.16100365917407225</v>
      </c>
      <c r="G9" s="44">
        <v>0.29449999999999998</v>
      </c>
      <c r="J9" s="2" t="str">
        <f>Table4[[#This Row],[Asc. Ao. (mm)]]&amp; " ± "&amp;Table4[[#This Row],[Uncertainty]]</f>
        <v>3.21 ± 0.2945</v>
      </c>
    </row>
    <row r="10" spans="1:10" x14ac:dyDescent="0.25">
      <c r="A10" s="12" t="str">
        <f>Table1[[#This Row],[Name]]</f>
        <v>23Mar2021P1</v>
      </c>
      <c r="B10" s="13">
        <f>Table1[[#This Row],[Gestational Age (weeks)]]</f>
        <v>21.43</v>
      </c>
      <c r="C10" s="12" t="str">
        <f>Table1[[#This Row],[Condition]]</f>
        <v>Healthy</v>
      </c>
      <c r="D10" s="10">
        <f>(0.2*Table4[[#This Row],[Gestational Age (weeks)]])-0.46</f>
        <v>3.8260000000000005</v>
      </c>
      <c r="E10" s="15">
        <f>Table1[[#This Row],[Asc. Ao. (mm)]]</f>
        <v>3.3</v>
      </c>
      <c r="F10" s="17">
        <f>ABS(Table4[[#This Row],[Asc. Ao. (mm)]]-Table4[[#This Row],[Exp. Asc. Ao. (mm)]])/Table4[[#This Row],[Exp. Asc. Ao. (mm)]]</f>
        <v>0.13748039728175657</v>
      </c>
      <c r="G10" s="44">
        <v>0.23669999999999999</v>
      </c>
      <c r="J10" s="2" t="str">
        <f>Table4[[#This Row],[Asc. Ao. (mm)]]&amp; " ± "&amp;Table4[[#This Row],[Uncertainty]]</f>
        <v>3.3 ± 0.2367</v>
      </c>
    </row>
    <row r="11" spans="1:10" x14ac:dyDescent="0.25">
      <c r="A11" s="12" t="str">
        <f>Table1[[#This Row],[Name]]</f>
        <v>10Sep2019P1_1</v>
      </c>
      <c r="B11" s="13">
        <f>Table1[[#This Row],[Gestational Age (weeks)]]</f>
        <v>21.57</v>
      </c>
      <c r="C11" s="12" t="str">
        <f>Table1[[#This Row],[Condition]]</f>
        <v>Healthy</v>
      </c>
      <c r="D11" s="10">
        <f>(0.2*Table4[[#This Row],[Gestational Age (weeks)]])-0.46</f>
        <v>3.8540000000000001</v>
      </c>
      <c r="E11" s="15">
        <f>Table1[[#This Row],[Asc. Ao. (mm)]]</f>
        <v>3.43</v>
      </c>
      <c r="F11" s="17">
        <f>ABS(Table4[[#This Row],[Asc. Ao. (mm)]]-Table4[[#This Row],[Exp. Asc. Ao. (mm)]])/Table4[[#This Row],[Exp. Asc. Ao. (mm)]]</f>
        <v>0.11001556824078877</v>
      </c>
      <c r="G11" s="44">
        <v>0.21560000000000001</v>
      </c>
      <c r="J11" s="2" t="str">
        <f>Table4[[#This Row],[Asc. Ao. (mm)]]&amp; " ± "&amp;Table4[[#This Row],[Uncertainty]]</f>
        <v>3.43 ± 0.2156</v>
      </c>
    </row>
    <row r="12" spans="1:10" x14ac:dyDescent="0.25">
      <c r="A12" s="12" t="str">
        <f>Table1[[#This Row],[Name]]</f>
        <v>13Apr2021P2</v>
      </c>
      <c r="B12" s="13">
        <f>Table1[[#This Row],[Gestational Age (weeks)]]</f>
        <v>21.57</v>
      </c>
      <c r="C12" s="12" t="str">
        <f>Table1[[#This Row],[Condition]]</f>
        <v>Healthy</v>
      </c>
      <c r="D12" s="10">
        <f>(0.2*Table4[[#This Row],[Gestational Age (weeks)]])-0.46</f>
        <v>3.8540000000000001</v>
      </c>
      <c r="E12" s="15">
        <f>Table1[[#This Row],[Asc. Ao. (mm)]]</f>
        <v>3.08</v>
      </c>
      <c r="F12" s="17">
        <f>ABS(Table4[[#This Row],[Asc. Ao. (mm)]]-Table4[[#This Row],[Exp. Asc. Ao. (mm)]])/Table4[[#This Row],[Exp. Asc. Ao. (mm)]]</f>
        <v>0.20083030617540218</v>
      </c>
      <c r="G12" s="44">
        <v>0.20300000000000001</v>
      </c>
      <c r="J12" s="2" t="str">
        <f>Table4[[#This Row],[Asc. Ao. (mm)]]&amp; " ± "&amp;Table4[[#This Row],[Uncertainty]]</f>
        <v>3.08 ± 0.203</v>
      </c>
    </row>
    <row r="13" spans="1:10" x14ac:dyDescent="0.25">
      <c r="A13" s="12" t="str">
        <f>Table1[[#This Row],[Name]]</f>
        <v>02Mar2021P1</v>
      </c>
      <c r="B13" s="13">
        <f>Table1[[#This Row],[Gestational Age (weeks)]]</f>
        <v>21.57</v>
      </c>
      <c r="C13" s="12" t="str">
        <f>Table1[[#This Row],[Condition]]</f>
        <v>Healthy</v>
      </c>
      <c r="D13" s="10">
        <f>(0.2*Table4[[#This Row],[Gestational Age (weeks)]])-0.46</f>
        <v>3.8540000000000001</v>
      </c>
      <c r="E13" s="15">
        <f>Table1[[#This Row],[Asc. Ao. (mm)]]</f>
        <v>3.93</v>
      </c>
      <c r="F13" s="17">
        <f>ABS(Table4[[#This Row],[Asc. Ao. (mm)]]-Table4[[#This Row],[Exp. Asc. Ao. (mm)]])/Table4[[#This Row],[Exp. Asc. Ao. (mm)]]</f>
        <v>1.9719771665801782E-2</v>
      </c>
      <c r="G13" s="44">
        <v>0.2006</v>
      </c>
      <c r="J13" s="2" t="str">
        <f>Table4[[#This Row],[Asc. Ao. (mm)]]&amp; " ± "&amp;Table4[[#This Row],[Uncertainty]]</f>
        <v>3.93 ± 0.2006</v>
      </c>
    </row>
    <row r="14" spans="1:10" x14ac:dyDescent="0.25">
      <c r="A14" s="12" t="str">
        <f>Table1[[#This Row],[Name]]</f>
        <v>17Sep2019P1_3</v>
      </c>
      <c r="B14" s="13">
        <f>Table1[[#This Row],[Gestational Age (weeks)]]</f>
        <v>22</v>
      </c>
      <c r="C14" s="12" t="str">
        <f>Table1[[#This Row],[Condition]]</f>
        <v>Healthy</v>
      </c>
      <c r="D14" s="10">
        <f>(0.2*Table4[[#This Row],[Gestational Age (weeks)]])-0.46</f>
        <v>3.9400000000000004</v>
      </c>
      <c r="E14" s="15">
        <f>Table1[[#This Row],[Asc. Ao. (mm)]]</f>
        <v>3.76</v>
      </c>
      <c r="F14" s="17">
        <f>ABS(Table4[[#This Row],[Asc. Ao. (mm)]]-Table4[[#This Row],[Exp. Asc. Ao. (mm)]])/Table4[[#This Row],[Exp. Asc. Ao. (mm)]]</f>
        <v>4.568527918781741E-2</v>
      </c>
      <c r="G14" s="44">
        <f>Uncertainty!H13</f>
        <v>0.18100828710310476</v>
      </c>
      <c r="J14" s="2" t="str">
        <f>Table4[[#This Row],[Asc. Ao. (mm)]]&amp; " ± "&amp;Table4[[#This Row],[Uncertainty]]</f>
        <v>3.76 ± 0.181008287103105</v>
      </c>
    </row>
    <row r="15" spans="1:10" x14ac:dyDescent="0.25">
      <c r="A15" s="12" t="str">
        <f>Table1[[#This Row],[Name]]</f>
        <v>24Sep2019P1_5</v>
      </c>
      <c r="B15" s="13">
        <f>Table1[[#This Row],[Gestational Age (weeks)]]</f>
        <v>22</v>
      </c>
      <c r="C15" s="12" t="str">
        <f>Table1[[#This Row],[Condition]]</f>
        <v>Healthy</v>
      </c>
      <c r="D15" s="10">
        <f>(0.2*Table4[[#This Row],[Gestational Age (weeks)]])-0.46</f>
        <v>3.9400000000000004</v>
      </c>
      <c r="E15" s="15">
        <f>Table1[[#This Row],[Asc. Ao. (mm)]]</f>
        <v>2.58</v>
      </c>
      <c r="F15" s="17">
        <f>ABS(Table4[[#This Row],[Asc. Ao. (mm)]]-Table4[[#This Row],[Exp. Asc. Ao. (mm)]])/Table4[[#This Row],[Exp. Asc. Ao. (mm)]]</f>
        <v>0.34517766497461932</v>
      </c>
      <c r="G15" s="44">
        <v>0.27679999999999999</v>
      </c>
      <c r="J15" s="2" t="str">
        <f>Table4[[#This Row],[Asc. Ao. (mm)]]&amp; " ± "&amp;Table4[[#This Row],[Uncertainty]]</f>
        <v>2.58 ± 0.2768</v>
      </c>
    </row>
    <row r="16" spans="1:10" x14ac:dyDescent="0.25">
      <c r="A16" s="12" t="str">
        <f>Table1[[#This Row],[Name]]</f>
        <v>088pre_10000006</v>
      </c>
      <c r="B16" s="13">
        <f>Table1[[#This Row],[Gestational Age (weeks)]]</f>
        <v>22.57</v>
      </c>
      <c r="C16" s="12" t="str">
        <f>Table1[[#This Row],[Condition]]</f>
        <v>Diseased</v>
      </c>
      <c r="D16" s="10">
        <f>(0.2*Table4[[#This Row],[Gestational Age (weeks)]])-0.46</f>
        <v>4.0540000000000003</v>
      </c>
      <c r="E16" s="15">
        <f>Table1[[#This Row],[Asc. Ao. (mm)]]</f>
        <v>3.51</v>
      </c>
      <c r="F16" s="17">
        <f>ABS(Table4[[#This Row],[Asc. Ao. (mm)]]-Table4[[#This Row],[Exp. Asc. Ao. (mm)]])/Table4[[#This Row],[Exp. Asc. Ao. (mm)]]</f>
        <v>0.13418845584607805</v>
      </c>
      <c r="G16" s="44">
        <v>0.29949999999999999</v>
      </c>
      <c r="J16" s="2" t="str">
        <f>Table4[[#This Row],[Asc. Ao. (mm)]]&amp; " ± "&amp;Table4[[#This Row],[Uncertainty]]</f>
        <v>3.51 ± 0.2995</v>
      </c>
    </row>
    <row r="17" spans="1:10" x14ac:dyDescent="0.25">
      <c r="A17" s="12" t="str">
        <f>Table1[[#This Row],[Name]]</f>
        <v>09Feb2021P1</v>
      </c>
      <c r="B17" s="13">
        <f>Table1[[#This Row],[Gestational Age (weeks)]]</f>
        <v>22.57</v>
      </c>
      <c r="C17" s="12" t="str">
        <f>Table1[[#This Row],[Condition]]</f>
        <v>Healthy</v>
      </c>
      <c r="D17" s="10">
        <f>(0.2*Table4[[#This Row],[Gestational Age (weeks)]])-0.46</f>
        <v>4.0540000000000003</v>
      </c>
      <c r="E17" s="15">
        <f>Table1[[#This Row],[Asc. Ao. (mm)]]</f>
        <v>3.93</v>
      </c>
      <c r="F17" s="17">
        <f>ABS(Table4[[#This Row],[Asc. Ao. (mm)]]-Table4[[#This Row],[Exp. Asc. Ao. (mm)]])/Table4[[#This Row],[Exp. Asc. Ao. (mm)]]</f>
        <v>3.0587074494326617E-2</v>
      </c>
      <c r="G17" s="44">
        <v>0.3997</v>
      </c>
      <c r="J17" s="2" t="str">
        <f>Table4[[#This Row],[Asc. Ao. (mm)]]&amp; " ± "&amp;Table4[[#This Row],[Uncertainty]]</f>
        <v>3.93 ± 0.3997</v>
      </c>
    </row>
    <row r="18" spans="1:10" x14ac:dyDescent="0.25">
      <c r="A18" s="12" t="str">
        <f>Table1[[#This Row],[Name]]</f>
        <v>28weekshealthy</v>
      </c>
      <c r="B18" s="13">
        <f>Table1[[#This Row],[Gestational Age (weeks)]]</f>
        <v>28</v>
      </c>
      <c r="C18" s="12" t="str">
        <f>Table1[[#This Row],[Condition]]</f>
        <v>Healthy</v>
      </c>
      <c r="D18" s="10">
        <f>(0.2*Table4[[#This Row],[Gestational Age (weeks)]])-0.46</f>
        <v>5.1400000000000006</v>
      </c>
      <c r="E18" s="15">
        <f>Table1[[#This Row],[Asc. Ao. (mm)]]</f>
        <v>5.81</v>
      </c>
      <c r="F18" s="17">
        <f>ABS(Table4[[#This Row],[Asc. Ao. (mm)]]-Table4[[#This Row],[Exp. Asc. Ao. (mm)]])/Table4[[#This Row],[Exp. Asc. Ao. (mm)]]</f>
        <v>0.13035019455252897</v>
      </c>
      <c r="G18" s="44">
        <v>0.3921</v>
      </c>
      <c r="J18" s="2" t="str">
        <f>Table4[[#This Row],[Asc. Ao. (mm)]]&amp; " ± "&amp;Table4[[#This Row],[Uncertainty]]</f>
        <v>5.81 ± 0.3921</v>
      </c>
    </row>
    <row r="19" spans="1:10" x14ac:dyDescent="0.25">
      <c r="A19" s="12" t="str">
        <f>Table1[[#This Row],[Name]]</f>
        <v>95pre</v>
      </c>
      <c r="B19" s="13">
        <f>Table1[[#This Row],[Gestational Age (weeks)]]</f>
        <v>29</v>
      </c>
      <c r="C19" s="12" t="str">
        <f>Table1[[#This Row],[Condition]]</f>
        <v>Diseased</v>
      </c>
      <c r="D19" s="10">
        <f>(0.2*Table4[[#This Row],[Gestational Age (weeks)]])-0.46</f>
        <v>5.3400000000000007</v>
      </c>
      <c r="E19" s="15">
        <f>Table1[[#This Row],[Asc. Ao. (mm)]]</f>
        <v>5.82</v>
      </c>
      <c r="F19" s="17">
        <f>ABS(Table4[[#This Row],[Asc. Ao. (mm)]]-Table4[[#This Row],[Exp. Asc. Ao. (mm)]])/Table4[[#This Row],[Exp. Asc. Ao. (mm)]]</f>
        <v>8.9887640449438103E-2</v>
      </c>
      <c r="G19" s="44">
        <f>Uncertainty!E13</f>
        <v>0.58223277132088669</v>
      </c>
      <c r="J19" s="2" t="str">
        <f>Table4[[#This Row],[Asc. Ao. (mm)]]&amp; " ± "&amp;Table4[[#This Row],[Uncertainty]]</f>
        <v>5.82 ± 0.582232771320887</v>
      </c>
    </row>
    <row r="20" spans="1:10" x14ac:dyDescent="0.25">
      <c r="A20" s="12" t="str">
        <f>Table1[[#This Row],[Name]]</f>
        <v>90pre_10000024</v>
      </c>
      <c r="B20" s="13">
        <f>Table1[[#This Row],[Gestational Age (weeks)]]</f>
        <v>29.14</v>
      </c>
      <c r="C20" s="12" t="str">
        <f>Table1[[#This Row],[Condition]]</f>
        <v>Diseased</v>
      </c>
      <c r="D20" s="10">
        <f>(0.2*Table4[[#This Row],[Gestational Age (weeks)]])-0.46</f>
        <v>5.3680000000000003</v>
      </c>
      <c r="E20" s="15">
        <f>Table1[[#This Row],[Asc. Ao. (mm)]]</f>
        <v>6.68</v>
      </c>
      <c r="F20" s="17">
        <f>ABS(Table4[[#This Row],[Asc. Ao. (mm)]]-Table4[[#This Row],[Exp. Asc. Ao. (mm)]])/Table4[[#This Row],[Exp. Asc. Ao. (mm)]]</f>
        <v>0.24441132637853935</v>
      </c>
      <c r="G20" s="44">
        <v>0.47820000000000001</v>
      </c>
      <c r="J20" s="2" t="str">
        <f>Table4[[#This Row],[Asc. Ao. (mm)]]&amp; " ± "&amp;Table4[[#This Row],[Uncertainty]]</f>
        <v>6.68 ± 0.4782</v>
      </c>
    </row>
    <row r="21" spans="1:10" x14ac:dyDescent="0.25">
      <c r="A21" s="12" t="str">
        <f>Table1[[#This Row],[Name]]</f>
        <v>91pre_10000016</v>
      </c>
      <c r="B21" s="13">
        <f>Table1[[#This Row],[Gestational Age (weeks)]]</f>
        <v>29.86</v>
      </c>
      <c r="C21" s="12" t="str">
        <f>Table1[[#This Row],[Condition]]</f>
        <v>Diseased</v>
      </c>
      <c r="D21" s="10">
        <f>(0.2*Table4[[#This Row],[Gestational Age (weeks)]])-0.46</f>
        <v>5.5120000000000005</v>
      </c>
      <c r="E21" s="15">
        <f>Table1[[#This Row],[Asc. Ao. (mm)]]</f>
        <v>3.8</v>
      </c>
      <c r="F21" s="17">
        <f>ABS(Table4[[#This Row],[Asc. Ao. (mm)]]-Table4[[#This Row],[Exp. Asc. Ao. (mm)]])/Table4[[#This Row],[Exp. Asc. Ao. (mm)]]</f>
        <v>0.31059506531204656</v>
      </c>
      <c r="G21" s="44">
        <v>0.19539999999999999</v>
      </c>
      <c r="J21" s="2" t="str">
        <f>Table4[[#This Row],[Asc. Ao. (mm)]]&amp; " ± "&amp;Table4[[#This Row],[Uncertainty]]</f>
        <v>3.8 ± 0.1954</v>
      </c>
    </row>
    <row r="22" spans="1:10" x14ac:dyDescent="0.25">
      <c r="A22" s="12" t="str">
        <f>Table1[[#This Row],[Name]]</f>
        <v>24092010P2_4</v>
      </c>
      <c r="B22" s="13">
        <f>Table1[[#This Row],[Gestational Age (weeks)]]</f>
        <v>32</v>
      </c>
      <c r="C22" s="12" t="str">
        <f>Table1[[#This Row],[Condition]]</f>
        <v>Healthy</v>
      </c>
      <c r="D22" s="10">
        <f>(0.2*Table4[[#This Row],[Gestational Age (weeks)]])-0.46</f>
        <v>5.94</v>
      </c>
      <c r="E22" s="15">
        <f>Table1[[#This Row],[Asc. Ao. (mm)]]</f>
        <v>6.01</v>
      </c>
      <c r="F22" s="17">
        <f>ABS(Table4[[#This Row],[Asc. Ao. (mm)]]-Table4[[#This Row],[Exp. Asc. Ao. (mm)]])/Table4[[#This Row],[Exp. Asc. Ao. (mm)]]</f>
        <v>1.1784511784511682E-2</v>
      </c>
      <c r="G22" s="44">
        <v>0.2117</v>
      </c>
      <c r="J22" s="2" t="str">
        <f>Table4[[#This Row],[Asc. Ao. (mm)]]&amp; " ± "&amp;Table4[[#This Row],[Uncertainty]]</f>
        <v>6.01 ± 0.2117</v>
      </c>
    </row>
    <row r="23" spans="1:10" x14ac:dyDescent="0.25">
      <c r="A23" s="12" t="str">
        <f>Table1[[#This Row],[Name]]</f>
        <v>01Oct2019P1_4</v>
      </c>
      <c r="B23" s="13">
        <f>Table1[[#This Row],[Gestational Age (weeks)]]</f>
        <v>32</v>
      </c>
      <c r="C23" s="12" t="str">
        <f>Table1[[#This Row],[Condition]]</f>
        <v>Healthy</v>
      </c>
      <c r="D23" s="10">
        <f>(0.2*Table4[[#This Row],[Gestational Age (weeks)]])-0.46</f>
        <v>5.94</v>
      </c>
      <c r="E23" s="15">
        <f>Table1[[#This Row],[Asc. Ao. (mm)]]</f>
        <v>6.18</v>
      </c>
      <c r="F23" s="17">
        <f>ABS(Table4[[#This Row],[Asc. Ao. (mm)]]-Table4[[#This Row],[Exp. Asc. Ao. (mm)]])/Table4[[#This Row],[Exp. Asc. Ao. (mm)]]</f>
        <v>4.040404040404029E-2</v>
      </c>
      <c r="G23" s="44">
        <v>0.23669999999999999</v>
      </c>
      <c r="J23" s="2" t="str">
        <f>Table4[[#This Row],[Asc. Ao. (mm)]]&amp; " ± "&amp;Table4[[#This Row],[Uncertainty]]</f>
        <v>6.18 ± 0.2367</v>
      </c>
    </row>
    <row r="24" spans="1:10" x14ac:dyDescent="0.25">
      <c r="A24" s="12" t="str">
        <f>Table1[[#This Row],[Name]]</f>
        <v>08Oct2019P2</v>
      </c>
      <c r="B24" s="13">
        <f>Table1[[#This Row],[Gestational Age (weeks)]]</f>
        <v>32</v>
      </c>
      <c r="C24" s="12" t="str">
        <f>Table1[[#This Row],[Condition]]</f>
        <v>Healthy</v>
      </c>
      <c r="D24" s="10">
        <f>(0.2*Table4[[#This Row],[Gestational Age (weeks)]])-0.46</f>
        <v>5.94</v>
      </c>
      <c r="E24" s="15">
        <f>Table1[[#This Row],[Asc. Ao. (mm)]]</f>
        <v>7.71</v>
      </c>
      <c r="F24" s="17">
        <f>ABS(Table4[[#This Row],[Asc. Ao. (mm)]]-Table4[[#This Row],[Exp. Asc. Ao. (mm)]])/Table4[[#This Row],[Exp. Asc. Ao. (mm)]]</f>
        <v>0.2979797979797979</v>
      </c>
      <c r="G24" s="44">
        <v>0.49209999999999998</v>
      </c>
      <c r="J24" s="2" t="str">
        <f>Table4[[#This Row],[Asc. Ao. (mm)]]&amp; " ± "&amp;Table4[[#This Row],[Uncertainty]]</f>
        <v>7.71 ± 0.4921</v>
      </c>
    </row>
    <row r="25" spans="1:10" x14ac:dyDescent="0.25">
      <c r="A25" s="12" t="str">
        <f>Table1[[#This Row],[Name]]</f>
        <v>15Oct2019P1</v>
      </c>
      <c r="B25" s="13">
        <f>Table1[[#This Row],[Gestational Age (weeks)]]</f>
        <v>32</v>
      </c>
      <c r="C25" s="12" t="str">
        <f>Table1[[#This Row],[Condition]]</f>
        <v>Healthy</v>
      </c>
      <c r="D25" s="10">
        <f>(0.2*Table4[[#This Row],[Gestational Age (weeks)]])-0.46</f>
        <v>5.94</v>
      </c>
      <c r="E25" s="15">
        <f>Table1[[#This Row],[Asc. Ao. (mm)]]</f>
        <v>7.44</v>
      </c>
      <c r="F25" s="17">
        <f>ABS(Table4[[#This Row],[Asc. Ao. (mm)]]-Table4[[#This Row],[Exp. Asc. Ao. (mm)]])/Table4[[#This Row],[Exp. Asc. Ao. (mm)]]</f>
        <v>0.25252525252525249</v>
      </c>
      <c r="G25" s="44">
        <v>0.23469999999999999</v>
      </c>
      <c r="J25" s="2" t="str">
        <f>Table4[[#This Row],[Asc. Ao. (mm)]]&amp; " ± "&amp;Table4[[#This Row],[Uncertainty]]</f>
        <v>7.44 ± 0.2347</v>
      </c>
    </row>
    <row r="26" spans="1:10" x14ac:dyDescent="0.25">
      <c r="A26" s="12" t="str">
        <f>Table1[[#This Row],[Name]]</f>
        <v>08Oct2019P3</v>
      </c>
      <c r="B26" s="13">
        <f>Table1[[#This Row],[Gestational Age (weeks)]]</f>
        <v>32.57</v>
      </c>
      <c r="C26" s="12" t="str">
        <f>Table1[[#This Row],[Condition]]</f>
        <v>Healthy</v>
      </c>
      <c r="D26" s="10">
        <f>(0.2*Table4[[#This Row],[Gestational Age (weeks)]])-0.46</f>
        <v>6.0540000000000003</v>
      </c>
      <c r="E26" s="15">
        <f>Table1[[#This Row],[Asc. Ao. (mm)]]</f>
        <v>6.41</v>
      </c>
      <c r="F26" s="17">
        <f>ABS(Table4[[#This Row],[Asc. Ao. (mm)]]-Table4[[#This Row],[Exp. Asc. Ao. (mm)]])/Table4[[#This Row],[Exp. Asc. Ao. (mm)]]</f>
        <v>5.8804096465146984E-2</v>
      </c>
      <c r="G26" s="44">
        <v>0.32669999999999999</v>
      </c>
      <c r="J26" s="2" t="str">
        <f>Table4[[#This Row],[Asc. Ao. (mm)]]&amp; " ± "&amp;Table4[[#This Row],[Uncertainty]]</f>
        <v>6.41 ± 0.3267</v>
      </c>
    </row>
    <row r="27" spans="1:10" x14ac:dyDescent="0.25">
      <c r="A27" s="12" t="str">
        <f>Table1[[#This Row],[Name]]</f>
        <v>102019P2</v>
      </c>
      <c r="B27" s="13">
        <f>Table1[[#This Row],[Gestational Age (weeks)]]</f>
        <v>33</v>
      </c>
      <c r="C27" s="12" t="str">
        <f>Table1[[#This Row],[Condition]]</f>
        <v>Healthy</v>
      </c>
      <c r="D27" s="10">
        <f>(0.2*Table4[[#This Row],[Gestational Age (weeks)]])-0.46</f>
        <v>6.1400000000000006</v>
      </c>
      <c r="E27" s="15">
        <f>Table1[[#This Row],[Asc. Ao. (mm)]]</f>
        <v>5.07</v>
      </c>
      <c r="F27" s="17">
        <f>ABS(Table4[[#This Row],[Asc. Ao. (mm)]]-Table4[[#This Row],[Exp. Asc. Ao. (mm)]])/Table4[[#This Row],[Exp. Asc. Ao. (mm)]]</f>
        <v>0.17426710097719872</v>
      </c>
      <c r="G27" s="44">
        <f>Uncertainty!B13</f>
        <v>0.31124588350691484</v>
      </c>
      <c r="J27" s="2" t="str">
        <f>Table4[[#This Row],[Asc. Ao. (mm)]]&amp; " ± "&amp;Table4[[#This Row],[Uncertainty]]</f>
        <v>5.07 ± 0.311245883506915</v>
      </c>
    </row>
  </sheetData>
  <phoneticPr fontId="1" type="noConversion"/>
  <conditionalFormatting sqref="A2:F27">
    <cfRule type="expression" dxfId="6" priority="16">
      <formula>$A2=$H$2</formula>
    </cfRule>
    <cfRule type="expression" dxfId="5" priority="21">
      <formula>$C2="Diseased"</formula>
    </cfRule>
    <cfRule type="expression" dxfId="4" priority="22">
      <formula>$E2=0</formula>
    </cfRule>
  </conditionalFormatting>
  <dataValidations count="1">
    <dataValidation type="list" allowBlank="1" showInputMessage="1" showErrorMessage="1" sqref="H2" xr:uid="{32098499-96CD-45EA-843E-E9759FCFA2D2}">
      <formula1>$A$2:$A$27</formula1>
    </dataValidation>
  </dataValidations>
  <pageMargins left="0.7" right="0.7" top="0.75" bottom="0.75" header="0.3" footer="0.3"/>
  <drawing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5F7E5-0DF1-4BE1-8A70-63C20DD07DE4}">
  <sheetPr>
    <tabColor theme="9"/>
  </sheetPr>
  <dimension ref="A1:J27"/>
  <sheetViews>
    <sheetView workbookViewId="0">
      <selection activeCell="A18" sqref="A18"/>
    </sheetView>
  </sheetViews>
  <sheetFormatPr defaultRowHeight="15" x14ac:dyDescent="0.25"/>
  <cols>
    <col min="1" max="1" width="15.28515625" customWidth="1"/>
    <col min="2" max="2" width="22.5703125" customWidth="1"/>
    <col min="3" max="3" width="12" bestFit="1" customWidth="1"/>
    <col min="4" max="4" width="19.28515625" style="23" customWidth="1"/>
    <col min="5" max="5" width="15.5703125" style="23" customWidth="1"/>
    <col min="6" max="6" width="14.85546875" style="24" customWidth="1"/>
    <col min="7" max="8" width="18.140625" customWidth="1"/>
    <col min="10" max="10" width="23.42578125" bestFit="1" customWidth="1"/>
  </cols>
  <sheetData>
    <row r="1" spans="1:10" x14ac:dyDescent="0.25">
      <c r="A1" s="8" t="s">
        <v>0</v>
      </c>
      <c r="B1" s="7" t="s">
        <v>1</v>
      </c>
      <c r="C1" s="7" t="s">
        <v>2</v>
      </c>
      <c r="D1" s="26" t="s">
        <v>66</v>
      </c>
      <c r="E1" s="60" t="s">
        <v>7</v>
      </c>
      <c r="F1" s="28" t="s">
        <v>67</v>
      </c>
      <c r="G1" s="29" t="s">
        <v>68</v>
      </c>
      <c r="H1" s="19" t="s">
        <v>8</v>
      </c>
      <c r="J1" t="s">
        <v>7</v>
      </c>
    </row>
    <row r="2" spans="1:10" x14ac:dyDescent="0.25">
      <c r="A2" s="12" t="str">
        <f>Table1[[#This Row],[Name]]</f>
        <v>06Apr2021P1</v>
      </c>
      <c r="B2" s="13">
        <f>Table1[[#This Row],[Gestational Age (weeks)]]</f>
        <v>21</v>
      </c>
      <c r="C2" s="12" t="str">
        <f>Table1[[#This Row],[Condition]]</f>
        <v>Healthy</v>
      </c>
      <c r="D2" s="20">
        <f>(0.18*Table3[[#This Row],[Gestational Age (weeks)]])-0.37</f>
        <v>3.4099999999999997</v>
      </c>
      <c r="E2" s="21">
        <f>Table1[[#This Row],[Transv. Ao. (mm)]]</f>
        <v>2.87</v>
      </c>
      <c r="F2" s="22">
        <f>ABS(Table3[[#This Row],[Transv. Ao. (mm)]]-Table3[[#This Row],[Exp. Transv. Ao. (mm)]])/Table3[[#This Row],[Exp. Transv. Ao. (mm)]]</f>
        <v>0.15835777126099695</v>
      </c>
      <c r="G2" s="44">
        <v>0.1452</v>
      </c>
      <c r="H2" t="str">
        <f>Table5[[#This Row],[Name Select]]</f>
        <v>17Sep2019P1_3</v>
      </c>
      <c r="J2" s="2" t="str">
        <f>Table3[[#This Row],[Transv. Ao. (mm)]]&amp; " ± "&amp;Table3[[#This Row],[Uncertainty]]</f>
        <v>2.87 ± 0.1452</v>
      </c>
    </row>
    <row r="3" spans="1:10" x14ac:dyDescent="0.25">
      <c r="A3" s="12" t="str">
        <f>Table1[[#This Row],[Name]]</f>
        <v>15Oct2019P2</v>
      </c>
      <c r="B3" s="13">
        <f>Table1[[#This Row],[Gestational Age (weeks)]]</f>
        <v>21.14</v>
      </c>
      <c r="C3" s="12" t="str">
        <f>Table1[[#This Row],[Condition]]</f>
        <v>Healthy</v>
      </c>
      <c r="D3" s="20">
        <f>(0.18*Table3[[#This Row],[Gestational Age (weeks)]])-0.37</f>
        <v>3.4352</v>
      </c>
      <c r="E3" s="21">
        <f>Table1[[#This Row],[Transv. Ao. (mm)]]</f>
        <v>4.29</v>
      </c>
      <c r="F3" s="22">
        <f>ABS(Table3[[#This Row],[Transv. Ao. (mm)]]-Table3[[#This Row],[Exp. Transv. Ao. (mm)]])/Table3[[#This Row],[Exp. Transv. Ao. (mm)]]</f>
        <v>0.24883558453656265</v>
      </c>
      <c r="G3" s="44">
        <v>0.15229999999999999</v>
      </c>
      <c r="J3" s="2" t="str">
        <f>Table3[[#This Row],[Transv. Ao. (mm)]]&amp; " ± "&amp;Table3[[#This Row],[Uncertainty]]</f>
        <v>4.29 ± 0.1523</v>
      </c>
    </row>
    <row r="4" spans="1:10" x14ac:dyDescent="0.25">
      <c r="A4" s="12" t="str">
        <f>Table1[[#This Row],[Name]]</f>
        <v>23Mar2021P3</v>
      </c>
      <c r="B4" s="13">
        <f>Table1[[#This Row],[Gestational Age (weeks)]]</f>
        <v>21.14</v>
      </c>
      <c r="C4" s="12" t="str">
        <f>Table1[[#This Row],[Condition]]</f>
        <v>Healthy</v>
      </c>
      <c r="D4" s="20">
        <f>(0.18*Table3[[#This Row],[Gestational Age (weeks)]])-0.37</f>
        <v>3.4352</v>
      </c>
      <c r="E4" s="21">
        <f>Table1[[#This Row],[Transv. Ao. (mm)]]</f>
        <v>3.36</v>
      </c>
      <c r="F4" s="22">
        <f>ABS(Table3[[#This Row],[Transv. Ao. (mm)]]-Table3[[#This Row],[Exp. Transv. Ao. (mm)]])/Table3[[#This Row],[Exp. Transv. Ao. (mm)]]</f>
        <v>2.1891010712622307E-2</v>
      </c>
      <c r="G4" s="44">
        <v>8.6400000000000005E-2</v>
      </c>
      <c r="J4" s="2" t="str">
        <f>Table3[[#This Row],[Transv. Ao. (mm)]]&amp; " ± "&amp;Table3[[#This Row],[Uncertainty]]</f>
        <v>3.36 ± 0.0864</v>
      </c>
    </row>
    <row r="5" spans="1:10" x14ac:dyDescent="0.25">
      <c r="A5" s="12" t="str">
        <f>Table1[[#This Row],[Name]]</f>
        <v>03Sep2019P2_0_1</v>
      </c>
      <c r="B5" s="13">
        <f>Table1[[#This Row],[Gestational Age (weeks)]]</f>
        <v>21.29</v>
      </c>
      <c r="C5" s="12" t="str">
        <f>Table1[[#This Row],[Condition]]</f>
        <v>Healthy</v>
      </c>
      <c r="D5" s="20">
        <f>(0.18*Table3[[#This Row],[Gestational Age (weeks)]])-0.37</f>
        <v>3.4621999999999997</v>
      </c>
      <c r="E5" s="21">
        <f>Table1[[#This Row],[Transv. Ao. (mm)]]</f>
        <v>3.06</v>
      </c>
      <c r="F5" s="22">
        <f>ABS(Table3[[#This Row],[Transv. Ao. (mm)]]-Table3[[#This Row],[Exp. Transv. Ao. (mm)]])/Table3[[#This Row],[Exp. Transv. Ao. (mm)]]</f>
        <v>0.1161689099416555</v>
      </c>
      <c r="G5" s="44">
        <v>0.12479999999999999</v>
      </c>
      <c r="J5" s="2" t="str">
        <f>Table3[[#This Row],[Transv. Ao. (mm)]]&amp; " ± "&amp;Table3[[#This Row],[Uncertainty]]</f>
        <v>3.06 ± 0.1248</v>
      </c>
    </row>
    <row r="6" spans="1:10" x14ac:dyDescent="0.25">
      <c r="A6" s="12" t="str">
        <f>Table1[[#This Row],[Name]]</f>
        <v>20Apr2021P1</v>
      </c>
      <c r="B6" s="13">
        <f>Table1[[#This Row],[Gestational Age (weeks)]]</f>
        <v>21.29</v>
      </c>
      <c r="C6" s="12" t="str">
        <f>Table1[[#This Row],[Condition]]</f>
        <v>Healthy</v>
      </c>
      <c r="D6" s="20">
        <f>(0.18*Table3[[#This Row],[Gestational Age (weeks)]])-0.37</f>
        <v>3.4621999999999997</v>
      </c>
      <c r="E6" s="21">
        <f>Table1[[#This Row],[Transv. Ao. (mm)]]</f>
        <v>2.79</v>
      </c>
      <c r="F6" s="22">
        <f>ABS(Table3[[#This Row],[Transv. Ao. (mm)]]-Table3[[#This Row],[Exp. Transv. Ao. (mm)]])/Table3[[#This Row],[Exp. Transv. Ao. (mm)]]</f>
        <v>0.19415400612327413</v>
      </c>
      <c r="G6" s="44">
        <v>0.1169</v>
      </c>
      <c r="J6" s="2" t="str">
        <f>Table3[[#This Row],[Transv. Ao. (mm)]]&amp; " ± "&amp;Table3[[#This Row],[Uncertainty]]</f>
        <v>2.79 ± 0.1169</v>
      </c>
    </row>
    <row r="7" spans="1:10" x14ac:dyDescent="0.25">
      <c r="A7" s="12" t="str">
        <f>Table1[[#This Row],[Name]]</f>
        <v>08Oct2019P1</v>
      </c>
      <c r="B7" s="13">
        <f>Table1[[#This Row],[Gestational Age (weeks)]]</f>
        <v>21.43</v>
      </c>
      <c r="C7" s="12" t="str">
        <f>Table1[[#This Row],[Condition]]</f>
        <v>Healthy</v>
      </c>
      <c r="D7" s="20">
        <f>(0.18*Table3[[#This Row],[Gestational Age (weeks)]])-0.37</f>
        <v>3.4873999999999996</v>
      </c>
      <c r="E7" s="21">
        <f>Table1[[#This Row],[Transv. Ao. (mm)]]</f>
        <v>3.9</v>
      </c>
      <c r="F7" s="22">
        <f>ABS(Table3[[#This Row],[Transv. Ao. (mm)]]-Table3[[#This Row],[Exp. Transv. Ao. (mm)]])/Table3[[#This Row],[Exp. Transv. Ao. (mm)]]</f>
        <v>0.1183116361759478</v>
      </c>
      <c r="G7" s="44">
        <v>0.15670000000000001</v>
      </c>
      <c r="J7" s="2" t="str">
        <f>Table3[[#This Row],[Transv. Ao. (mm)]]&amp; " ± "&amp;Table3[[#This Row],[Uncertainty]]</f>
        <v>3.9 ± 0.1567</v>
      </c>
    </row>
    <row r="8" spans="1:10" x14ac:dyDescent="0.25">
      <c r="A8" s="12" t="str">
        <f>Table1[[#This Row],[Name]]</f>
        <v>09Feb2021P2</v>
      </c>
      <c r="B8" s="13">
        <f>Table1[[#This Row],[Gestational Age (weeks)]]</f>
        <v>21.43</v>
      </c>
      <c r="C8" s="12" t="str">
        <f>Table1[[#This Row],[Condition]]</f>
        <v>Healthy</v>
      </c>
      <c r="D8" s="20">
        <f>(0.18*Table3[[#This Row],[Gestational Age (weeks)]])-0.37</f>
        <v>3.4873999999999996</v>
      </c>
      <c r="E8" s="21">
        <f>Table1[[#This Row],[Transv. Ao. (mm)]]</f>
        <v>3.23</v>
      </c>
      <c r="F8" s="22">
        <f>ABS(Table3[[#This Row],[Transv. Ao. (mm)]]-Table3[[#This Row],[Exp. Transv. Ao. (mm)]])/Table3[[#This Row],[Exp. Transv. Ao. (mm)]]</f>
        <v>7.3808567987612456E-2</v>
      </c>
      <c r="G8" s="44">
        <v>0.14580000000000001</v>
      </c>
      <c r="J8" s="2" t="str">
        <f>Table3[[#This Row],[Transv. Ao. (mm)]]&amp; " ± "&amp;Table3[[#This Row],[Uncertainty]]</f>
        <v>3.23 ± 0.1458</v>
      </c>
    </row>
    <row r="9" spans="1:10" x14ac:dyDescent="0.25">
      <c r="A9" s="12" t="str">
        <f>Table1[[#This Row],[Name]]</f>
        <v>13Apr2021P1</v>
      </c>
      <c r="B9" s="13">
        <f>Table1[[#This Row],[Gestational Age (weeks)]]</f>
        <v>21.43</v>
      </c>
      <c r="C9" s="12" t="str">
        <f>Table1[[#This Row],[Condition]]</f>
        <v>Healthy</v>
      </c>
      <c r="D9" s="20">
        <f>(0.18*Table3[[#This Row],[Gestational Age (weeks)]])-0.37</f>
        <v>3.4873999999999996</v>
      </c>
      <c r="E9" s="21">
        <f>Table1[[#This Row],[Transv. Ao. (mm)]]</f>
        <v>3.89</v>
      </c>
      <c r="F9" s="22">
        <f>ABS(Table3[[#This Row],[Transv. Ao. (mm)]]-Table3[[#This Row],[Exp. Transv. Ao. (mm)]])/Table3[[#This Row],[Exp. Transv. Ao. (mm)]]</f>
        <v>0.11544417044216337</v>
      </c>
      <c r="G9" s="44">
        <v>8.6499999999999994E-2</v>
      </c>
      <c r="J9" s="2" t="str">
        <f>Table3[[#This Row],[Transv. Ao. (mm)]]&amp; " ± "&amp;Table3[[#This Row],[Uncertainty]]</f>
        <v>3.89 ± 0.0865</v>
      </c>
    </row>
    <row r="10" spans="1:10" x14ac:dyDescent="0.25">
      <c r="A10" s="12" t="str">
        <f>Table1[[#This Row],[Name]]</f>
        <v>23Mar2021P1</v>
      </c>
      <c r="B10" s="13">
        <f>Table1[[#This Row],[Gestational Age (weeks)]]</f>
        <v>21.43</v>
      </c>
      <c r="C10" s="12" t="str">
        <f>Table1[[#This Row],[Condition]]</f>
        <v>Healthy</v>
      </c>
      <c r="D10" s="20">
        <f>(0.18*Table3[[#This Row],[Gestational Age (weeks)]])-0.37</f>
        <v>3.4873999999999996</v>
      </c>
      <c r="E10" s="21">
        <f>Table1[[#This Row],[Transv. Ao. (mm)]]</f>
        <v>3.5</v>
      </c>
      <c r="F10" s="22">
        <f>ABS(Table3[[#This Row],[Transv. Ao. (mm)]]-Table3[[#This Row],[Exp. Transv. Ao. (mm)]])/Table3[[#This Row],[Exp. Transv. Ao. (mm)]]</f>
        <v>3.6130068245685582E-3</v>
      </c>
      <c r="G10" s="44">
        <v>9.8599999999999993E-2</v>
      </c>
      <c r="J10" s="2" t="str">
        <f>Table3[[#This Row],[Transv. Ao. (mm)]]&amp; " ± "&amp;Table3[[#This Row],[Uncertainty]]</f>
        <v>3.5 ± 0.0986</v>
      </c>
    </row>
    <row r="11" spans="1:10" x14ac:dyDescent="0.25">
      <c r="A11" s="12" t="str">
        <f>Table1[[#This Row],[Name]]</f>
        <v>10Sep2019P1_1</v>
      </c>
      <c r="B11" s="13">
        <f>Table1[[#This Row],[Gestational Age (weeks)]]</f>
        <v>21.57</v>
      </c>
      <c r="C11" s="12" t="str">
        <f>Table1[[#This Row],[Condition]]</f>
        <v>Healthy</v>
      </c>
      <c r="D11" s="20">
        <f>(0.18*Table3[[#This Row],[Gestational Age (weeks)]])-0.37</f>
        <v>3.5125999999999999</v>
      </c>
      <c r="E11" s="21">
        <f>Table1[[#This Row],[Transv. Ao. (mm)]]</f>
        <v>3.51</v>
      </c>
      <c r="F11" s="22">
        <f>ABS(Table3[[#This Row],[Transv. Ao. (mm)]]-Table3[[#This Row],[Exp. Transv. Ao. (mm)]])/Table3[[#This Row],[Exp. Transv. Ao. (mm)]]</f>
        <v>7.4019245003705458E-4</v>
      </c>
      <c r="G11" s="44">
        <v>0.17860000000000001</v>
      </c>
      <c r="J11" s="2" t="str">
        <f>Table3[[#This Row],[Transv. Ao. (mm)]]&amp; " ± "&amp;Table3[[#This Row],[Uncertainty]]</f>
        <v>3.51 ± 0.1786</v>
      </c>
    </row>
    <row r="12" spans="1:10" x14ac:dyDescent="0.25">
      <c r="A12" s="12" t="str">
        <f>Table1[[#This Row],[Name]]</f>
        <v>13Apr2021P2</v>
      </c>
      <c r="B12" s="13">
        <f>Table1[[#This Row],[Gestational Age (weeks)]]</f>
        <v>21.57</v>
      </c>
      <c r="C12" s="12" t="str">
        <f>Table1[[#This Row],[Condition]]</f>
        <v>Healthy</v>
      </c>
      <c r="D12" s="20">
        <f>(0.18*Table3[[#This Row],[Gestational Age (weeks)]])-0.37</f>
        <v>3.5125999999999999</v>
      </c>
      <c r="E12" s="21">
        <f>Table1[[#This Row],[Transv. Ao. (mm)]]</f>
        <v>3.37</v>
      </c>
      <c r="F12" s="22">
        <f>ABS(Table3[[#This Row],[Transv. Ao. (mm)]]-Table3[[#This Row],[Exp. Transv. Ao. (mm)]])/Table3[[#This Row],[Exp. Transv. Ao. (mm)]]</f>
        <v>4.059670899049133E-2</v>
      </c>
      <c r="G12" s="44">
        <v>0.1565</v>
      </c>
      <c r="J12" s="2" t="str">
        <f>Table3[[#This Row],[Transv. Ao. (mm)]]&amp; " ± "&amp;Table3[[#This Row],[Uncertainty]]</f>
        <v>3.37 ± 0.1565</v>
      </c>
    </row>
    <row r="13" spans="1:10" x14ac:dyDescent="0.25">
      <c r="A13" s="12" t="str">
        <f>Table1[[#This Row],[Name]]</f>
        <v>02Mar2021P1</v>
      </c>
      <c r="B13" s="13">
        <f>Table1[[#This Row],[Gestational Age (weeks)]]</f>
        <v>21.57</v>
      </c>
      <c r="C13" s="12" t="str">
        <f>Table1[[#This Row],[Condition]]</f>
        <v>Healthy</v>
      </c>
      <c r="D13" s="20">
        <f>(0.18*Table3[[#This Row],[Gestational Age (weeks)]])-0.37</f>
        <v>3.5125999999999999</v>
      </c>
      <c r="E13" s="21">
        <f>Table1[[#This Row],[Transv. Ao. (mm)]]</f>
        <v>2.99</v>
      </c>
      <c r="F13" s="22">
        <f>ABS(Table3[[#This Row],[Transv. Ao. (mm)]]-Table3[[#This Row],[Exp. Transv. Ao. (mm)]])/Table3[[#This Row],[Exp. Transv. Ao. (mm)]]</f>
        <v>0.14877868245743886</v>
      </c>
      <c r="G13" s="44">
        <v>0.1195</v>
      </c>
      <c r="J13" s="2" t="str">
        <f>Table3[[#This Row],[Transv. Ao. (mm)]]&amp; " ± "&amp;Table3[[#This Row],[Uncertainty]]</f>
        <v>2.99 ± 0.1195</v>
      </c>
    </row>
    <row r="14" spans="1:10" x14ac:dyDescent="0.25">
      <c r="A14" s="12" t="str">
        <f>Table1[[#This Row],[Name]]</f>
        <v>17Sep2019P1_3</v>
      </c>
      <c r="B14" s="13">
        <f>Table1[[#This Row],[Gestational Age (weeks)]]</f>
        <v>22</v>
      </c>
      <c r="C14" s="12" t="str">
        <f>Table1[[#This Row],[Condition]]</f>
        <v>Healthy</v>
      </c>
      <c r="D14" s="20">
        <f>(0.18*Table3[[#This Row],[Gestational Age (weeks)]])-0.37</f>
        <v>3.59</v>
      </c>
      <c r="E14" s="21">
        <f>Table1[[#This Row],[Transv. Ao. (mm)]]</f>
        <v>3.44</v>
      </c>
      <c r="F14" s="22">
        <f>ABS(Table3[[#This Row],[Transv. Ao. (mm)]]-Table3[[#This Row],[Exp. Transv. Ao. (mm)]])/Table3[[#This Row],[Exp. Transv. Ao. (mm)]]</f>
        <v>4.1782729805013907E-2</v>
      </c>
      <c r="G14" s="44">
        <f>Uncertainty!H19</f>
        <v>6.8963758598266714E-2</v>
      </c>
      <c r="J14" s="2" t="str">
        <f>Table3[[#This Row],[Transv. Ao. (mm)]]&amp; " ± "&amp;Table3[[#This Row],[Uncertainty]]</f>
        <v>3.44 ± 0.0689637585982667</v>
      </c>
    </row>
    <row r="15" spans="1:10" x14ac:dyDescent="0.25">
      <c r="A15" s="12" t="str">
        <f>Table1[[#This Row],[Name]]</f>
        <v>24Sep2019P1_5</v>
      </c>
      <c r="B15" s="13">
        <f>Table1[[#This Row],[Gestational Age (weeks)]]</f>
        <v>22</v>
      </c>
      <c r="C15" s="12" t="str">
        <f>Table1[[#This Row],[Condition]]</f>
        <v>Healthy</v>
      </c>
      <c r="D15" s="20">
        <f>(0.18*Table3[[#This Row],[Gestational Age (weeks)]])-0.37</f>
        <v>3.59</v>
      </c>
      <c r="E15" s="21">
        <f>Table1[[#This Row],[Transv. Ao. (mm)]]</f>
        <v>3.74</v>
      </c>
      <c r="F15" s="22">
        <f>ABS(Table3[[#This Row],[Transv. Ao. (mm)]]-Table3[[#This Row],[Exp. Transv. Ao. (mm)]])/Table3[[#This Row],[Exp. Transv. Ao. (mm)]]</f>
        <v>4.1782729805014025E-2</v>
      </c>
      <c r="G15" s="44">
        <v>0.1245</v>
      </c>
      <c r="J15" s="2" t="str">
        <f>Table3[[#This Row],[Transv. Ao. (mm)]]&amp; " ± "&amp;Table3[[#This Row],[Uncertainty]]</f>
        <v>3.74 ± 0.1245</v>
      </c>
    </row>
    <row r="16" spans="1:10" x14ac:dyDescent="0.25">
      <c r="A16" s="12" t="str">
        <f>Table1[[#This Row],[Name]]</f>
        <v>088pre_10000006</v>
      </c>
      <c r="B16" s="13">
        <f>Table1[[#This Row],[Gestational Age (weeks)]]</f>
        <v>22.57</v>
      </c>
      <c r="C16" s="12" t="str">
        <f>Table1[[#This Row],[Condition]]</f>
        <v>Diseased</v>
      </c>
      <c r="D16" s="20">
        <f>(0.18*Table3[[#This Row],[Gestational Age (weeks)]])-0.37</f>
        <v>3.6925999999999997</v>
      </c>
      <c r="E16" s="21">
        <f>Table1[[#This Row],[Transv. Ao. (mm)]]</f>
        <v>3.07</v>
      </c>
      <c r="F16" s="22">
        <f>ABS(Table3[[#This Row],[Transv. Ao. (mm)]]-Table3[[#This Row],[Exp. Transv. Ao. (mm)]])/Table3[[#This Row],[Exp. Transv. Ao. (mm)]]</f>
        <v>0.16860748524075175</v>
      </c>
      <c r="G16" s="44">
        <v>0.1211</v>
      </c>
      <c r="J16" s="2" t="str">
        <f>Table3[[#This Row],[Transv. Ao. (mm)]]&amp; " ± "&amp;Table3[[#This Row],[Uncertainty]]</f>
        <v>3.07 ± 0.1211</v>
      </c>
    </row>
    <row r="17" spans="1:10" x14ac:dyDescent="0.25">
      <c r="A17" s="12" t="str">
        <f>Table1[[#This Row],[Name]]</f>
        <v>09Feb2021P1</v>
      </c>
      <c r="B17" s="13">
        <f>Table1[[#This Row],[Gestational Age (weeks)]]</f>
        <v>22.57</v>
      </c>
      <c r="C17" s="12" t="str">
        <f>Table1[[#This Row],[Condition]]</f>
        <v>Healthy</v>
      </c>
      <c r="D17" s="20">
        <f>(0.18*Table3[[#This Row],[Gestational Age (weeks)]])-0.37</f>
        <v>3.6925999999999997</v>
      </c>
      <c r="E17" s="21">
        <f>Table1[[#This Row],[Transv. Ao. (mm)]]</f>
        <v>3.19</v>
      </c>
      <c r="F17" s="22">
        <f>ABS(Table3[[#This Row],[Transv. Ao. (mm)]]-Table3[[#This Row],[Exp. Transv. Ao. (mm)]])/Table3[[#This Row],[Exp. Transv. Ao. (mm)]]</f>
        <v>0.13611005795374526</v>
      </c>
      <c r="G17" s="44">
        <v>9.98E-2</v>
      </c>
      <c r="J17" s="2" t="str">
        <f>Table3[[#This Row],[Transv. Ao. (mm)]]&amp; " ± "&amp;Table3[[#This Row],[Uncertainty]]</f>
        <v>3.19 ± 0.0998</v>
      </c>
    </row>
    <row r="18" spans="1:10" x14ac:dyDescent="0.25">
      <c r="A18" s="12" t="str">
        <f>Table1[[#This Row],[Name]]</f>
        <v>28weekshealthy</v>
      </c>
      <c r="B18" s="13">
        <f>Table1[[#This Row],[Gestational Age (weeks)]]</f>
        <v>28</v>
      </c>
      <c r="C18" s="12" t="str">
        <f>Table1[[#This Row],[Condition]]</f>
        <v>Healthy</v>
      </c>
      <c r="D18" s="20">
        <f>(0.18*Table3[[#This Row],[Gestational Age (weeks)]])-0.37</f>
        <v>4.67</v>
      </c>
      <c r="E18" s="21">
        <f>Table1[[#This Row],[Transv. Ao. (mm)]]</f>
        <v>7.22</v>
      </c>
      <c r="F18" s="22">
        <f>ABS(Table3[[#This Row],[Transv. Ao. (mm)]]-Table3[[#This Row],[Exp. Transv. Ao. (mm)]])/Table3[[#This Row],[Exp. Transv. Ao. (mm)]]</f>
        <v>0.54603854389721629</v>
      </c>
      <c r="G18" s="44">
        <v>0.15870000000000001</v>
      </c>
      <c r="J18" s="2" t="str">
        <f>Table3[[#This Row],[Transv. Ao. (mm)]]&amp; " ± "&amp;Table3[[#This Row],[Uncertainty]]</f>
        <v>7.22 ± 0.1587</v>
      </c>
    </row>
    <row r="19" spans="1:10" x14ac:dyDescent="0.25">
      <c r="A19" s="12" t="str">
        <f>Table1[[#This Row],[Name]]</f>
        <v>95pre</v>
      </c>
      <c r="B19" s="13">
        <f>Table1[[#This Row],[Gestational Age (weeks)]]</f>
        <v>29</v>
      </c>
      <c r="C19" s="12" t="str">
        <f>Table1[[#This Row],[Condition]]</f>
        <v>Diseased</v>
      </c>
      <c r="D19" s="20">
        <f>(0.18*Table3[[#This Row],[Gestational Age (weeks)]])-0.37</f>
        <v>4.8499999999999996</v>
      </c>
      <c r="E19" s="21">
        <f>Table1[[#This Row],[Transv. Ao. (mm)]]</f>
        <v>2.99</v>
      </c>
      <c r="F19" s="22">
        <f>ABS(Table3[[#This Row],[Transv. Ao. (mm)]]-Table3[[#This Row],[Exp. Transv. Ao. (mm)]])/Table3[[#This Row],[Exp. Transv. Ao. (mm)]]</f>
        <v>0.38350515463917517</v>
      </c>
      <c r="G19" s="44">
        <f>Uncertainty!E19</f>
        <v>0.19176548177396269</v>
      </c>
      <c r="J19" s="2" t="str">
        <f>Table3[[#This Row],[Transv. Ao. (mm)]]&amp; " ± "&amp;Table3[[#This Row],[Uncertainty]]</f>
        <v>2.99 ± 0.191765481773963</v>
      </c>
    </row>
    <row r="20" spans="1:10" x14ac:dyDescent="0.25">
      <c r="A20" s="12" t="str">
        <f>Table1[[#This Row],[Name]]</f>
        <v>90pre_10000024</v>
      </c>
      <c r="B20" s="13">
        <f>Table1[[#This Row],[Gestational Age (weeks)]]</f>
        <v>29.14</v>
      </c>
      <c r="C20" s="12" t="str">
        <f>Table1[[#This Row],[Condition]]</f>
        <v>Diseased</v>
      </c>
      <c r="D20" s="20">
        <f>(0.18*Table3[[#This Row],[Gestational Age (weeks)]])-0.37</f>
        <v>4.8751999999999995</v>
      </c>
      <c r="E20" s="21">
        <f>Table1[[#This Row],[Transv. Ao. (mm)]]</f>
        <v>6.26</v>
      </c>
      <c r="F20" s="22">
        <f>ABS(Table3[[#This Row],[Transv. Ao. (mm)]]-Table3[[#This Row],[Exp. Transv. Ao. (mm)]])/Table3[[#This Row],[Exp. Transv. Ao. (mm)]]</f>
        <v>0.28404988513291768</v>
      </c>
      <c r="G20" s="44">
        <v>6.5699999999999995E-2</v>
      </c>
      <c r="J20" s="2" t="str">
        <f>Table3[[#This Row],[Transv. Ao. (mm)]]&amp; " ± "&amp;Table3[[#This Row],[Uncertainty]]</f>
        <v>6.26 ± 0.0657</v>
      </c>
    </row>
    <row r="21" spans="1:10" x14ac:dyDescent="0.25">
      <c r="A21" s="12" t="str">
        <f>Table1[[#This Row],[Name]]</f>
        <v>91pre_10000016</v>
      </c>
      <c r="B21" s="13">
        <f>Table1[[#This Row],[Gestational Age (weeks)]]</f>
        <v>29.86</v>
      </c>
      <c r="C21" s="12" t="str">
        <f>Table1[[#This Row],[Condition]]</f>
        <v>Diseased</v>
      </c>
      <c r="D21" s="20">
        <f>(0.18*Table3[[#This Row],[Gestational Age (weeks)]])-0.37</f>
        <v>5.0047999999999995</v>
      </c>
      <c r="E21" s="21">
        <f>Table1[[#This Row],[Transv. Ao. (mm)]]</f>
        <v>3.35</v>
      </c>
      <c r="F21" s="22">
        <f>ABS(Table3[[#This Row],[Transv. Ao. (mm)]]-Table3[[#This Row],[Exp. Transv. Ao. (mm)]])/Table3[[#This Row],[Exp. Transv. Ao. (mm)]]</f>
        <v>0.3306425831202045</v>
      </c>
      <c r="G21" s="44">
        <v>5.8700000000000002E-2</v>
      </c>
      <c r="J21" s="2" t="str">
        <f>Table3[[#This Row],[Transv. Ao. (mm)]]&amp; " ± "&amp;Table3[[#This Row],[Uncertainty]]</f>
        <v>3.35 ± 0.0587</v>
      </c>
    </row>
    <row r="22" spans="1:10" x14ac:dyDescent="0.25">
      <c r="A22" s="12" t="str">
        <f>Table1[[#This Row],[Name]]</f>
        <v>24092010P2_4</v>
      </c>
      <c r="B22" s="13">
        <f>Table1[[#This Row],[Gestational Age (weeks)]]</f>
        <v>32</v>
      </c>
      <c r="C22" s="12" t="str">
        <f>Table1[[#This Row],[Condition]]</f>
        <v>Healthy</v>
      </c>
      <c r="D22" s="20">
        <f>(0.18*Table3[[#This Row],[Gestational Age (weeks)]])-0.37</f>
        <v>5.39</v>
      </c>
      <c r="E22" s="21">
        <f>Table1[[#This Row],[Transv. Ao. (mm)]]</f>
        <v>4.8600000000000003</v>
      </c>
      <c r="F22" s="22">
        <f>ABS(Table3[[#This Row],[Transv. Ao. (mm)]]-Table3[[#This Row],[Exp. Transv. Ao. (mm)]])/Table3[[#This Row],[Exp. Transv. Ao. (mm)]]</f>
        <v>9.8330241187383927E-2</v>
      </c>
      <c r="G22" s="44">
        <v>9.6500000000000002E-2</v>
      </c>
      <c r="J22" s="2" t="str">
        <f>Table3[[#This Row],[Transv. Ao. (mm)]]&amp; " ± "&amp;Table3[[#This Row],[Uncertainty]]</f>
        <v>4.86 ± 0.0965</v>
      </c>
    </row>
    <row r="23" spans="1:10" x14ac:dyDescent="0.25">
      <c r="A23" s="12" t="str">
        <f>Table1[[#This Row],[Name]]</f>
        <v>01Oct2019P1_4</v>
      </c>
      <c r="B23" s="13">
        <f>Table1[[#This Row],[Gestational Age (weeks)]]</f>
        <v>32</v>
      </c>
      <c r="C23" s="12" t="str">
        <f>Table1[[#This Row],[Condition]]</f>
        <v>Healthy</v>
      </c>
      <c r="D23" s="20">
        <f>(0.18*Table3[[#This Row],[Gestational Age (weeks)]])-0.37</f>
        <v>5.39</v>
      </c>
      <c r="E23" s="21">
        <f>Table1[[#This Row],[Transv. Ao. (mm)]]</f>
        <v>5.47</v>
      </c>
      <c r="F23" s="22">
        <f>ABS(Table3[[#This Row],[Transv. Ao. (mm)]]-Table3[[#This Row],[Exp. Transv. Ao. (mm)]])/Table3[[#This Row],[Exp. Transv. Ao. (mm)]]</f>
        <v>1.4842300556586285E-2</v>
      </c>
      <c r="G23" s="44">
        <v>8.3199999999999996E-2</v>
      </c>
      <c r="J23" s="2" t="str">
        <f>Table3[[#This Row],[Transv. Ao. (mm)]]&amp; " ± "&amp;Table3[[#This Row],[Uncertainty]]</f>
        <v>5.47 ± 0.0832</v>
      </c>
    </row>
    <row r="24" spans="1:10" x14ac:dyDescent="0.25">
      <c r="A24" s="12" t="str">
        <f>Table1[[#This Row],[Name]]</f>
        <v>08Oct2019P2</v>
      </c>
      <c r="B24" s="13">
        <f>Table1[[#This Row],[Gestational Age (weeks)]]</f>
        <v>32</v>
      </c>
      <c r="C24" s="12" t="str">
        <f>Table1[[#This Row],[Condition]]</f>
        <v>Healthy</v>
      </c>
      <c r="D24" s="20">
        <f>(0.18*Table3[[#This Row],[Gestational Age (weeks)]])-0.37</f>
        <v>5.39</v>
      </c>
      <c r="E24" s="21">
        <f>Table1[[#This Row],[Transv. Ao. (mm)]]</f>
        <v>5.91</v>
      </c>
      <c r="F24" s="22">
        <f>ABS(Table3[[#This Row],[Transv. Ao. (mm)]]-Table3[[#This Row],[Exp. Transv. Ao. (mm)]])/Table3[[#This Row],[Exp. Transv. Ao. (mm)]]</f>
        <v>9.6474953617810846E-2</v>
      </c>
      <c r="G24" s="44">
        <v>0.1343</v>
      </c>
      <c r="J24" s="2" t="str">
        <f>Table3[[#This Row],[Transv. Ao. (mm)]]&amp; " ± "&amp;Table3[[#This Row],[Uncertainty]]</f>
        <v>5.91 ± 0.1343</v>
      </c>
    </row>
    <row r="25" spans="1:10" x14ac:dyDescent="0.25">
      <c r="A25" s="12" t="str">
        <f>Table1[[#This Row],[Name]]</f>
        <v>15Oct2019P1</v>
      </c>
      <c r="B25" s="13">
        <f>Table1[[#This Row],[Gestational Age (weeks)]]</f>
        <v>32</v>
      </c>
      <c r="C25" s="12" t="str">
        <f>Table1[[#This Row],[Condition]]</f>
        <v>Healthy</v>
      </c>
      <c r="D25" s="20">
        <f>(0.18*Table3[[#This Row],[Gestational Age (weeks)]])-0.37</f>
        <v>5.39</v>
      </c>
      <c r="E25" s="21">
        <f>Table1[[#This Row],[Transv. Ao. (mm)]]</f>
        <v>5.55</v>
      </c>
      <c r="F25" s="22">
        <f>ABS(Table3[[#This Row],[Transv. Ao. (mm)]]-Table3[[#This Row],[Exp. Transv. Ao. (mm)]])/Table3[[#This Row],[Exp. Transv. Ao. (mm)]]</f>
        <v>2.968460111317257E-2</v>
      </c>
      <c r="G25" s="44">
        <v>0.12889999999999999</v>
      </c>
      <c r="J25" s="2" t="str">
        <f>Table3[[#This Row],[Transv. Ao. (mm)]]&amp; " ± "&amp;Table3[[#This Row],[Uncertainty]]</f>
        <v>5.55 ± 0.1289</v>
      </c>
    </row>
    <row r="26" spans="1:10" x14ac:dyDescent="0.25">
      <c r="A26" s="12" t="str">
        <f>Table1[[#This Row],[Name]]</f>
        <v>08Oct2019P3</v>
      </c>
      <c r="B26" s="13">
        <f>Table1[[#This Row],[Gestational Age (weeks)]]</f>
        <v>32.57</v>
      </c>
      <c r="C26" s="12" t="str">
        <f>Table1[[#This Row],[Condition]]</f>
        <v>Healthy</v>
      </c>
      <c r="D26" s="20">
        <f>(0.18*Table3[[#This Row],[Gestational Age (weeks)]])-0.37</f>
        <v>5.4925999999999995</v>
      </c>
      <c r="E26" s="21">
        <f>Table1[[#This Row],[Transv. Ao. (mm)]]</f>
        <v>5.03</v>
      </c>
      <c r="F26" s="22">
        <f>ABS(Table3[[#This Row],[Transv. Ao. (mm)]]-Table3[[#This Row],[Exp. Transv. Ao. (mm)]])/Table3[[#This Row],[Exp. Transv. Ao. (mm)]]</f>
        <v>8.4222408331209128E-2</v>
      </c>
      <c r="G26" s="44">
        <v>4.5600000000000002E-2</v>
      </c>
      <c r="J26" s="2" t="str">
        <f>Table3[[#This Row],[Transv. Ao. (mm)]]&amp; " ± "&amp;Table3[[#This Row],[Uncertainty]]</f>
        <v>5.03 ± 0.0456</v>
      </c>
    </row>
    <row r="27" spans="1:10" x14ac:dyDescent="0.25">
      <c r="A27" s="12" t="str">
        <f>Table1[[#This Row],[Name]]</f>
        <v>102019P2</v>
      </c>
      <c r="B27" s="13">
        <f>Table1[[#This Row],[Gestational Age (weeks)]]</f>
        <v>33</v>
      </c>
      <c r="C27" s="12" t="str">
        <f>Table1[[#This Row],[Condition]]</f>
        <v>Healthy</v>
      </c>
      <c r="D27" s="20">
        <f>(0.18*Table3[[#This Row],[Gestational Age (weeks)]])-0.37</f>
        <v>5.5699999999999994</v>
      </c>
      <c r="E27" s="21">
        <f>Table1[[#This Row],[Transv. Ao. (mm)]]</f>
        <v>5.14</v>
      </c>
      <c r="F27" s="22">
        <f>ABS(Table3[[#This Row],[Transv. Ao. (mm)]]-Table3[[#This Row],[Exp. Transv. Ao. (mm)]])/Table3[[#This Row],[Exp. Transv. Ao. (mm)]]</f>
        <v>7.7199281867145378E-2</v>
      </c>
      <c r="G27" s="44">
        <f>Uncertainty!B19</f>
        <v>9.150956234186669E-2</v>
      </c>
      <c r="J27" s="2" t="str">
        <f>Table3[[#This Row],[Transv. Ao. (mm)]]&amp; " ± "&amp;Table3[[#This Row],[Uncertainty]]</f>
        <v>5.14 ± 0.0915095623418667</v>
      </c>
    </row>
  </sheetData>
  <phoneticPr fontId="1" type="noConversion"/>
  <conditionalFormatting sqref="A2:F27">
    <cfRule type="expression" dxfId="3" priority="10">
      <formula>$A2=$H$2</formula>
    </cfRule>
    <cfRule type="expression" dxfId="2" priority="15">
      <formula>$C2="Diseased"</formula>
    </cfRule>
    <cfRule type="expression" dxfId="1" priority="16">
      <formula>$E2=0</formula>
    </cfRule>
  </conditionalFormatting>
  <dataValidations count="1">
    <dataValidation type="list" allowBlank="1" showInputMessage="1" showErrorMessage="1" sqref="H2" xr:uid="{C1741227-EBD2-4FE6-A91A-BBC369147096}">
      <formula1>$A$2:$A$27</formula1>
    </dataValidation>
  </dataValidations>
  <pageMargins left="0.7" right="0.7" top="0.75" bottom="0.75" header="0.3" footer="0.3"/>
  <drawing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B34CC1-F9E8-49FE-B295-899C178222A6}">
  <dimension ref="A1:J24"/>
  <sheetViews>
    <sheetView workbookViewId="0">
      <selection activeCell="G29" sqref="G29"/>
    </sheetView>
  </sheetViews>
  <sheetFormatPr defaultRowHeight="15" x14ac:dyDescent="0.25"/>
  <cols>
    <col min="1" max="1" width="18" customWidth="1"/>
    <col min="2" max="4" width="14.5703125" customWidth="1"/>
    <col min="5" max="5" width="17.42578125" customWidth="1"/>
    <col min="6" max="6" width="17.7109375" customWidth="1"/>
    <col min="7" max="7" width="18.7109375" customWidth="1"/>
    <col min="8" max="8" width="18.140625" customWidth="1"/>
    <col min="9" max="10" width="18.85546875" customWidth="1"/>
  </cols>
  <sheetData>
    <row r="1" spans="1:10" x14ac:dyDescent="0.25">
      <c r="A1" s="32" t="s">
        <v>87</v>
      </c>
      <c r="B1" s="49" t="s">
        <v>69</v>
      </c>
      <c r="C1" s="50"/>
      <c r="D1" s="51"/>
      <c r="E1" s="49" t="s">
        <v>85</v>
      </c>
      <c r="F1" s="50"/>
      <c r="G1" s="51"/>
      <c r="H1" s="49" t="s">
        <v>86</v>
      </c>
      <c r="I1" s="50"/>
      <c r="J1" s="51"/>
    </row>
    <row r="2" spans="1:10" x14ac:dyDescent="0.25">
      <c r="A2" s="33" t="s">
        <v>70</v>
      </c>
      <c r="B2" s="34">
        <v>5.03</v>
      </c>
      <c r="C2" s="34">
        <f>B2-B22</f>
        <v>-0.52199999999999935</v>
      </c>
      <c r="D2" s="31">
        <f>C2^2</f>
        <v>0.27248399999999934</v>
      </c>
      <c r="E2" s="34">
        <v>4.67</v>
      </c>
      <c r="F2" s="34">
        <f>E2-E22</f>
        <v>-0.18400000000000016</v>
      </c>
      <c r="G2" s="34">
        <f>F2^2</f>
        <v>3.385600000000006E-2</v>
      </c>
      <c r="H2" s="34">
        <v>3.42</v>
      </c>
      <c r="I2" s="34">
        <f>H2-$H$22</f>
        <v>-0.6980000000000004</v>
      </c>
      <c r="J2" s="34">
        <f>I2^2</f>
        <v>0.48720400000000058</v>
      </c>
    </row>
    <row r="3" spans="1:10" x14ac:dyDescent="0.25">
      <c r="A3" s="33" t="s">
        <v>71</v>
      </c>
      <c r="B3" s="32">
        <v>5.1100000000000003</v>
      </c>
      <c r="C3" s="34">
        <f>B3-B22</f>
        <v>-0.44199999999999928</v>
      </c>
      <c r="D3" s="31">
        <f t="shared" ref="D3:D6" si="0">C3^2</f>
        <v>0.19536399999999937</v>
      </c>
      <c r="E3" s="32">
        <v>4.9000000000000004</v>
      </c>
      <c r="F3" s="34">
        <f>E3-E22</f>
        <v>4.6000000000000263E-2</v>
      </c>
      <c r="G3" s="34">
        <f t="shared" ref="G3:G6" si="1">F3^2</f>
        <v>2.1160000000000241E-3</v>
      </c>
      <c r="H3" s="32">
        <v>3.81</v>
      </c>
      <c r="I3" s="34">
        <f t="shared" ref="I3:I6" si="2">H3-$H$22</f>
        <v>-0.30800000000000027</v>
      </c>
      <c r="J3" s="34">
        <f t="shared" ref="J3:J6" si="3">I3^2</f>
        <v>9.486400000000017E-2</v>
      </c>
    </row>
    <row r="4" spans="1:10" x14ac:dyDescent="0.25">
      <c r="A4" s="33" t="s">
        <v>72</v>
      </c>
      <c r="B4" s="32">
        <v>6.66</v>
      </c>
      <c r="C4" s="34">
        <f>B4-B22</f>
        <v>1.1080000000000005</v>
      </c>
      <c r="D4" s="31">
        <f t="shared" si="0"/>
        <v>1.2276640000000012</v>
      </c>
      <c r="E4" s="32">
        <v>5.05</v>
      </c>
      <c r="F4" s="34">
        <f>E4-E22</f>
        <v>0.19599999999999973</v>
      </c>
      <c r="G4" s="34">
        <f t="shared" si="1"/>
        <v>3.8415999999999895E-2</v>
      </c>
      <c r="H4" s="32">
        <v>3.87</v>
      </c>
      <c r="I4" s="34">
        <f t="shared" si="2"/>
        <v>-0.24800000000000022</v>
      </c>
      <c r="J4" s="34">
        <f t="shared" si="3"/>
        <v>6.1504000000000107E-2</v>
      </c>
    </row>
    <row r="5" spans="1:10" x14ac:dyDescent="0.25">
      <c r="A5" s="33" t="s">
        <v>73</v>
      </c>
      <c r="B5" s="32">
        <v>6.42</v>
      </c>
      <c r="C5" s="34">
        <f>B5-B22</f>
        <v>0.86800000000000033</v>
      </c>
      <c r="D5" s="31">
        <f t="shared" si="0"/>
        <v>0.75342400000000054</v>
      </c>
      <c r="E5" s="32">
        <v>4.18</v>
      </c>
      <c r="F5" s="34">
        <f>E5-E22</f>
        <v>-0.67400000000000038</v>
      </c>
      <c r="G5" s="34">
        <f t="shared" si="1"/>
        <v>0.45427600000000051</v>
      </c>
      <c r="H5" s="32">
        <v>4.7</v>
      </c>
      <c r="I5" s="34">
        <f t="shared" si="2"/>
        <v>0.58199999999999985</v>
      </c>
      <c r="J5" s="34">
        <f t="shared" si="3"/>
        <v>0.3387239999999998</v>
      </c>
    </row>
    <row r="6" spans="1:10" ht="15.75" thickBot="1" x14ac:dyDescent="0.3">
      <c r="A6" s="33" t="s">
        <v>74</v>
      </c>
      <c r="B6" s="32">
        <v>4.54</v>
      </c>
      <c r="C6" s="34">
        <f>B6-B22</f>
        <v>-1.0119999999999996</v>
      </c>
      <c r="D6" s="31">
        <f t="shared" si="0"/>
        <v>1.0241439999999991</v>
      </c>
      <c r="E6" s="32">
        <v>5.47</v>
      </c>
      <c r="F6" s="34">
        <f>E6-E22</f>
        <v>0.61599999999999966</v>
      </c>
      <c r="G6" s="34">
        <f t="shared" si="1"/>
        <v>0.37945599999999957</v>
      </c>
      <c r="H6" s="32">
        <v>4.79</v>
      </c>
      <c r="I6" s="34">
        <f t="shared" si="2"/>
        <v>0.67199999999999971</v>
      </c>
      <c r="J6" s="34">
        <f t="shared" si="3"/>
        <v>0.4515839999999996</v>
      </c>
    </row>
    <row r="7" spans="1:10" ht="16.5" thickTop="1" thickBot="1" x14ac:dyDescent="0.3">
      <c r="A7" s="35" t="s">
        <v>68</v>
      </c>
      <c r="B7" s="53">
        <f>SQRT(SUM(D2:D6)/(B21*(B21-1)))</f>
        <v>0.41671813015514453</v>
      </c>
      <c r="C7" s="54"/>
      <c r="D7" s="55"/>
      <c r="E7" s="53">
        <f>SQRT(SUM(G2:G6)/(E21*(E21-1)))</f>
        <v>0.21308683675910156</v>
      </c>
      <c r="F7" s="54"/>
      <c r="G7" s="55"/>
      <c r="H7" s="53">
        <f>SQRT(SUM(J2:J6)/(H21*(H21-1)))</f>
        <v>0.26775735284021612</v>
      </c>
      <c r="I7" s="54"/>
      <c r="J7" s="55"/>
    </row>
    <row r="8" spans="1:10" ht="16.5" thickTop="1" thickBot="1" x14ac:dyDescent="0.3">
      <c r="A8" s="36" t="s">
        <v>75</v>
      </c>
      <c r="B8" s="40">
        <v>4.82</v>
      </c>
      <c r="C8" s="40">
        <f>B8-B23</f>
        <v>-0.25199999999999978</v>
      </c>
      <c r="D8" s="40">
        <f>C8^2</f>
        <v>6.3503999999999894E-2</v>
      </c>
      <c r="E8" s="40">
        <v>5.82</v>
      </c>
      <c r="F8" s="40">
        <f>E8-$E$23</f>
        <v>0.16200000000000081</v>
      </c>
      <c r="G8" s="40">
        <f>F8^2</f>
        <v>2.6244000000000264E-2</v>
      </c>
      <c r="H8" s="40">
        <v>3.76</v>
      </c>
      <c r="I8" s="40">
        <f>H8-$H$23</f>
        <v>-0.44200000000000017</v>
      </c>
      <c r="J8" s="40">
        <f>I8^2</f>
        <v>0.19536400000000015</v>
      </c>
    </row>
    <row r="9" spans="1:10" ht="16.5" thickTop="1" thickBot="1" x14ac:dyDescent="0.3">
      <c r="A9" s="37" t="s">
        <v>76</v>
      </c>
      <c r="B9" s="41">
        <v>5.21</v>
      </c>
      <c r="C9" s="41">
        <f>B9-B23</f>
        <v>0.1379999999999999</v>
      </c>
      <c r="D9" s="40">
        <f t="shared" ref="D9:D12" si="4">C9^2</f>
        <v>1.9043999999999974E-2</v>
      </c>
      <c r="E9" s="41">
        <v>6.5</v>
      </c>
      <c r="F9" s="40">
        <f t="shared" ref="F9:F12" si="5">E9-$E$23</f>
        <v>0.84200000000000053</v>
      </c>
      <c r="G9" s="40">
        <f t="shared" ref="G9:G12" si="6">F9^2</f>
        <v>0.70896400000000093</v>
      </c>
      <c r="H9" s="41">
        <v>3.86</v>
      </c>
      <c r="I9" s="40">
        <f t="shared" ref="I9:I12" si="7">H9-$H$23</f>
        <v>-0.34200000000000008</v>
      </c>
      <c r="J9" s="40">
        <f t="shared" ref="J9:J12" si="8">I9^2</f>
        <v>0.11696400000000005</v>
      </c>
    </row>
    <row r="10" spans="1:10" ht="16.5" thickTop="1" thickBot="1" x14ac:dyDescent="0.3">
      <c r="A10" s="37" t="s">
        <v>77</v>
      </c>
      <c r="B10" s="41">
        <v>4.75</v>
      </c>
      <c r="C10" s="41">
        <f>B10-B23</f>
        <v>-0.32200000000000006</v>
      </c>
      <c r="D10" s="40">
        <f t="shared" si="4"/>
        <v>0.10368400000000004</v>
      </c>
      <c r="E10" s="41">
        <v>4.83</v>
      </c>
      <c r="F10" s="40">
        <f t="shared" si="5"/>
        <v>-0.8279999999999994</v>
      </c>
      <c r="G10" s="40">
        <f t="shared" si="6"/>
        <v>0.68558399999999897</v>
      </c>
      <c r="H10" s="41">
        <v>4.76</v>
      </c>
      <c r="I10" s="40">
        <f t="shared" si="7"/>
        <v>0.55799999999999983</v>
      </c>
      <c r="J10" s="40">
        <f t="shared" si="8"/>
        <v>0.31136399999999981</v>
      </c>
    </row>
    <row r="11" spans="1:10" ht="16.5" thickTop="1" thickBot="1" x14ac:dyDescent="0.3">
      <c r="A11" s="37" t="s">
        <v>78</v>
      </c>
      <c r="B11" s="41">
        <v>6.2</v>
      </c>
      <c r="C11" s="41">
        <f>B11-B23</f>
        <v>1.1280000000000001</v>
      </c>
      <c r="D11" s="40">
        <f t="shared" si="4"/>
        <v>1.2723840000000002</v>
      </c>
      <c r="E11" s="41">
        <v>4.8899999999999997</v>
      </c>
      <c r="F11" s="40">
        <f>H2-$E$23</f>
        <v>-2.2379999999999995</v>
      </c>
      <c r="G11" s="40">
        <f t="shared" si="6"/>
        <v>5.0086439999999977</v>
      </c>
      <c r="H11" s="41">
        <v>4.37</v>
      </c>
      <c r="I11" s="40">
        <f t="shared" si="7"/>
        <v>0.16800000000000015</v>
      </c>
      <c r="J11" s="40">
        <f t="shared" si="8"/>
        <v>2.8224000000000051E-2</v>
      </c>
    </row>
    <row r="12" spans="1:10" ht="16.5" thickTop="1" thickBot="1" x14ac:dyDescent="0.3">
      <c r="A12" s="37" t="s">
        <v>79</v>
      </c>
      <c r="B12" s="41">
        <v>4.38</v>
      </c>
      <c r="C12" s="41">
        <f>B12-B23</f>
        <v>-0.69200000000000017</v>
      </c>
      <c r="D12" s="40">
        <f t="shared" si="4"/>
        <v>0.47886400000000023</v>
      </c>
      <c r="E12" s="41">
        <v>6.25</v>
      </c>
      <c r="F12" s="40">
        <f t="shared" si="5"/>
        <v>0.59200000000000053</v>
      </c>
      <c r="G12" s="40">
        <f t="shared" si="6"/>
        <v>0.35046400000000061</v>
      </c>
      <c r="H12" s="41">
        <v>4.26</v>
      </c>
      <c r="I12" s="40">
        <f t="shared" si="7"/>
        <v>5.7999999999999829E-2</v>
      </c>
      <c r="J12" s="40">
        <f t="shared" si="8"/>
        <v>3.3639999999999803E-3</v>
      </c>
    </row>
    <row r="13" spans="1:10" ht="16.5" thickTop="1" thickBot="1" x14ac:dyDescent="0.3">
      <c r="A13" s="35" t="s">
        <v>68</v>
      </c>
      <c r="B13" s="53">
        <f>SQRT(SUM(D8:D12)/(B21*(B21-1)))</f>
        <v>0.31124588350691484</v>
      </c>
      <c r="C13" s="54"/>
      <c r="D13" s="55"/>
      <c r="E13" s="53">
        <f>SQRT(SUM(G8:G12)/(E21*(E21-1)))</f>
        <v>0.58223277132088669</v>
      </c>
      <c r="F13" s="54"/>
      <c r="G13" s="55"/>
      <c r="H13" s="53">
        <f>SQRT(SUM(J8:J12)/(H21*(H21-1)))</f>
        <v>0.18100828710310476</v>
      </c>
      <c r="I13" s="54"/>
      <c r="J13" s="55"/>
    </row>
    <row r="14" spans="1:10" ht="16.5" thickTop="1" thickBot="1" x14ac:dyDescent="0.3">
      <c r="A14" s="38" t="s">
        <v>80</v>
      </c>
      <c r="B14" s="40">
        <v>5.14</v>
      </c>
      <c r="C14" s="40">
        <f>B14-B24</f>
        <v>0.14199999999999946</v>
      </c>
      <c r="D14" s="40">
        <f>C14^2</f>
        <v>2.0163999999999845E-2</v>
      </c>
      <c r="E14" s="40">
        <v>2.99</v>
      </c>
      <c r="F14" s="40">
        <f>E14-$E$24</f>
        <v>0.1980000000000004</v>
      </c>
      <c r="G14" s="40">
        <f>F14^2</f>
        <v>3.9204000000000155E-2</v>
      </c>
      <c r="H14" s="40">
        <v>3.44</v>
      </c>
      <c r="I14" s="40">
        <f>H14-$H$24</f>
        <v>-8.5999999999999854E-2</v>
      </c>
      <c r="J14" s="40">
        <f>I14^2</f>
        <v>7.3959999999999746E-3</v>
      </c>
    </row>
    <row r="15" spans="1:10" ht="16.5" thickTop="1" thickBot="1" x14ac:dyDescent="0.3">
      <c r="A15" s="39" t="s">
        <v>81</v>
      </c>
      <c r="B15" s="41">
        <v>4.7300000000000004</v>
      </c>
      <c r="C15" s="40">
        <f>B15-B24</f>
        <v>-0.26799999999999979</v>
      </c>
      <c r="D15" s="40">
        <f t="shared" ref="D15:D18" si="9">C15^2</f>
        <v>7.1823999999999888E-2</v>
      </c>
      <c r="E15" s="41">
        <v>3.2</v>
      </c>
      <c r="F15" s="40">
        <f t="shared" ref="F15:F18" si="10">E15-$E$24</f>
        <v>0.40800000000000036</v>
      </c>
      <c r="G15" s="40">
        <f t="shared" ref="G15:G18" si="11">F15^2</f>
        <v>0.16646400000000031</v>
      </c>
      <c r="H15" s="41">
        <v>3.62</v>
      </c>
      <c r="I15" s="40">
        <f t="shared" ref="I15:I18" si="12">H15-$H$24</f>
        <v>9.4000000000000306E-2</v>
      </c>
      <c r="J15" s="40">
        <f t="shared" ref="J15:J18" si="13">I15^2</f>
        <v>8.8360000000000574E-3</v>
      </c>
    </row>
    <row r="16" spans="1:10" ht="16.5" thickTop="1" thickBot="1" x14ac:dyDescent="0.3">
      <c r="A16" s="39" t="s">
        <v>82</v>
      </c>
      <c r="B16" s="41">
        <v>4.83</v>
      </c>
      <c r="C16" s="40">
        <f>B16-B24</f>
        <v>-0.16800000000000015</v>
      </c>
      <c r="D16" s="40">
        <f t="shared" si="9"/>
        <v>2.8224000000000051E-2</v>
      </c>
      <c r="E16" s="41">
        <v>2.2999999999999998</v>
      </c>
      <c r="F16" s="40">
        <f t="shared" si="10"/>
        <v>-0.49199999999999999</v>
      </c>
      <c r="G16" s="40">
        <f t="shared" si="11"/>
        <v>0.242064</v>
      </c>
      <c r="H16" s="41">
        <v>3.59</v>
      </c>
      <c r="I16" s="40">
        <f t="shared" si="12"/>
        <v>6.4000000000000057E-2</v>
      </c>
      <c r="J16" s="40">
        <f t="shared" si="13"/>
        <v>4.0960000000000076E-3</v>
      </c>
    </row>
    <row r="17" spans="1:10" ht="16.5" thickTop="1" thickBot="1" x14ac:dyDescent="0.3">
      <c r="A17" s="39" t="s">
        <v>83</v>
      </c>
      <c r="B17" s="41">
        <v>5.0999999999999996</v>
      </c>
      <c r="C17" s="40">
        <f>B17-B24</f>
        <v>0.10199999999999942</v>
      </c>
      <c r="D17" s="40">
        <f t="shared" si="9"/>
        <v>1.0403999999999882E-2</v>
      </c>
      <c r="E17" s="41">
        <v>3.11</v>
      </c>
      <c r="F17" s="40">
        <f t="shared" si="10"/>
        <v>0.31800000000000006</v>
      </c>
      <c r="G17" s="40">
        <f t="shared" si="11"/>
        <v>0.10112400000000003</v>
      </c>
      <c r="H17" s="41">
        <v>3.3</v>
      </c>
      <c r="I17" s="40">
        <f t="shared" si="12"/>
        <v>-0.22599999999999998</v>
      </c>
      <c r="J17" s="40">
        <f t="shared" si="13"/>
        <v>5.1075999999999989E-2</v>
      </c>
    </row>
    <row r="18" spans="1:10" ht="16.5" thickTop="1" thickBot="1" x14ac:dyDescent="0.3">
      <c r="A18" s="39" t="s">
        <v>84</v>
      </c>
      <c r="B18" s="41">
        <v>5.19</v>
      </c>
      <c r="C18" s="40">
        <f>B18-B24</f>
        <v>0.19200000000000017</v>
      </c>
      <c r="D18" s="40">
        <f t="shared" si="9"/>
        <v>3.6864000000000063E-2</v>
      </c>
      <c r="E18" s="41">
        <v>2.36</v>
      </c>
      <c r="F18" s="40">
        <f t="shared" si="10"/>
        <v>-0.43199999999999994</v>
      </c>
      <c r="G18" s="40">
        <f t="shared" si="11"/>
        <v>0.18662399999999996</v>
      </c>
      <c r="H18" s="41">
        <v>3.68</v>
      </c>
      <c r="I18" s="40">
        <f t="shared" si="12"/>
        <v>0.15400000000000036</v>
      </c>
      <c r="J18" s="40">
        <f t="shared" si="13"/>
        <v>2.3716000000000112E-2</v>
      </c>
    </row>
    <row r="19" spans="1:10" ht="16.5" thickTop="1" thickBot="1" x14ac:dyDescent="0.3">
      <c r="A19" s="45" t="s">
        <v>68</v>
      </c>
      <c r="B19" s="56">
        <f>SQRT(SUM(D14:D18)/(B21*(B21-1)))</f>
        <v>9.150956234186669E-2</v>
      </c>
      <c r="C19" s="57"/>
      <c r="D19" s="58"/>
      <c r="E19" s="56">
        <f>SQRT(SUM(G14:G18)/(E21*(E21-1)))</f>
        <v>0.19176548177396269</v>
      </c>
      <c r="F19" s="57"/>
      <c r="G19" s="58"/>
      <c r="H19" s="56">
        <f>SQRT(SUM(J14:J18)/(H21*(H21-1)))</f>
        <v>6.8963758598266714E-2</v>
      </c>
      <c r="I19" s="57"/>
      <c r="J19" s="58"/>
    </row>
    <row r="20" spans="1:10" ht="15.75" thickTop="1" x14ac:dyDescent="0.25">
      <c r="B20" s="42"/>
      <c r="C20" s="42"/>
      <c r="D20" s="42"/>
      <c r="E20" s="42"/>
      <c r="F20" s="42"/>
      <c r="G20" s="42"/>
      <c r="H20" s="42"/>
      <c r="I20" s="42"/>
      <c r="J20" s="42"/>
    </row>
    <row r="21" spans="1:10" x14ac:dyDescent="0.25">
      <c r="A21" s="30" t="s">
        <v>88</v>
      </c>
      <c r="B21" s="46">
        <v>5</v>
      </c>
      <c r="C21" s="47"/>
      <c r="D21" s="48"/>
      <c r="E21" s="46">
        <v>5</v>
      </c>
      <c r="F21" s="47"/>
      <c r="G21" s="48"/>
      <c r="H21" s="46">
        <v>5</v>
      </c>
      <c r="I21" s="47"/>
      <c r="J21" s="48"/>
    </row>
    <row r="22" spans="1:10" x14ac:dyDescent="0.25">
      <c r="A22" s="30" t="s">
        <v>90</v>
      </c>
      <c r="B22" s="46">
        <f>SUM(B2:B6)/B21</f>
        <v>5.5519999999999996</v>
      </c>
      <c r="C22" s="47"/>
      <c r="D22" s="48"/>
      <c r="E22" s="46">
        <f>SUM(E2:E6)/E21</f>
        <v>4.8540000000000001</v>
      </c>
      <c r="F22" s="47"/>
      <c r="G22" s="48"/>
      <c r="H22" s="46">
        <f>SUM(H2:H6)/H21</f>
        <v>4.1180000000000003</v>
      </c>
      <c r="I22" s="47"/>
      <c r="J22" s="48"/>
    </row>
    <row r="23" spans="1:10" x14ac:dyDescent="0.25">
      <c r="A23" s="30" t="s">
        <v>89</v>
      </c>
      <c r="B23" s="46">
        <f>SUM(B8:B12)/B21</f>
        <v>5.0720000000000001</v>
      </c>
      <c r="C23" s="47"/>
      <c r="D23" s="48"/>
      <c r="E23" s="46">
        <f>SUM(E8:E12)/E21</f>
        <v>5.6579999999999995</v>
      </c>
      <c r="F23" s="47"/>
      <c r="G23" s="48"/>
      <c r="H23" s="46">
        <f>SUM(H8:H12)/H21</f>
        <v>4.202</v>
      </c>
      <c r="I23" s="47"/>
      <c r="J23" s="48"/>
    </row>
    <row r="24" spans="1:10" x14ac:dyDescent="0.25">
      <c r="A24" s="30" t="s">
        <v>91</v>
      </c>
      <c r="B24" s="46">
        <f>SUM(B14:B18)/B21</f>
        <v>4.9980000000000002</v>
      </c>
      <c r="C24" s="47"/>
      <c r="D24" s="48"/>
      <c r="E24" s="46">
        <f>SUM(E14:E18)/E21</f>
        <v>2.7919999999999998</v>
      </c>
      <c r="F24" s="47"/>
      <c r="G24" s="48"/>
      <c r="H24" s="46">
        <f>SUM(H14:H18)/H21</f>
        <v>3.5259999999999998</v>
      </c>
      <c r="I24" s="47"/>
      <c r="J24" s="48"/>
    </row>
  </sheetData>
  <mergeCells count="24">
    <mergeCell ref="B1:D1"/>
    <mergeCell ref="B7:D7"/>
    <mergeCell ref="B19:D19"/>
    <mergeCell ref="B13:D13"/>
    <mergeCell ref="E19:G19"/>
    <mergeCell ref="E13:G13"/>
    <mergeCell ref="E7:G7"/>
    <mergeCell ref="E1:G1"/>
    <mergeCell ref="H19:J19"/>
    <mergeCell ref="H13:J13"/>
    <mergeCell ref="H7:J7"/>
    <mergeCell ref="H1:J1"/>
    <mergeCell ref="H24:J24"/>
    <mergeCell ref="H23:J23"/>
    <mergeCell ref="H22:J22"/>
    <mergeCell ref="H21:J21"/>
    <mergeCell ref="B24:D24"/>
    <mergeCell ref="B23:D23"/>
    <mergeCell ref="B22:D22"/>
    <mergeCell ref="B21:D21"/>
    <mergeCell ref="E24:G24"/>
    <mergeCell ref="E23:G23"/>
    <mergeCell ref="E22:G22"/>
    <mergeCell ref="E21:G21"/>
  </mergeCells>
  <phoneticPr fontId="1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D4455-B69E-4E2A-914D-4B86795E312F}">
  <dimension ref="A1:D10"/>
  <sheetViews>
    <sheetView tabSelected="1" workbookViewId="0">
      <selection sqref="A1:D10"/>
    </sheetView>
  </sheetViews>
  <sheetFormatPr defaultRowHeight="15" x14ac:dyDescent="0.25"/>
  <cols>
    <col min="1" max="1" width="22.85546875" bestFit="1" customWidth="1"/>
    <col min="2" max="2" width="12.7109375" bestFit="1" customWidth="1"/>
    <col min="3" max="3" width="15.5703125" bestFit="1" customWidth="1"/>
    <col min="4" max="4" width="16" bestFit="1" customWidth="1"/>
  </cols>
  <sheetData>
    <row r="1" spans="1:4" x14ac:dyDescent="0.25">
      <c r="A1" s="61"/>
      <c r="B1" s="62" t="s">
        <v>101</v>
      </c>
      <c r="C1" s="62" t="s">
        <v>102</v>
      </c>
      <c r="D1" s="62" t="s">
        <v>103</v>
      </c>
    </row>
    <row r="2" spans="1:4" x14ac:dyDescent="0.25">
      <c r="A2" s="62" t="s">
        <v>93</v>
      </c>
      <c r="B2" s="61">
        <v>2.6495888999883501</v>
      </c>
      <c r="C2" s="61">
        <v>0.146237411541669</v>
      </c>
      <c r="D2" s="61">
        <v>0.52555141815329898</v>
      </c>
    </row>
    <row r="3" spans="1:4" x14ac:dyDescent="0.25">
      <c r="A3" s="62" t="s">
        <v>94</v>
      </c>
      <c r="B3" s="61">
        <v>25</v>
      </c>
      <c r="C3" s="61">
        <v>25</v>
      </c>
      <c r="D3" s="61">
        <v>25</v>
      </c>
    </row>
    <row r="4" spans="1:4" x14ac:dyDescent="0.25">
      <c r="A4" s="62" t="s">
        <v>95</v>
      </c>
      <c r="B4" s="61" t="s">
        <v>104</v>
      </c>
      <c r="C4" s="61" t="s">
        <v>104</v>
      </c>
      <c r="D4" s="61" t="s">
        <v>104</v>
      </c>
    </row>
    <row r="5" spans="1:4" x14ac:dyDescent="0.25">
      <c r="A5" s="62" t="s">
        <v>96</v>
      </c>
      <c r="B5" s="61">
        <v>1.376968109564E-2</v>
      </c>
      <c r="C5" s="61">
        <v>0.884906786039377</v>
      </c>
      <c r="D5" s="61">
        <v>0.60383068432586295</v>
      </c>
    </row>
    <row r="6" spans="1:4" x14ac:dyDescent="0.25">
      <c r="A6" s="62" t="s">
        <v>97</v>
      </c>
      <c r="B6" s="61" t="s">
        <v>105</v>
      </c>
      <c r="C6" s="61" t="s">
        <v>106</v>
      </c>
      <c r="D6" s="61" t="s">
        <v>107</v>
      </c>
    </row>
    <row r="7" spans="1:4" x14ac:dyDescent="0.25">
      <c r="A7" s="62" t="s">
        <v>98</v>
      </c>
      <c r="B7" s="61">
        <v>0.39306803555077602</v>
      </c>
      <c r="C7" s="61">
        <v>2.0205364255017299E-2</v>
      </c>
      <c r="D7" s="61">
        <v>8.4238333771532101E-2</v>
      </c>
    </row>
    <row r="8" spans="1:4" x14ac:dyDescent="0.25">
      <c r="A8" s="62" t="s">
        <v>99</v>
      </c>
      <c r="B8" s="61">
        <v>3.61</v>
      </c>
      <c r="C8" s="61">
        <v>0.20899999999999999</v>
      </c>
      <c r="D8" s="61">
        <v>0.23499999999999999</v>
      </c>
    </row>
    <row r="9" spans="1:4" x14ac:dyDescent="0.25">
      <c r="A9" s="62" t="s">
        <v>100</v>
      </c>
      <c r="B9" s="61">
        <v>0.48692936092244898</v>
      </c>
      <c r="C9" s="61">
        <v>5.1126487695984997E-2</v>
      </c>
      <c r="D9" s="61">
        <v>6.9785308533517901E-2</v>
      </c>
    </row>
    <row r="10" spans="1:4" x14ac:dyDescent="0.25">
      <c r="A10" s="62" t="s">
        <v>108</v>
      </c>
      <c r="B10" s="61">
        <v>0.72925320275737704</v>
      </c>
      <c r="C10" s="61">
        <v>0.82871025463386006</v>
      </c>
      <c r="D10" s="61">
        <v>0.70510470873655295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All Data</vt:lpstr>
      <vt:lpstr>Aortic Root</vt:lpstr>
      <vt:lpstr>Ascending Aorta</vt:lpstr>
      <vt:lpstr>Tranverse Aorta</vt:lpstr>
      <vt:lpstr>Uncertainty</vt:lpstr>
      <vt:lpstr>Correlation Information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MARIA ARRANZ FOMBELLIDA</dc:creator>
  <cp:keywords/>
  <dc:description/>
  <cp:lastModifiedBy>MARIA ARRANZ FOMBELLIDA</cp:lastModifiedBy>
  <cp:revision/>
  <dcterms:created xsi:type="dcterms:W3CDTF">2021-05-29T11:26:47Z</dcterms:created>
  <dcterms:modified xsi:type="dcterms:W3CDTF">2021-06-09T18:20:50Z</dcterms:modified>
  <cp:category/>
  <cp:contentStatus/>
</cp:coreProperties>
</file>