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Organizado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<sst xmlns="http://schemas.openxmlformats.org/spreadsheetml/2006/main" count="280" uniqueCount="164">
  <si>
    <t>Tabela X - Dados obtidos da análise dos resistores comerciais utilizados no experimento</t>
  </si>
  <si>
    <t>Resistor</t>
  </si>
  <si>
    <t>Código de Cores</t>
  </si>
  <si>
    <t>Resistência Nominal (Ω)</t>
  </si>
  <si>
    <t>Tolerância (Ω)</t>
  </si>
  <si>
    <t>Valor Medido 1 ±  Erro (Ω)</t>
  </si>
  <si>
    <t>Valor Medido 2 ±  Erro (Ω)</t>
  </si>
  <si>
    <t>Valor Medido 3 ±  Erro (Ω)</t>
  </si>
  <si>
    <t>Média Valor Medido (Ω)</t>
  </si>
  <si>
    <t>Desvio Padrão (Ω)</t>
  </si>
  <si>
    <t>Erro da média em relação ao valor nominal (%)</t>
  </si>
  <si>
    <t>Erro (%) em relação ao desvio</t>
  </si>
  <si>
    <t>R1</t>
  </si>
  <si>
    <t>Marrom - Vermelho -  Dourado - Dourado</t>
  </si>
  <si>
    <t>1,2 ± 0,1</t>
  </si>
  <si>
    <t>1,3 ± 0,1</t>
  </si>
  <si>
    <t>R2</t>
  </si>
  <si>
    <t>Amarelo - Violeta - Marrom - Dourado</t>
  </si>
  <si>
    <t>465,7 ± 0,1</t>
  </si>
  <si>
    <t>467,8 ± 0,1</t>
  </si>
  <si>
    <t>466,3 ± 0,1</t>
  </si>
  <si>
    <t>R3</t>
  </si>
  <si>
    <t>Verde - Azul - Marrom - Dourado</t>
  </si>
  <si>
    <t>550,0 ± 0,1</t>
  </si>
  <si>
    <t>549,0 ± 0,1</t>
  </si>
  <si>
    <t>549,8 ± 0,1</t>
  </si>
  <si>
    <t>Potência Dissipada (W)</t>
  </si>
  <si>
    <t>Energia Gasta (Wh)</t>
  </si>
  <si>
    <t>R4</t>
  </si>
  <si>
    <t>Cinza - Vermelho - Marrom - Dourado</t>
  </si>
  <si>
    <t>799 ± 1</t>
  </si>
  <si>
    <t>804 ± 1</t>
  </si>
  <si>
    <t>803 ± 1</t>
  </si>
  <si>
    <t>R5</t>
  </si>
  <si>
    <t>Marrom - Preto - Vermelho - Dourado</t>
  </si>
  <si>
    <t>986 ± 1</t>
  </si>
  <si>
    <t>972 ± 1</t>
  </si>
  <si>
    <t>991 ± 1</t>
  </si>
  <si>
    <t>16,55 µ</t>
  </si>
  <si>
    <t>R6</t>
  </si>
  <si>
    <t>Vermelho - Vermelho - Vermelho - Dourado</t>
  </si>
  <si>
    <t>2181 ± 1</t>
  </si>
  <si>
    <t>2186 ± 1</t>
  </si>
  <si>
    <t>2192 ± 1</t>
  </si>
  <si>
    <t>Circuito Em Série</t>
  </si>
  <si>
    <t>11,04 n</t>
  </si>
  <si>
    <t>R7</t>
  </si>
  <si>
    <t>Marrom - Verde -  Verde - Dourado</t>
  </si>
  <si>
    <t>1528000 ± 1000</t>
  </si>
  <si>
    <t>1507000 ± 1000</t>
  </si>
  <si>
    <t>1621000 ± 1000</t>
  </si>
  <si>
    <t>6,18 n</t>
  </si>
  <si>
    <t>Fonte: autoria própria</t>
  </si>
  <si>
    <t>Tabela X - Valores da resistência nominal dos resistores utilizados</t>
  </si>
  <si>
    <t>5,19 n</t>
  </si>
  <si>
    <t>0,01 n</t>
  </si>
  <si>
    <t>1,5 MΩ</t>
  </si>
  <si>
    <t>1 kΩ</t>
  </si>
  <si>
    <t>560 Ω</t>
  </si>
  <si>
    <t>470 Ω</t>
  </si>
  <si>
    <t>1,2 Ω</t>
  </si>
  <si>
    <t>820 Ω</t>
  </si>
  <si>
    <t>2,2 kΩ</t>
  </si>
  <si>
    <t>9,05 n</t>
  </si>
  <si>
    <t>24,28 n</t>
  </si>
  <si>
    <t>Tabela X - Resistência equivalente para diferentes associações dos resistores utilizados</t>
  </si>
  <si>
    <t>Total</t>
  </si>
  <si>
    <t>Tipo de Associação</t>
  </si>
  <si>
    <t>Resistência Equivalente (Ω)</t>
  </si>
  <si>
    <t>Desvio Percentual (%)</t>
  </si>
  <si>
    <t>Tabela X - Queda de tensão em cada resistor do circuito alimentado por uma fonte de (5,0 ± 0,1) V</t>
  </si>
  <si>
    <t>Teórica</t>
  </si>
  <si>
    <t>Prática</t>
  </si>
  <si>
    <t>Queda Tensão (V)</t>
  </si>
  <si>
    <t>Série</t>
  </si>
  <si>
    <t>1,505 M</t>
  </si>
  <si>
    <t>(2,653 ± 0,001) M</t>
  </si>
  <si>
    <t>Teórico</t>
  </si>
  <si>
    <t xml:space="preserve">Prático </t>
  </si>
  <si>
    <t>Queda Teórica</t>
  </si>
  <si>
    <t>REQ</t>
  </si>
  <si>
    <t>Paralela</t>
  </si>
  <si>
    <t>(6,5 ± 0,1)</t>
  </si>
  <si>
    <t>5,051 ± 0,001</t>
  </si>
  <si>
    <t>3,32 m</t>
  </si>
  <si>
    <t>(3,07 ± 0,01) m</t>
  </si>
  <si>
    <t>Corrente Teórica</t>
  </si>
  <si>
    <t>1,86 m</t>
  </si>
  <si>
    <t>(1,69 ± 0,01) m</t>
  </si>
  <si>
    <t>1,56 m</t>
  </si>
  <si>
    <t>(1,43 ± 0,01) m</t>
  </si>
  <si>
    <t>0,00 m</t>
  </si>
  <si>
    <t>(0,00 ± 0,01) m</t>
  </si>
  <si>
    <t>-</t>
  </si>
  <si>
    <t>2,72 m</t>
  </si>
  <si>
    <t>(2,48 ± 0,01) m</t>
  </si>
  <si>
    <t>7,31 m</t>
  </si>
  <si>
    <t>(6,82 ± 0,01) m</t>
  </si>
  <si>
    <t>Tabela X - Corrente no circuito alimentado por uma fonte de (5,0 ± 0,1) V</t>
  </si>
  <si>
    <t>Corrente (A)</t>
  </si>
  <si>
    <t>Desv. Perc. (%)</t>
  </si>
  <si>
    <t>3,3 µ</t>
  </si>
  <si>
    <t>3,1 µ</t>
  </si>
  <si>
    <t>Fonte: autoria prórpia</t>
  </si>
  <si>
    <t>Tabela X - Potência dissipada em cada resistor do circuito alimentado por uma fonte de (5,0 ± 0,1) V</t>
  </si>
  <si>
    <t>J-2H</t>
  </si>
  <si>
    <t xml:space="preserve">Energia 2H = </t>
  </si>
  <si>
    <t>33,22 *10^(6) Wh</t>
  </si>
  <si>
    <t>Potenciômetro</t>
  </si>
  <si>
    <t>Tabela X - Corrente, tensão, corrente e potência no potenciômetro + resistor de 1,5 MΩ  ligado à uma fonte de (5,0 ± 0,1) V</t>
  </si>
  <si>
    <t>Resistência (Ω)</t>
  </si>
  <si>
    <t>2 k</t>
  </si>
  <si>
    <t>( 2,008 ± 0,001) k</t>
  </si>
  <si>
    <t>6 k</t>
  </si>
  <si>
    <t>(6,003 ± 0,001) k</t>
  </si>
  <si>
    <t>10 k</t>
  </si>
  <si>
    <t>(0,00924 ± 0,00001) M</t>
  </si>
  <si>
    <t>Tabela X - Corrente no potenciômetro + resistor de 1,5 MΩ  ligado à uma fonte de (5,0 ± 0,1) V</t>
  </si>
  <si>
    <t>Intensidade de Corrente (µA)</t>
  </si>
  <si>
    <t>Prática ± 0,1</t>
  </si>
  <si>
    <t>Tabela X - Queda de tensão no potenciômetro + resistor de 1,5 MΩ  ligado à uma fonte de (5,0 ± 0,1) V</t>
  </si>
  <si>
    <t>Queda de Tensão (mV)</t>
  </si>
  <si>
    <t>Prática ± 0,01</t>
  </si>
  <si>
    <t>Tabela X - Potência no potenciômetro + resistor de 1,5 MΩ  ligado à uma fonte de (5,0 ± 0,1) V</t>
  </si>
  <si>
    <t>Potência (nW)</t>
  </si>
  <si>
    <t>Corrente</t>
  </si>
  <si>
    <t>Queda de Tensão</t>
  </si>
  <si>
    <t>Potência Teórica</t>
  </si>
  <si>
    <t>Potencia Prática</t>
  </si>
  <si>
    <t>Código de cores</t>
  </si>
  <si>
    <t>Valor medido 01 (Ω)</t>
  </si>
  <si>
    <t>Valor Medido 02 (Ω)</t>
  </si>
  <si>
    <t>Valor medido 03 (Ω)</t>
  </si>
  <si>
    <t>Média Valor medido (Ω)</t>
  </si>
  <si>
    <t>Desvio Valor medido (Ω)</t>
  </si>
  <si>
    <t>Erro (%) em relação a média</t>
  </si>
  <si>
    <t>Valor nominal (Ω)</t>
  </si>
  <si>
    <t>Tolerância (±)</t>
  </si>
  <si>
    <t>Resistencia</t>
  </si>
  <si>
    <t>1,5M</t>
  </si>
  <si>
    <t>1k</t>
  </si>
  <si>
    <t>2,2k</t>
  </si>
  <si>
    <t>2,653M</t>
  </si>
  <si>
    <t>Prático</t>
  </si>
  <si>
    <t>3,07m</t>
  </si>
  <si>
    <t>1,69m</t>
  </si>
  <si>
    <t>1,43m</t>
  </si>
  <si>
    <t>0,00m</t>
  </si>
  <si>
    <t>2,48m</t>
  </si>
  <si>
    <t>6,82m</t>
  </si>
  <si>
    <t>potenciometro</t>
  </si>
  <si>
    <t>resistencia</t>
  </si>
  <si>
    <t>corrente</t>
  </si>
  <si>
    <t>tensao</t>
  </si>
  <si>
    <t>teorico kohm</t>
  </si>
  <si>
    <t>pratico kohm</t>
  </si>
  <si>
    <t>teorico</t>
  </si>
  <si>
    <t>pratico</t>
  </si>
  <si>
    <t>Prático (microA)</t>
  </si>
  <si>
    <t>3,1microA</t>
  </si>
  <si>
    <t>6,26mV</t>
  </si>
  <si>
    <t>18,75mV</t>
  </si>
  <si>
    <t>Paralelo</t>
  </si>
  <si>
    <t>28,85mV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</si>
</sst>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00"/>
    <numFmt numFmtId="166" formatCode="0.000"/>
    <numFmt numFmtId="167" formatCode="0.0000000000000"/>
    <numFmt numFmtId="168" formatCode="0.0000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0"/>
      <name val="Arial"/>
      <scheme val="minor"/>
    </font>
    <font>
      <b/>
      <color rgb="FFFFFFF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/>
    </xf>
    <xf borderId="3" fillId="0" fontId="1" numFmtId="164" xfId="0" applyAlignment="1" applyBorder="1" applyFont="1" applyNumberFormat="1">
      <alignment horizontal="center" readingOrder="0"/>
    </xf>
    <xf borderId="3" fillId="0" fontId="1" numFmtId="164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/>
    </xf>
    <xf borderId="0" fillId="0" fontId="1" numFmtId="0" xfId="0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3" fillId="0" fontId="1" numFmtId="166" xfId="0" applyAlignment="1" applyBorder="1" applyFont="1" applyNumberFormat="1">
      <alignment horizontal="center" readingOrder="0" shrinkToFit="0" vertical="center" wrapText="1"/>
    </xf>
    <xf borderId="3" fillId="0" fontId="1" numFmtId="2" xfId="0" applyAlignment="1" applyBorder="1" applyFont="1" applyNumberFormat="1">
      <alignment horizontal="center" vertical="center"/>
    </xf>
    <xf borderId="0" fillId="0" fontId="1" numFmtId="166" xfId="0" applyFont="1" applyNumberFormat="1"/>
    <xf borderId="3" fillId="0" fontId="1" numFmtId="165" xfId="0" applyAlignment="1" applyBorder="1" applyFont="1" applyNumberFormat="1">
      <alignment horizontal="center" readingOrder="0" shrinkToFit="0" vertical="center" wrapText="1"/>
    </xf>
    <xf borderId="3" fillId="0" fontId="1" numFmtId="2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3" fillId="0" fontId="1" numFmtId="2" xfId="0" applyAlignment="1" applyBorder="1" applyFont="1" applyNumberFormat="1">
      <alignment horizontal="center" shrinkToFit="0" vertical="center" wrapText="1"/>
    </xf>
    <xf borderId="0" fillId="0" fontId="1" numFmtId="167" xfId="0" applyFont="1" applyNumberFormat="1"/>
    <xf borderId="0" fillId="0" fontId="1" numFmtId="168" xfId="0" applyFont="1" applyNumberFormat="1"/>
    <xf borderId="0" fillId="2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3" fillId="0" fontId="1" numFmtId="2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/>
    </xf>
    <xf borderId="3" fillId="0" fontId="1" numFmtId="165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5" max="7" width="14.5"/>
    <col customWidth="1" min="8" max="9" width="13.63"/>
    <col customWidth="1" min="22" max="22" width="18.25"/>
  </cols>
  <sheetData>
    <row r="1" ht="17.25" customHeight="1"/>
    <row r="2" ht="17.25" customHeight="1"/>
    <row r="3" ht="17.25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ht="27.7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ht="27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4" t="s">
        <v>12</v>
      </c>
      <c r="B6" s="5" t="s">
        <v>13</v>
      </c>
      <c r="C6" s="4">
        <v>1.2</v>
      </c>
      <c r="D6" s="6">
        <f t="shared" ref="D6:D12" si="2">C6*5/100</f>
        <v>0.06</v>
      </c>
      <c r="E6" s="7" t="s">
        <v>14</v>
      </c>
      <c r="F6" s="7" t="s">
        <v>14</v>
      </c>
      <c r="G6" s="4" t="s">
        <v>15</v>
      </c>
      <c r="H6" s="8">
        <f>AVERAGEA(1.2,1.2,1.3)</f>
        <v>1.233333333</v>
      </c>
      <c r="I6" s="9">
        <f>STDEVA(1.2,1.2,1.3)</f>
        <v>0.05773502692</v>
      </c>
      <c r="J6" s="10">
        <f t="shared" ref="J6:K6" si="1">ABS(C6-H6)/C6*100</f>
        <v>2.777777778</v>
      </c>
      <c r="K6" s="10">
        <f t="shared" si="1"/>
        <v>3.774955135</v>
      </c>
    </row>
    <row r="7">
      <c r="A7" s="4" t="s">
        <v>16</v>
      </c>
      <c r="B7" s="5" t="s">
        <v>17</v>
      </c>
      <c r="C7" s="4">
        <v>470.0</v>
      </c>
      <c r="D7" s="6">
        <f t="shared" si="2"/>
        <v>23.5</v>
      </c>
      <c r="E7" s="4" t="s">
        <v>18</v>
      </c>
      <c r="F7" s="4" t="s">
        <v>19</v>
      </c>
      <c r="G7" s="4" t="s">
        <v>20</v>
      </c>
      <c r="H7" s="8">
        <f>AVERAGEA(465.7,467.8,466.3)</f>
        <v>466.6</v>
      </c>
      <c r="I7" s="9">
        <f>STDEVA(465.7,467.8,466.3)</f>
        <v>1.081665383</v>
      </c>
      <c r="J7" s="10">
        <f t="shared" ref="J7:K7" si="3">ABS(C7-H7)/C7*100</f>
        <v>0.7234042553</v>
      </c>
      <c r="K7" s="10">
        <f t="shared" si="3"/>
        <v>95.39716858</v>
      </c>
    </row>
    <row r="8">
      <c r="A8" s="4" t="s">
        <v>21</v>
      </c>
      <c r="B8" s="5" t="s">
        <v>22</v>
      </c>
      <c r="C8" s="4">
        <v>560.0</v>
      </c>
      <c r="D8" s="6">
        <f t="shared" si="2"/>
        <v>28</v>
      </c>
      <c r="E8" s="4" t="s">
        <v>23</v>
      </c>
      <c r="F8" s="4" t="s">
        <v>24</v>
      </c>
      <c r="G8" s="4" t="s">
        <v>25</v>
      </c>
      <c r="H8" s="8">
        <f>AVERAGEA(550,549,549.8)</f>
        <v>549.6</v>
      </c>
      <c r="I8" s="9">
        <f>STDEVA(550,549,549.8)</f>
        <v>0.5291502622</v>
      </c>
      <c r="J8" s="10">
        <f t="shared" ref="J8:K8" si="4">ABS(C8-H8)/C8*100</f>
        <v>1.857142857</v>
      </c>
      <c r="K8" s="10">
        <f t="shared" si="4"/>
        <v>98.11017763</v>
      </c>
      <c r="W8" s="2" t="s">
        <v>1</v>
      </c>
      <c r="X8" s="2" t="s">
        <v>26</v>
      </c>
      <c r="Y8" s="2" t="s">
        <v>27</v>
      </c>
    </row>
    <row r="9">
      <c r="A9" s="4" t="s">
        <v>28</v>
      </c>
      <c r="B9" s="5" t="s">
        <v>29</v>
      </c>
      <c r="C9" s="4">
        <v>820.0</v>
      </c>
      <c r="D9" s="6">
        <f t="shared" si="2"/>
        <v>41</v>
      </c>
      <c r="E9" s="4" t="s">
        <v>30</v>
      </c>
      <c r="F9" s="4" t="s">
        <v>31</v>
      </c>
      <c r="G9" s="4" t="s">
        <v>32</v>
      </c>
      <c r="H9" s="8">
        <f>AVERAGEA(799,804,803)</f>
        <v>802</v>
      </c>
      <c r="I9" s="9">
        <f>STDEVA(799,804,803)</f>
        <v>2.645751311</v>
      </c>
      <c r="J9" s="10">
        <f t="shared" ref="J9:K9" si="5">ABS(C9-H9)/C9*100</f>
        <v>2.195121951</v>
      </c>
      <c r="K9" s="10">
        <f t="shared" si="5"/>
        <v>93.54694802</v>
      </c>
      <c r="W9" s="3"/>
      <c r="X9" s="3"/>
      <c r="Y9" s="3"/>
    </row>
    <row r="10">
      <c r="A10" s="4" t="s">
        <v>33</v>
      </c>
      <c r="B10" s="5" t="s">
        <v>34</v>
      </c>
      <c r="C10" s="4">
        <v>1000.0</v>
      </c>
      <c r="D10" s="6">
        <f t="shared" si="2"/>
        <v>50</v>
      </c>
      <c r="E10" s="4" t="s">
        <v>35</v>
      </c>
      <c r="F10" s="4" t="s">
        <v>36</v>
      </c>
      <c r="G10" s="4" t="s">
        <v>37</v>
      </c>
      <c r="H10" s="8">
        <f>AVERAGEA(986,972,991)</f>
        <v>983</v>
      </c>
      <c r="I10" s="9">
        <f>STDEVA(986,972,991)</f>
        <v>9.848857802</v>
      </c>
      <c r="J10" s="10">
        <f t="shared" ref="J10:K10" si="6">ABS(C10-H10)/C10*100</f>
        <v>1.7</v>
      </c>
      <c r="K10" s="10">
        <f t="shared" si="6"/>
        <v>80.3022844</v>
      </c>
      <c r="W10" s="11" t="s">
        <v>12</v>
      </c>
      <c r="X10" s="11" t="s">
        <v>38</v>
      </c>
      <c r="Y10" s="12">
        <v>33.1</v>
      </c>
    </row>
    <row r="11">
      <c r="A11" s="4" t="s">
        <v>39</v>
      </c>
      <c r="B11" s="5" t="s">
        <v>40</v>
      </c>
      <c r="C11" s="4">
        <v>2200.0</v>
      </c>
      <c r="D11" s="6">
        <f t="shared" si="2"/>
        <v>110</v>
      </c>
      <c r="E11" s="4" t="s">
        <v>41</v>
      </c>
      <c r="F11" s="4" t="s">
        <v>42</v>
      </c>
      <c r="G11" s="4" t="s">
        <v>43</v>
      </c>
      <c r="H11" s="8">
        <f>AVERAGEA(2181,2186,2192)</f>
        <v>2186.333333</v>
      </c>
      <c r="I11" s="9">
        <f>STDEVA(2181,2186,2192)</f>
        <v>5.507570547</v>
      </c>
      <c r="J11" s="10">
        <f t="shared" ref="J11:K11" si="7">ABS(C11-H11)/C11*100</f>
        <v>0.6212121212</v>
      </c>
      <c r="K11" s="10">
        <f t="shared" si="7"/>
        <v>94.99311768</v>
      </c>
      <c r="M11" s="13" t="s">
        <v>44</v>
      </c>
      <c r="W11" s="11" t="s">
        <v>16</v>
      </c>
      <c r="X11" s="11" t="s">
        <v>45</v>
      </c>
      <c r="Y11" s="12">
        <v>22.08</v>
      </c>
    </row>
    <row r="12">
      <c r="A12" s="4" t="s">
        <v>46</v>
      </c>
      <c r="B12" s="5" t="s">
        <v>47</v>
      </c>
      <c r="C12" s="4">
        <v>1500000.0</v>
      </c>
      <c r="D12" s="6">
        <f t="shared" si="2"/>
        <v>75000</v>
      </c>
      <c r="E12" s="4" t="s">
        <v>48</v>
      </c>
      <c r="F12" s="4" t="s">
        <v>49</v>
      </c>
      <c r="G12" s="4" t="s">
        <v>50</v>
      </c>
      <c r="H12" s="8">
        <f>AVERAGEA(1528000,1507000,1621000)</f>
        <v>1552000</v>
      </c>
      <c r="I12" s="9">
        <f>STDEVA(1528000,1507000,1621000)</f>
        <v>60671.24525</v>
      </c>
      <c r="J12" s="10">
        <f t="shared" ref="J12:K12" si="8">ABS(C12-H12)/C12*100</f>
        <v>3.466666667</v>
      </c>
      <c r="K12" s="10">
        <f t="shared" si="8"/>
        <v>19.10500634</v>
      </c>
      <c r="W12" s="11" t="s">
        <v>21</v>
      </c>
      <c r="X12" s="11" t="s">
        <v>51</v>
      </c>
      <c r="Y12" s="12">
        <v>12.36</v>
      </c>
    </row>
    <row r="13" ht="18.0" customHeight="1">
      <c r="A13" s="14" t="s">
        <v>52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M13" s="15" t="s">
        <v>53</v>
      </c>
      <c r="N13" s="15"/>
      <c r="O13" s="15"/>
      <c r="P13" s="15"/>
      <c r="Q13" s="15"/>
      <c r="R13" s="15"/>
      <c r="S13" s="15"/>
      <c r="W13" s="11" t="s">
        <v>28</v>
      </c>
      <c r="X13" s="11" t="s">
        <v>54</v>
      </c>
      <c r="Y13" s="12">
        <v>10.38</v>
      </c>
    </row>
    <row r="14" ht="17.25" customHeight="1">
      <c r="M14" s="4" t="s">
        <v>12</v>
      </c>
      <c r="N14" s="4" t="s">
        <v>16</v>
      </c>
      <c r="O14" s="4" t="s">
        <v>21</v>
      </c>
      <c r="P14" s="4" t="s">
        <v>28</v>
      </c>
      <c r="Q14" s="4" t="s">
        <v>33</v>
      </c>
      <c r="R14" s="4" t="s">
        <v>39</v>
      </c>
      <c r="S14" s="4" t="s">
        <v>46</v>
      </c>
      <c r="W14" s="11" t="s">
        <v>33</v>
      </c>
      <c r="X14" s="11" t="s">
        <v>55</v>
      </c>
      <c r="Y14" s="12">
        <v>0.02</v>
      </c>
    </row>
    <row r="15" ht="17.25" customHeight="1">
      <c r="M15" s="4" t="s">
        <v>56</v>
      </c>
      <c r="N15" s="4" t="s">
        <v>57</v>
      </c>
      <c r="O15" s="4" t="s">
        <v>58</v>
      </c>
      <c r="P15" s="4" t="s">
        <v>59</v>
      </c>
      <c r="Q15" s="4" t="s">
        <v>60</v>
      </c>
      <c r="R15" s="4" t="s">
        <v>61</v>
      </c>
      <c r="S15" s="4" t="s">
        <v>62</v>
      </c>
      <c r="W15" s="11" t="s">
        <v>39</v>
      </c>
      <c r="X15" s="11" t="s">
        <v>63</v>
      </c>
      <c r="Y15" s="12">
        <v>18.1</v>
      </c>
    </row>
    <row r="16">
      <c r="M16" s="15" t="s">
        <v>52</v>
      </c>
      <c r="N16" s="16"/>
      <c r="O16" s="16"/>
      <c r="P16" s="16"/>
      <c r="Q16" s="16"/>
      <c r="R16" s="16"/>
      <c r="S16" s="16"/>
      <c r="T16" s="17"/>
      <c r="U16" s="17"/>
      <c r="V16" s="17"/>
      <c r="W16" s="11" t="s">
        <v>46</v>
      </c>
      <c r="X16" s="11" t="s">
        <v>64</v>
      </c>
      <c r="Y16" s="12">
        <v>48.56</v>
      </c>
    </row>
    <row r="17">
      <c r="E17" s="12" t="s">
        <v>65</v>
      </c>
      <c r="W17" s="12" t="s">
        <v>66</v>
      </c>
      <c r="X17" s="12">
        <v>55.75</v>
      </c>
      <c r="Y17" s="18">
        <f>X17*2</f>
        <v>111.5</v>
      </c>
    </row>
    <row r="18">
      <c r="E18" s="2" t="s">
        <v>67</v>
      </c>
      <c r="F18" s="19" t="s">
        <v>68</v>
      </c>
      <c r="G18" s="20"/>
      <c r="H18" s="2" t="s">
        <v>69</v>
      </c>
      <c r="M18" s="12" t="s">
        <v>70</v>
      </c>
    </row>
    <row r="19">
      <c r="E19" s="3"/>
      <c r="F19" s="21" t="s">
        <v>71</v>
      </c>
      <c r="G19" s="21" t="s">
        <v>72</v>
      </c>
      <c r="H19" s="3"/>
      <c r="M19" s="2" t="s">
        <v>1</v>
      </c>
      <c r="N19" s="19" t="s">
        <v>73</v>
      </c>
      <c r="O19" s="20"/>
      <c r="P19" s="2" t="s">
        <v>69</v>
      </c>
    </row>
    <row r="20">
      <c r="E20" s="21" t="s">
        <v>74</v>
      </c>
      <c r="F20" s="21" t="s">
        <v>75</v>
      </c>
      <c r="G20" s="21" t="s">
        <v>76</v>
      </c>
      <c r="H20" s="22">
        <f>ABS(1.505-2.653)/1.505*100</f>
        <v>76.27906977</v>
      </c>
      <c r="M20" s="3"/>
      <c r="N20" s="21" t="s">
        <v>77</v>
      </c>
      <c r="O20" s="21" t="s">
        <v>78</v>
      </c>
      <c r="P20" s="3"/>
      <c r="R20" s="12" t="s">
        <v>79</v>
      </c>
      <c r="S20" s="12" t="s">
        <v>80</v>
      </c>
    </row>
    <row r="21">
      <c r="E21" s="21" t="s">
        <v>81</v>
      </c>
      <c r="F21" s="21">
        <v>1.2</v>
      </c>
      <c r="G21" s="21" t="s">
        <v>82</v>
      </c>
      <c r="H21" s="22">
        <f>ABS(1.2-6.5)/1.2*100</f>
        <v>441.6666667</v>
      </c>
      <c r="M21" s="21" t="s">
        <v>12</v>
      </c>
      <c r="N21" s="23">
        <v>4.983</v>
      </c>
      <c r="O21" s="21" t="s">
        <v>83</v>
      </c>
      <c r="P21" s="24">
        <f>ABS(4.983-5.051)/4.983*100</f>
        <v>1.364639775</v>
      </c>
      <c r="R21" s="25">
        <f>1500000*S23</f>
        <v>4.983219176</v>
      </c>
      <c r="S21" s="18">
        <f>SUM(1500000,1000,560,470,1.2,820,2200)</f>
        <v>1505051.2</v>
      </c>
    </row>
    <row r="22">
      <c r="E22" s="12" t="s">
        <v>52</v>
      </c>
      <c r="M22" s="21" t="s">
        <v>16</v>
      </c>
      <c r="N22" s="26" t="s">
        <v>84</v>
      </c>
      <c r="O22" s="21" t="s">
        <v>85</v>
      </c>
      <c r="P22" s="24">
        <f>ABS(3.32-3.07)/3.32*100</f>
        <v>7.530120482</v>
      </c>
      <c r="R22" s="25">
        <f>1000*S23*1000</f>
        <v>3.322146117</v>
      </c>
      <c r="S22" s="12" t="s">
        <v>86</v>
      </c>
      <c r="T22" s="12" t="s">
        <v>86</v>
      </c>
    </row>
    <row r="23">
      <c r="M23" s="21" t="s">
        <v>21</v>
      </c>
      <c r="N23" s="26" t="s">
        <v>87</v>
      </c>
      <c r="O23" s="21" t="s">
        <v>88</v>
      </c>
      <c r="P23" s="24">
        <f>ABS(1.86-1.69)/1.86*100</f>
        <v>9.139784946</v>
      </c>
      <c r="R23" s="25">
        <f>560*S23*1000</f>
        <v>1.860401826</v>
      </c>
      <c r="S23" s="18">
        <f>5/S21</f>
        <v>0.000003322146117</v>
      </c>
      <c r="T23" s="18">
        <f>S23*1000000</f>
        <v>3.322146117</v>
      </c>
    </row>
    <row r="24">
      <c r="E24" s="18">
        <f>SUM(C6:C12)</f>
        <v>1505051.2</v>
      </c>
      <c r="F24" s="18">
        <f>E24/1000000</f>
        <v>1.5050512</v>
      </c>
      <c r="M24" s="21" t="s">
        <v>28</v>
      </c>
      <c r="N24" s="26" t="s">
        <v>89</v>
      </c>
      <c r="O24" s="21" t="s">
        <v>90</v>
      </c>
      <c r="P24" s="24">
        <f>ABS(1.56-1.43)/1.56*100</f>
        <v>8.333333333</v>
      </c>
      <c r="R24" s="25">
        <f>470*S23*1000</f>
        <v>1.561408675</v>
      </c>
    </row>
    <row r="25">
      <c r="M25" s="21" t="s">
        <v>33</v>
      </c>
      <c r="N25" s="26" t="s">
        <v>91</v>
      </c>
      <c r="O25" s="21" t="s">
        <v>92</v>
      </c>
      <c r="P25" s="27" t="s">
        <v>93</v>
      </c>
      <c r="R25" s="25">
        <f>1.2*S23*1000</f>
        <v>0.00398657534</v>
      </c>
    </row>
    <row r="26">
      <c r="E26" s="18">
        <f t="shared" ref="E26:E32" si="9">1/C6</f>
        <v>0.8333333333</v>
      </c>
      <c r="F26" s="18">
        <f>SUM(E26:E32)</f>
        <v>0.8399214315</v>
      </c>
      <c r="G26" s="18">
        <f>1/F26</f>
        <v>1.190587551</v>
      </c>
      <c r="M26" s="21" t="s">
        <v>39</v>
      </c>
      <c r="N26" s="26" t="s">
        <v>94</v>
      </c>
      <c r="O26" s="21" t="s">
        <v>95</v>
      </c>
      <c r="P26" s="24">
        <f>ABS(2.72-2.48)/2.72*100</f>
        <v>8.823529412</v>
      </c>
      <c r="R26" s="25">
        <f>S23*820*1000</f>
        <v>2.724159816</v>
      </c>
    </row>
    <row r="27">
      <c r="E27" s="18">
        <f t="shared" si="9"/>
        <v>0.002127659574</v>
      </c>
      <c r="M27" s="21" t="s">
        <v>46</v>
      </c>
      <c r="N27" s="26" t="s">
        <v>96</v>
      </c>
      <c r="O27" s="21" t="s">
        <v>97</v>
      </c>
      <c r="P27" s="24">
        <f>ABS(7.31-6.82)/7.31*100</f>
        <v>6.703146375</v>
      </c>
      <c r="R27" s="25">
        <f>S23*2200*1000</f>
        <v>7.308721457</v>
      </c>
    </row>
    <row r="28">
      <c r="E28" s="18">
        <f t="shared" si="9"/>
        <v>0.001785714286</v>
      </c>
      <c r="M28" s="12" t="s">
        <v>52</v>
      </c>
    </row>
    <row r="29">
      <c r="E29" s="18">
        <f t="shared" si="9"/>
        <v>0.001219512195</v>
      </c>
    </row>
    <row r="30">
      <c r="E30" s="18">
        <f t="shared" si="9"/>
        <v>0.001</v>
      </c>
      <c r="M30" s="12" t="s">
        <v>98</v>
      </c>
    </row>
    <row r="31">
      <c r="E31" s="18">
        <f t="shared" si="9"/>
        <v>0.0004545454545</v>
      </c>
      <c r="M31" s="19" t="s">
        <v>99</v>
      </c>
      <c r="N31" s="28"/>
      <c r="O31" s="20"/>
    </row>
    <row r="32">
      <c r="E32" s="18">
        <f t="shared" si="9"/>
        <v>0.0000006666666667</v>
      </c>
      <c r="M32" s="21" t="s">
        <v>71</v>
      </c>
      <c r="N32" s="21" t="s">
        <v>72</v>
      </c>
      <c r="O32" s="21" t="s">
        <v>100</v>
      </c>
    </row>
    <row r="33">
      <c r="M33" s="21" t="s">
        <v>101</v>
      </c>
      <c r="N33" s="21" t="s">
        <v>102</v>
      </c>
      <c r="O33" s="29">
        <f>ABS(3.3-3.1)/3.3*100</f>
        <v>6.060606061</v>
      </c>
    </row>
    <row r="34">
      <c r="M34" s="12" t="s">
        <v>103</v>
      </c>
    </row>
    <row r="36">
      <c r="M36" s="12" t="s">
        <v>104</v>
      </c>
    </row>
    <row r="37">
      <c r="M37" s="2" t="s">
        <v>1</v>
      </c>
      <c r="N37" s="2" t="s">
        <v>26</v>
      </c>
    </row>
    <row r="38">
      <c r="M38" s="3"/>
      <c r="N38" s="3"/>
    </row>
    <row r="39">
      <c r="M39" s="11" t="s">
        <v>12</v>
      </c>
      <c r="N39" s="11" t="s">
        <v>38</v>
      </c>
      <c r="Q39" s="30">
        <f>POW(S23,2)*1500000</f>
        <v>0.00001655498223</v>
      </c>
      <c r="R39" s="18">
        <f>Q39*1000000</f>
        <v>16.55498223</v>
      </c>
    </row>
    <row r="40">
      <c r="M40" s="11" t="s">
        <v>16</v>
      </c>
      <c r="N40" s="11" t="s">
        <v>45</v>
      </c>
      <c r="Q40" s="30">
        <f>POW(S23,2)*1000</f>
        <v>0.00000001103665482</v>
      </c>
      <c r="R40" s="31">
        <f t="shared" ref="R40:R45" si="10">Q40*1000000000</f>
        <v>11.03665482</v>
      </c>
    </row>
    <row r="41">
      <c r="M41" s="11" t="s">
        <v>21</v>
      </c>
      <c r="N41" s="11" t="s">
        <v>51</v>
      </c>
      <c r="Q41" s="30">
        <f>POW(S23,2)*560</f>
        <v>0.000000006180526701</v>
      </c>
      <c r="R41" s="31">
        <f t="shared" si="10"/>
        <v>6.180526701</v>
      </c>
    </row>
    <row r="42">
      <c r="M42" s="11" t="s">
        <v>28</v>
      </c>
      <c r="N42" s="11" t="s">
        <v>54</v>
      </c>
      <c r="Q42" s="30">
        <f>POW(S23,2)*470</f>
        <v>0.000000005187227767</v>
      </c>
      <c r="R42" s="31">
        <f t="shared" si="10"/>
        <v>5.187227767</v>
      </c>
    </row>
    <row r="43">
      <c r="M43" s="11" t="s">
        <v>33</v>
      </c>
      <c r="N43" s="11" t="s">
        <v>55</v>
      </c>
      <c r="Q43" s="30">
        <f>POW(S23,2)*1.2</f>
        <v>0</v>
      </c>
      <c r="R43" s="31">
        <f t="shared" si="10"/>
        <v>0.01324398579</v>
      </c>
    </row>
    <row r="44">
      <c r="M44" s="11" t="s">
        <v>39</v>
      </c>
      <c r="N44" s="11" t="s">
        <v>63</v>
      </c>
      <c r="Q44" s="30">
        <f>POW(S23,2)*820</f>
        <v>0.000000009050056955</v>
      </c>
      <c r="R44" s="31">
        <f t="shared" si="10"/>
        <v>9.050056955</v>
      </c>
    </row>
    <row r="45">
      <c r="M45" s="11" t="s">
        <v>46</v>
      </c>
      <c r="N45" s="11" t="s">
        <v>64</v>
      </c>
      <c r="Q45" s="30">
        <f>POW(S23,2)*2200</f>
        <v>0.00000002428064061</v>
      </c>
      <c r="R45" s="31">
        <f t="shared" si="10"/>
        <v>24.28064061</v>
      </c>
    </row>
    <row r="46">
      <c r="M46" s="12" t="s">
        <v>52</v>
      </c>
      <c r="P46" s="12" t="s">
        <v>66</v>
      </c>
      <c r="Q46" s="30">
        <f>SUM(Q39:Q45)</f>
        <v>0.00001661073059</v>
      </c>
    </row>
    <row r="47">
      <c r="P47" s="12" t="s">
        <v>105</v>
      </c>
      <c r="Q47" s="18">
        <f>Q46*2*60*60</f>
        <v>0.1195972602</v>
      </c>
      <c r="R47" s="18">
        <f>Q47/3600</f>
        <v>0.00003322146117</v>
      </c>
      <c r="S47" s="18">
        <f>R47*1000000</f>
        <v>33.22146117</v>
      </c>
    </row>
    <row r="48">
      <c r="R48" s="12" t="s">
        <v>106</v>
      </c>
      <c r="S48" s="12" t="s">
        <v>107</v>
      </c>
    </row>
    <row r="50">
      <c r="U50" s="32" t="s">
        <v>108</v>
      </c>
    </row>
    <row r="54">
      <c r="U54" s="12" t="s">
        <v>109</v>
      </c>
    </row>
    <row r="55">
      <c r="U55" s="19" t="s">
        <v>110</v>
      </c>
      <c r="V55" s="20"/>
      <c r="W55" s="2" t="s">
        <v>69</v>
      </c>
      <c r="AC55" s="33"/>
    </row>
    <row r="56">
      <c r="U56" s="21" t="s">
        <v>71</v>
      </c>
      <c r="V56" s="21" t="s">
        <v>72</v>
      </c>
      <c r="W56" s="3"/>
      <c r="AC56" s="33"/>
    </row>
    <row r="57">
      <c r="U57" s="21" t="s">
        <v>111</v>
      </c>
      <c r="V57" s="21" t="s">
        <v>112</v>
      </c>
      <c r="W57" s="34">
        <f>ABS(2000-2008)/2000*100</f>
        <v>0.4</v>
      </c>
      <c r="AC57" s="35"/>
    </row>
    <row r="58">
      <c r="U58" s="21" t="s">
        <v>113</v>
      </c>
      <c r="V58" s="21" t="s">
        <v>114</v>
      </c>
      <c r="W58" s="29">
        <f>ABS(6000-6003)/6000*100</f>
        <v>0.05</v>
      </c>
      <c r="AC58" s="35"/>
    </row>
    <row r="59">
      <c r="U59" s="21" t="s">
        <v>115</v>
      </c>
      <c r="V59" s="21" t="s">
        <v>116</v>
      </c>
      <c r="W59" s="29">
        <f>ABS(10000-9240)/10000*100</f>
        <v>7.6</v>
      </c>
      <c r="AC59" s="35"/>
    </row>
    <row r="60">
      <c r="U60" s="12" t="s">
        <v>52</v>
      </c>
    </row>
    <row r="63">
      <c r="U63" s="12" t="s">
        <v>117</v>
      </c>
    </row>
    <row r="64">
      <c r="T64" s="19" t="s">
        <v>110</v>
      </c>
      <c r="U64" s="19" t="s">
        <v>118</v>
      </c>
      <c r="V64" s="20"/>
      <c r="W64" s="2" t="s">
        <v>69</v>
      </c>
    </row>
    <row r="65">
      <c r="T65" s="21" t="s">
        <v>71</v>
      </c>
      <c r="U65" s="21" t="s">
        <v>71</v>
      </c>
      <c r="V65" s="21" t="s">
        <v>119</v>
      </c>
      <c r="W65" s="3"/>
    </row>
    <row r="66">
      <c r="T66" s="21" t="s">
        <v>111</v>
      </c>
      <c r="U66" s="21">
        <v>3.3</v>
      </c>
      <c r="V66" s="21">
        <v>3.1</v>
      </c>
      <c r="W66" s="29">
        <f t="shared" ref="W66:W68" si="11">ABS(U66-V66)/U66*100</f>
        <v>6.060606061</v>
      </c>
      <c r="Z66" s="36"/>
    </row>
    <row r="67">
      <c r="T67" s="21" t="s">
        <v>113</v>
      </c>
      <c r="U67" s="21">
        <v>3.3</v>
      </c>
      <c r="V67" s="21">
        <v>3.1</v>
      </c>
      <c r="W67" s="29">
        <f t="shared" si="11"/>
        <v>6.060606061</v>
      </c>
      <c r="Z67" s="36"/>
    </row>
    <row r="68">
      <c r="T68" s="21" t="s">
        <v>115</v>
      </c>
      <c r="U68" s="21">
        <v>3.3</v>
      </c>
      <c r="V68" s="21">
        <v>3.1</v>
      </c>
      <c r="W68" s="29">
        <f t="shared" si="11"/>
        <v>6.060606061</v>
      </c>
      <c r="Z68" s="36"/>
    </row>
    <row r="69">
      <c r="U69" s="12" t="s">
        <v>52</v>
      </c>
    </row>
    <row r="71">
      <c r="U71" s="12" t="s">
        <v>120</v>
      </c>
    </row>
    <row r="72">
      <c r="T72" s="19" t="s">
        <v>110</v>
      </c>
      <c r="U72" s="19" t="s">
        <v>121</v>
      </c>
      <c r="V72" s="20"/>
      <c r="W72" s="2" t="s">
        <v>69</v>
      </c>
    </row>
    <row r="73">
      <c r="T73" s="21" t="s">
        <v>71</v>
      </c>
      <c r="U73" s="21" t="s">
        <v>71</v>
      </c>
      <c r="V73" s="21" t="s">
        <v>122</v>
      </c>
      <c r="W73" s="3"/>
    </row>
    <row r="74">
      <c r="T74" s="21" t="s">
        <v>111</v>
      </c>
      <c r="U74" s="21">
        <v>6.66</v>
      </c>
      <c r="V74" s="34">
        <v>6.26</v>
      </c>
      <c r="W74" s="29">
        <f t="shared" ref="W74:W76" si="12">ABS(U74-V74)/U74*100</f>
        <v>6.006006006</v>
      </c>
    </row>
    <row r="75">
      <c r="T75" s="21" t="s">
        <v>113</v>
      </c>
      <c r="U75" s="21">
        <v>19.92</v>
      </c>
      <c r="V75" s="21">
        <v>18.75</v>
      </c>
      <c r="W75" s="29">
        <f t="shared" si="12"/>
        <v>5.873493976</v>
      </c>
    </row>
    <row r="76">
      <c r="T76" s="21" t="s">
        <v>115</v>
      </c>
      <c r="U76" s="21">
        <v>33.11</v>
      </c>
      <c r="V76" s="21">
        <v>28.85</v>
      </c>
      <c r="W76" s="29">
        <f t="shared" si="12"/>
        <v>12.86620356</v>
      </c>
    </row>
    <row r="77">
      <c r="U77" s="12" t="s">
        <v>52</v>
      </c>
    </row>
    <row r="79">
      <c r="U79" s="12" t="s">
        <v>123</v>
      </c>
    </row>
    <row r="80">
      <c r="T80" s="19" t="s">
        <v>110</v>
      </c>
      <c r="U80" s="19" t="s">
        <v>124</v>
      </c>
      <c r="V80" s="20"/>
      <c r="W80" s="2" t="s">
        <v>69</v>
      </c>
    </row>
    <row r="81">
      <c r="T81" s="21" t="s">
        <v>71</v>
      </c>
      <c r="U81" s="21" t="s">
        <v>71</v>
      </c>
      <c r="V81" s="21" t="s">
        <v>72</v>
      </c>
      <c r="W81" s="3"/>
    </row>
    <row r="82">
      <c r="T82" s="21" t="s">
        <v>111</v>
      </c>
      <c r="U82" s="21">
        <v>22.16</v>
      </c>
      <c r="V82" s="34">
        <v>19.3</v>
      </c>
      <c r="W82" s="34">
        <v>12.91</v>
      </c>
    </row>
    <row r="83">
      <c r="T83" s="21" t="s">
        <v>113</v>
      </c>
      <c r="U83" s="21">
        <v>66.14</v>
      </c>
      <c r="V83" s="34">
        <v>57.69</v>
      </c>
      <c r="W83" s="34">
        <v>12.78</v>
      </c>
    </row>
    <row r="84">
      <c r="T84" s="21" t="s">
        <v>115</v>
      </c>
      <c r="U84" s="21">
        <v>109.64</v>
      </c>
      <c r="V84" s="34">
        <v>88.8</v>
      </c>
      <c r="W84" s="34">
        <v>19.01</v>
      </c>
    </row>
    <row r="85">
      <c r="U85" s="12" t="s">
        <v>52</v>
      </c>
    </row>
    <row r="88">
      <c r="U88" s="18">
        <f>2*1000+1500000</f>
        <v>1502000</v>
      </c>
      <c r="V88" s="18">
        <f t="shared" ref="V88:V90" si="13">5/U88</f>
        <v>0.000003328894807</v>
      </c>
      <c r="W88" s="18">
        <f t="shared" ref="W88:W90" si="14">V88*1000000</f>
        <v>3.328894807</v>
      </c>
      <c r="X88" s="12">
        <v>2000.0</v>
      </c>
      <c r="Y88" s="18">
        <f t="shared" ref="Y88:Y90" si="15">V88*X88</f>
        <v>0.006657789614</v>
      </c>
      <c r="Z88" s="18">
        <f t="shared" ref="Z88:Z90" si="16">Y88*1000</f>
        <v>6.657789614</v>
      </c>
    </row>
    <row r="89">
      <c r="U89" s="18">
        <f>6*1000+1500000</f>
        <v>1506000</v>
      </c>
      <c r="V89" s="18">
        <f t="shared" si="13"/>
        <v>0.000003320053121</v>
      </c>
      <c r="W89" s="18">
        <f t="shared" si="14"/>
        <v>3.320053121</v>
      </c>
      <c r="X89" s="12">
        <v>6000.0</v>
      </c>
      <c r="Y89" s="18">
        <f t="shared" si="15"/>
        <v>0.01992031873</v>
      </c>
      <c r="Z89" s="18">
        <f t="shared" si="16"/>
        <v>19.92031873</v>
      </c>
    </row>
    <row r="90">
      <c r="U90" s="18">
        <f>10*1000+1500000</f>
        <v>1510000</v>
      </c>
      <c r="V90" s="18">
        <f t="shared" si="13"/>
        <v>0.000003311258278</v>
      </c>
      <c r="W90" s="18">
        <f t="shared" si="14"/>
        <v>3.311258278</v>
      </c>
      <c r="X90" s="12">
        <v>10000.0</v>
      </c>
      <c r="Y90" s="18">
        <f t="shared" si="15"/>
        <v>0.03311258278</v>
      </c>
      <c r="Z90" s="18">
        <f t="shared" si="16"/>
        <v>33.11258278</v>
      </c>
    </row>
    <row r="91">
      <c r="U91" s="12" t="s">
        <v>125</v>
      </c>
      <c r="X91" s="12" t="s">
        <v>126</v>
      </c>
    </row>
    <row r="92">
      <c r="U92" s="18">
        <f t="shared" ref="U92:U94" si="17">POW(V88,2)</f>
        <v>0</v>
      </c>
      <c r="V92" s="12">
        <v>2000.0</v>
      </c>
      <c r="W92" s="18">
        <f t="shared" ref="W92:W94" si="18">V92*U92</f>
        <v>0.00000002216308127</v>
      </c>
      <c r="X92" s="18">
        <f t="shared" ref="X92:X94" si="19">W92*1000000000</f>
        <v>22.16308127</v>
      </c>
    </row>
    <row r="93">
      <c r="U93" s="18">
        <f t="shared" si="17"/>
        <v>0</v>
      </c>
      <c r="V93" s="12">
        <v>6000.0</v>
      </c>
      <c r="W93" s="18">
        <f t="shared" si="18"/>
        <v>0.00000006613651635</v>
      </c>
      <c r="X93" s="18">
        <f t="shared" si="19"/>
        <v>66.13651635</v>
      </c>
    </row>
    <row r="94">
      <c r="U94" s="18">
        <f t="shared" si="17"/>
        <v>0</v>
      </c>
      <c r="V94" s="12">
        <v>10000.0</v>
      </c>
      <c r="W94" s="18">
        <f t="shared" si="18"/>
        <v>0.0000001096443138</v>
      </c>
      <c r="X94" s="18">
        <f t="shared" si="19"/>
        <v>109.6443138</v>
      </c>
    </row>
    <row r="95">
      <c r="U95" s="12" t="s">
        <v>127</v>
      </c>
    </row>
    <row r="96">
      <c r="U96" s="18">
        <f t="shared" ref="U96:U98" si="20">V66/1000000</f>
        <v>0.0000031</v>
      </c>
      <c r="V96" s="18">
        <f t="shared" ref="V96:V98" si="21">pow(U96,2)</f>
        <v>0</v>
      </c>
      <c r="W96" s="12">
        <v>2008.0</v>
      </c>
      <c r="X96" s="18">
        <f t="shared" ref="X96:X98" si="22">V96*W96</f>
        <v>0.00000001929688</v>
      </c>
      <c r="Y96" s="18">
        <f t="shared" ref="Y96:Y98" si="23">X96*1000000000</f>
        <v>19.29688</v>
      </c>
    </row>
    <row r="97">
      <c r="U97" s="18">
        <f t="shared" si="20"/>
        <v>0.0000031</v>
      </c>
      <c r="V97" s="18">
        <f t="shared" si="21"/>
        <v>0</v>
      </c>
      <c r="W97" s="12">
        <v>6003.0</v>
      </c>
      <c r="X97" s="18">
        <f t="shared" si="22"/>
        <v>0.00000005768883</v>
      </c>
      <c r="Y97" s="18">
        <f t="shared" si="23"/>
        <v>57.68883</v>
      </c>
    </row>
    <row r="98">
      <c r="U98" s="18">
        <f t="shared" si="20"/>
        <v>0.0000031</v>
      </c>
      <c r="V98" s="18">
        <f t="shared" si="21"/>
        <v>0</v>
      </c>
      <c r="W98" s="12">
        <v>9240.0</v>
      </c>
      <c r="X98" s="18">
        <f t="shared" si="22"/>
        <v>0.0000000887964</v>
      </c>
      <c r="Y98" s="18">
        <f t="shared" si="23"/>
        <v>88.7964</v>
      </c>
    </row>
    <row r="99">
      <c r="U99" s="12" t="s">
        <v>128</v>
      </c>
    </row>
  </sheetData>
  <mergeCells count="36">
    <mergeCell ref="H4:H5"/>
    <mergeCell ref="I4:I5"/>
    <mergeCell ref="J4:J5"/>
    <mergeCell ref="K4:K5"/>
    <mergeCell ref="W8:W9"/>
    <mergeCell ref="X8:X9"/>
    <mergeCell ref="Y8:Y9"/>
    <mergeCell ref="M11:T11"/>
    <mergeCell ref="A4:A5"/>
    <mergeCell ref="B4:B5"/>
    <mergeCell ref="C4:C5"/>
    <mergeCell ref="D4:D5"/>
    <mergeCell ref="E4:E5"/>
    <mergeCell ref="F4:F5"/>
    <mergeCell ref="G4:G5"/>
    <mergeCell ref="E18:E19"/>
    <mergeCell ref="F18:G18"/>
    <mergeCell ref="H18:H19"/>
    <mergeCell ref="M19:M20"/>
    <mergeCell ref="N19:O19"/>
    <mergeCell ref="P19:P20"/>
    <mergeCell ref="M31:O31"/>
    <mergeCell ref="U72:V72"/>
    <mergeCell ref="W72:W73"/>
    <mergeCell ref="U80:V80"/>
    <mergeCell ref="W80:W81"/>
    <mergeCell ref="U91:W91"/>
    <mergeCell ref="X91:Z91"/>
    <mergeCell ref="U95:X95"/>
    <mergeCell ref="M37:M38"/>
    <mergeCell ref="N37:N38"/>
    <mergeCell ref="U50:AB50"/>
    <mergeCell ref="U55:V55"/>
    <mergeCell ref="W55:W56"/>
    <mergeCell ref="U64:V64"/>
    <mergeCell ref="W64:W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</cols>
  <sheetData>
    <row r="2" ht="24.75" customHeight="1">
      <c r="B2" s="37" t="s">
        <v>1</v>
      </c>
      <c r="C2" s="37" t="s">
        <v>129</v>
      </c>
      <c r="E2" s="37" t="s">
        <v>130</v>
      </c>
      <c r="F2" s="37" t="s">
        <v>131</v>
      </c>
      <c r="G2" s="37" t="s">
        <v>132</v>
      </c>
      <c r="H2" s="37" t="s">
        <v>133</v>
      </c>
      <c r="I2" s="37" t="s">
        <v>134</v>
      </c>
      <c r="J2" s="37" t="s">
        <v>135</v>
      </c>
      <c r="K2" s="37" t="s">
        <v>11</v>
      </c>
    </row>
    <row r="3">
      <c r="A3" s="12" t="s">
        <v>2</v>
      </c>
      <c r="C3" s="37" t="s">
        <v>136</v>
      </c>
      <c r="D3" s="37" t="s">
        <v>137</v>
      </c>
    </row>
    <row r="4">
      <c r="A4" s="12" t="s">
        <v>13</v>
      </c>
      <c r="B4" s="38">
        <v>1.0</v>
      </c>
      <c r="C4" s="38">
        <v>1.2</v>
      </c>
      <c r="D4" s="39">
        <f t="shared" ref="D4:D10" si="1">C4*5/100</f>
        <v>0.06</v>
      </c>
      <c r="E4" s="40">
        <v>1.2</v>
      </c>
      <c r="F4" s="40">
        <v>1.2</v>
      </c>
      <c r="G4" s="38">
        <v>1.3</v>
      </c>
      <c r="H4" s="41">
        <f t="shared" ref="H4:H10" si="2">AVERAGE(E4:G4)</f>
        <v>1.233333333</v>
      </c>
      <c r="I4" s="41">
        <f t="shared" ref="I4:I10" si="3">STDEVA(E4:G4)</f>
        <v>0.05773502692</v>
      </c>
      <c r="J4" s="41">
        <f t="shared" ref="J4:J10" si="4">abs(C4-H4)/C4*100</f>
        <v>2.777777778</v>
      </c>
      <c r="K4" s="41">
        <f t="shared" ref="K4:K10" si="5">abs(I4-D4)/D4*100</f>
        <v>3.774955135</v>
      </c>
    </row>
    <row r="5">
      <c r="A5" s="12" t="s">
        <v>17</v>
      </c>
      <c r="B5" s="38">
        <v>2.0</v>
      </c>
      <c r="C5" s="38">
        <v>470.0</v>
      </c>
      <c r="D5" s="39">
        <f t="shared" si="1"/>
        <v>23.5</v>
      </c>
      <c r="E5" s="38">
        <v>465.7</v>
      </c>
      <c r="F5" s="38">
        <v>467.8</v>
      </c>
      <c r="G5" s="38">
        <v>466.3</v>
      </c>
      <c r="H5" s="41">
        <f t="shared" si="2"/>
        <v>466.6</v>
      </c>
      <c r="I5" s="41">
        <f t="shared" si="3"/>
        <v>1.081665383</v>
      </c>
      <c r="J5" s="41">
        <f t="shared" si="4"/>
        <v>0.7234042553</v>
      </c>
      <c r="K5" s="41">
        <f t="shared" si="5"/>
        <v>95.39716858</v>
      </c>
    </row>
    <row r="6">
      <c r="A6" s="12" t="s">
        <v>22</v>
      </c>
      <c r="B6" s="38">
        <v>3.0</v>
      </c>
      <c r="C6" s="38">
        <v>560.0</v>
      </c>
      <c r="D6" s="39">
        <f t="shared" si="1"/>
        <v>28</v>
      </c>
      <c r="E6" s="38">
        <v>550.0</v>
      </c>
      <c r="F6" s="38">
        <v>549.0</v>
      </c>
      <c r="G6" s="38">
        <v>549.8</v>
      </c>
      <c r="H6" s="41">
        <f t="shared" si="2"/>
        <v>549.6</v>
      </c>
      <c r="I6" s="41">
        <f t="shared" si="3"/>
        <v>0.5291502622</v>
      </c>
      <c r="J6" s="41">
        <f t="shared" si="4"/>
        <v>1.857142857</v>
      </c>
      <c r="K6" s="41">
        <f t="shared" si="5"/>
        <v>98.11017763</v>
      </c>
    </row>
    <row r="7">
      <c r="A7" s="12" t="s">
        <v>29</v>
      </c>
      <c r="B7" s="38">
        <v>4.0</v>
      </c>
      <c r="C7" s="38">
        <v>820.0</v>
      </c>
      <c r="D7" s="39">
        <f t="shared" si="1"/>
        <v>41</v>
      </c>
      <c r="E7" s="38">
        <v>799.0</v>
      </c>
      <c r="F7" s="38">
        <v>804.0</v>
      </c>
      <c r="G7" s="38">
        <v>803.0</v>
      </c>
      <c r="H7" s="41">
        <f t="shared" si="2"/>
        <v>802</v>
      </c>
      <c r="I7" s="41">
        <f t="shared" si="3"/>
        <v>2.645751311</v>
      </c>
      <c r="J7" s="41">
        <f t="shared" si="4"/>
        <v>2.195121951</v>
      </c>
      <c r="K7" s="41">
        <f t="shared" si="5"/>
        <v>93.54694802</v>
      </c>
    </row>
    <row r="8">
      <c r="A8" s="12" t="s">
        <v>34</v>
      </c>
      <c r="B8" s="38">
        <v>5.0</v>
      </c>
      <c r="C8" s="38">
        <v>1000.0</v>
      </c>
      <c r="D8" s="39">
        <f t="shared" si="1"/>
        <v>50</v>
      </c>
      <c r="E8" s="38">
        <v>986.0</v>
      </c>
      <c r="F8" s="38">
        <v>972.0</v>
      </c>
      <c r="G8" s="38">
        <v>991.0</v>
      </c>
      <c r="H8" s="41">
        <f t="shared" si="2"/>
        <v>983</v>
      </c>
      <c r="I8" s="41">
        <f t="shared" si="3"/>
        <v>9.848857802</v>
      </c>
      <c r="J8" s="41">
        <f t="shared" si="4"/>
        <v>1.7</v>
      </c>
      <c r="K8" s="41">
        <f t="shared" si="5"/>
        <v>80.3022844</v>
      </c>
    </row>
    <row r="9">
      <c r="A9" s="12" t="s">
        <v>40</v>
      </c>
      <c r="B9" s="38">
        <v>6.0</v>
      </c>
      <c r="C9" s="38">
        <v>2200.0</v>
      </c>
      <c r="D9" s="39">
        <f t="shared" si="1"/>
        <v>110</v>
      </c>
      <c r="E9" s="38">
        <v>2181.0</v>
      </c>
      <c r="F9" s="38">
        <v>2186.0</v>
      </c>
      <c r="G9" s="38">
        <v>2192.0</v>
      </c>
      <c r="H9" s="41">
        <f t="shared" si="2"/>
        <v>2186.333333</v>
      </c>
      <c r="I9" s="41">
        <f t="shared" si="3"/>
        <v>5.507570547</v>
      </c>
      <c r="J9" s="41">
        <f t="shared" si="4"/>
        <v>0.6212121212</v>
      </c>
      <c r="K9" s="41">
        <f t="shared" si="5"/>
        <v>94.99311768</v>
      </c>
    </row>
    <row r="10">
      <c r="A10" s="12" t="s">
        <v>47</v>
      </c>
      <c r="B10" s="38">
        <v>7.0</v>
      </c>
      <c r="C10" s="38">
        <v>1500000.0</v>
      </c>
      <c r="D10" s="39">
        <f t="shared" si="1"/>
        <v>75000</v>
      </c>
      <c r="E10" s="38">
        <v>1528000.0</v>
      </c>
      <c r="F10" s="38">
        <v>1507000.0</v>
      </c>
      <c r="G10" s="38">
        <v>1621000.0</v>
      </c>
      <c r="H10" s="41">
        <f t="shared" si="2"/>
        <v>1552000</v>
      </c>
      <c r="I10" s="41">
        <f t="shared" si="3"/>
        <v>60671.24525</v>
      </c>
      <c r="J10" s="41">
        <f t="shared" si="4"/>
        <v>3.466666667</v>
      </c>
      <c r="K10" s="41">
        <f t="shared" si="5"/>
        <v>19.10500634</v>
      </c>
    </row>
    <row r="11">
      <c r="B11" s="39"/>
      <c r="C11" s="39"/>
      <c r="D11" s="39"/>
      <c r="E11" s="39"/>
      <c r="F11" s="39"/>
      <c r="G11" s="39"/>
      <c r="H11" s="39"/>
      <c r="I11" s="39"/>
      <c r="J11" s="39"/>
    </row>
    <row r="12">
      <c r="H12" s="18">
        <f>H4/C4</f>
        <v>1.027777778</v>
      </c>
      <c r="I12" s="18">
        <f>H12-1</f>
        <v>0.02777777778</v>
      </c>
    </row>
    <row r="16">
      <c r="C16" s="38" t="s">
        <v>12</v>
      </c>
      <c r="D16" s="38" t="s">
        <v>16</v>
      </c>
      <c r="E16" s="38" t="s">
        <v>21</v>
      </c>
      <c r="F16" s="38" t="s">
        <v>28</v>
      </c>
      <c r="G16" s="38" t="s">
        <v>33</v>
      </c>
      <c r="H16" s="38" t="s">
        <v>39</v>
      </c>
      <c r="I16" s="38" t="s">
        <v>46</v>
      </c>
      <c r="K16" s="12" t="s">
        <v>138</v>
      </c>
      <c r="L16" s="12" t="s">
        <v>74</v>
      </c>
      <c r="M16" s="12" t="s">
        <v>81</v>
      </c>
    </row>
    <row r="17">
      <c r="C17" s="38" t="s">
        <v>139</v>
      </c>
      <c r="D17" s="38" t="s">
        <v>140</v>
      </c>
      <c r="E17" s="38">
        <v>560.0</v>
      </c>
      <c r="F17" s="38">
        <v>470.0</v>
      </c>
      <c r="G17" s="38">
        <v>1.2</v>
      </c>
      <c r="H17" s="38">
        <v>820.0</v>
      </c>
      <c r="I17" s="38" t="s">
        <v>141</v>
      </c>
      <c r="K17" s="12" t="s">
        <v>71</v>
      </c>
    </row>
    <row r="18">
      <c r="K18" s="12" t="s">
        <v>72</v>
      </c>
      <c r="L18" s="12" t="s">
        <v>142</v>
      </c>
      <c r="M18" s="12">
        <v>6.5</v>
      </c>
    </row>
    <row r="20">
      <c r="C20" s="2" t="s">
        <v>1</v>
      </c>
      <c r="D20" s="19" t="s">
        <v>73</v>
      </c>
      <c r="E20" s="20"/>
    </row>
    <row r="21">
      <c r="C21" s="3"/>
      <c r="D21" s="21" t="s">
        <v>77</v>
      </c>
      <c r="E21" s="21" t="s">
        <v>143</v>
      </c>
    </row>
    <row r="22">
      <c r="C22" s="21" t="s">
        <v>12</v>
      </c>
      <c r="D22" s="42">
        <f>C34*C10</f>
        <v>4.983219176</v>
      </c>
      <c r="E22" s="21">
        <v>5.051</v>
      </c>
    </row>
    <row r="23">
      <c r="C23" s="21" t="s">
        <v>16</v>
      </c>
      <c r="D23" s="42">
        <f>C34*C8</f>
        <v>0.003322146117</v>
      </c>
      <c r="E23" s="21" t="s">
        <v>144</v>
      </c>
    </row>
    <row r="24">
      <c r="C24" s="21" t="s">
        <v>21</v>
      </c>
      <c r="D24" s="42">
        <f>C34*C6</f>
        <v>0.001860401826</v>
      </c>
      <c r="E24" s="21" t="s">
        <v>145</v>
      </c>
    </row>
    <row r="25">
      <c r="C25" s="21" t="s">
        <v>28</v>
      </c>
      <c r="D25" s="42">
        <f>C34*C5</f>
        <v>0.001561408675</v>
      </c>
      <c r="E25" s="21" t="s">
        <v>146</v>
      </c>
    </row>
    <row r="26">
      <c r="C26" s="21" t="s">
        <v>33</v>
      </c>
      <c r="D26" s="42">
        <f>C34*C4</f>
        <v>0.00000398657534</v>
      </c>
      <c r="E26" s="21" t="s">
        <v>147</v>
      </c>
    </row>
    <row r="27">
      <c r="C27" s="21" t="s">
        <v>39</v>
      </c>
      <c r="D27" s="42">
        <f>C34*C7</f>
        <v>0.002724159816</v>
      </c>
      <c r="E27" s="21" t="s">
        <v>148</v>
      </c>
    </row>
    <row r="28">
      <c r="C28" s="21" t="s">
        <v>46</v>
      </c>
      <c r="D28" s="42">
        <f>C34*C9</f>
        <v>0.007308721457</v>
      </c>
      <c r="E28" s="21" t="s">
        <v>149</v>
      </c>
    </row>
    <row r="30">
      <c r="G30" s="12" t="s">
        <v>150</v>
      </c>
      <c r="L30" s="12">
        <f>0.0000031*2000</f>
        <v>0.0062</v>
      </c>
    </row>
    <row r="31">
      <c r="G31" s="12" t="s">
        <v>151</v>
      </c>
      <c r="I31" s="12" t="s">
        <v>152</v>
      </c>
      <c r="K31" s="12" t="s">
        <v>153</v>
      </c>
    </row>
    <row r="32">
      <c r="C32" s="43" t="s">
        <v>125</v>
      </c>
      <c r="D32" s="22"/>
      <c r="G32" s="12" t="s">
        <v>154</v>
      </c>
      <c r="H32" s="12" t="s">
        <v>155</v>
      </c>
      <c r="I32" s="12" t="s">
        <v>156</v>
      </c>
      <c r="J32" s="12" t="s">
        <v>157</v>
      </c>
      <c r="K32" s="12" t="s">
        <v>156</v>
      </c>
      <c r="L32" s="12" t="s">
        <v>157</v>
      </c>
    </row>
    <row r="33">
      <c r="C33" s="43" t="s">
        <v>77</v>
      </c>
      <c r="D33" s="43" t="s">
        <v>158</v>
      </c>
      <c r="G33" s="12">
        <v>2.0</v>
      </c>
      <c r="H33" s="12">
        <v>2.008</v>
      </c>
      <c r="J33" s="12" t="s">
        <v>159</v>
      </c>
      <c r="L33" s="44" t="s">
        <v>160</v>
      </c>
    </row>
    <row r="34">
      <c r="B34" s="12" t="s">
        <v>74</v>
      </c>
      <c r="C34" s="22">
        <f>5/SUM(C4:C10)</f>
        <v>0.000003322146117</v>
      </c>
      <c r="D34" s="43">
        <v>3.1E-6</v>
      </c>
      <c r="G34" s="12">
        <v>6.0</v>
      </c>
      <c r="H34" s="12">
        <v>6.003</v>
      </c>
      <c r="J34" s="12" t="s">
        <v>159</v>
      </c>
      <c r="L34" s="12" t="s">
        <v>161</v>
      </c>
    </row>
    <row r="35">
      <c r="B35" s="12" t="s">
        <v>162</v>
      </c>
      <c r="G35" s="12">
        <v>10.0</v>
      </c>
      <c r="H35" s="12">
        <v>0.924</v>
      </c>
      <c r="J35" s="12" t="s">
        <v>159</v>
      </c>
      <c r="L35" s="12" t="s">
        <v>163</v>
      </c>
    </row>
  </sheetData>
  <mergeCells count="11">
    <mergeCell ref="J2:J3"/>
    <mergeCell ref="K2:K3"/>
    <mergeCell ref="C20:C21"/>
    <mergeCell ref="D20:E20"/>
    <mergeCell ref="B2:B3"/>
    <mergeCell ref="C2:D2"/>
    <mergeCell ref="E2:E3"/>
    <mergeCell ref="F2:F3"/>
    <mergeCell ref="G2:G3"/>
    <mergeCell ref="H2:H3"/>
    <mergeCell ref="I2:I3"/>
  </mergeCells>
  <drawing r:id="rId1"/>
</worksheet>
</file>