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IE_PRESENT\MONTHLY_OUTPUT_GENIE\Traps\traps_original_files\"/>
    </mc:Choice>
  </mc:AlternateContent>
  <xr:revisionPtr revIDLastSave="0" documentId="8_{9908CDC3-0499-4956-A739-F5A66A63DA23}" xr6:coauthVersionLast="43" xr6:coauthVersionMax="43" xr10:uidLastSave="{00000000-0000-0000-0000-000000000000}"/>
  <bookViews>
    <workbookView xWindow="-108" yWindow="-108" windowWidth="23256" windowHeight="12576"/>
  </bookViews>
  <sheets>
    <sheet name="Sargasso_trap_foram_flux" sheetId="1" r:id="rId1"/>
  </sheets>
  <calcPr calcId="0"/>
</workbook>
</file>

<file path=xl/calcChain.xml><?xml version="1.0" encoding="utf-8"?>
<calcChain xmlns="http://schemas.openxmlformats.org/spreadsheetml/2006/main">
  <c r="Q98" i="1" l="1"/>
  <c r="P98" i="1"/>
  <c r="Q97" i="1"/>
  <c r="P97" i="1"/>
  <c r="Q96" i="1"/>
  <c r="P96" i="1"/>
  <c r="Q95" i="1"/>
  <c r="P95" i="1"/>
  <c r="Q94" i="1"/>
  <c r="P94" i="1"/>
  <c r="P78" i="1"/>
  <c r="P77" i="1"/>
  <c r="Q93" i="1"/>
  <c r="P93" i="1"/>
  <c r="Q92" i="1"/>
  <c r="P92" i="1"/>
  <c r="P91" i="1"/>
  <c r="Q90" i="1"/>
  <c r="Q91" i="1"/>
  <c r="P90" i="1"/>
  <c r="Q89" i="1"/>
  <c r="P89" i="1"/>
  <c r="P88" i="1"/>
  <c r="Q88" i="1"/>
  <c r="Q87" i="1"/>
  <c r="P87" i="1"/>
  <c r="P86" i="1"/>
  <c r="Q86" i="1"/>
  <c r="Q85" i="1"/>
  <c r="P85" i="1"/>
  <c r="Q84" i="1"/>
  <c r="P84" i="1"/>
  <c r="Q83" i="1"/>
  <c r="P83" i="1"/>
  <c r="Q82" i="1"/>
  <c r="P82" i="1"/>
  <c r="P70" i="1"/>
  <c r="Q70" i="1" s="1"/>
  <c r="P68" i="1"/>
  <c r="Q68" i="1" s="1"/>
  <c r="P66" i="1"/>
  <c r="Q66" i="1" s="1"/>
  <c r="P60" i="1"/>
  <c r="Q60" i="1" s="1"/>
  <c r="N31" i="1"/>
  <c r="O31" i="1" s="1"/>
  <c r="P33" i="1" s="1"/>
  <c r="Q33" i="1" s="1"/>
  <c r="N32" i="1"/>
  <c r="O32" i="1" s="1"/>
  <c r="N33" i="1"/>
  <c r="O33" i="1"/>
  <c r="P39" i="1" s="1"/>
  <c r="Q39" i="1" s="1"/>
  <c r="N34" i="1"/>
  <c r="O34" i="1" s="1"/>
  <c r="N35" i="1"/>
  <c r="P43" i="1" s="1"/>
  <c r="N36" i="1"/>
  <c r="N37" i="1"/>
  <c r="P48" i="1" s="1"/>
  <c r="Q48" i="1" s="1"/>
  <c r="N38" i="1"/>
  <c r="N39" i="1"/>
  <c r="P53" i="1" s="1"/>
  <c r="Q53" i="1" s="1"/>
  <c r="N40" i="1"/>
  <c r="N41" i="1"/>
  <c r="O41" i="1" s="1"/>
  <c r="N42" i="1"/>
  <c r="P59" i="1" s="1"/>
  <c r="Q59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30" i="1"/>
  <c r="O30" i="1" s="1"/>
  <c r="P72" i="1" l="1"/>
  <c r="Q72" i="1" s="1"/>
  <c r="P76" i="1"/>
  <c r="Q76" i="1" s="1"/>
  <c r="P62" i="1"/>
  <c r="Q62" i="1" s="1"/>
  <c r="P64" i="1"/>
  <c r="Q64" i="1" s="1"/>
  <c r="P61" i="1"/>
  <c r="Q61" i="1" s="1"/>
  <c r="P65" i="1"/>
  <c r="Q65" i="1" s="1"/>
  <c r="P69" i="1"/>
  <c r="Q69" i="1" s="1"/>
  <c r="P71" i="1"/>
  <c r="Q71" i="1" s="1"/>
  <c r="P73" i="1"/>
  <c r="Q73" i="1" s="1"/>
  <c r="P74" i="1"/>
  <c r="Q74" i="1" s="1"/>
  <c r="P79" i="1"/>
  <c r="Q79" i="1" s="1"/>
  <c r="P81" i="1"/>
  <c r="Q81" i="1" s="1"/>
  <c r="P63" i="1"/>
  <c r="Q63" i="1" s="1"/>
  <c r="P67" i="1"/>
  <c r="Q67" i="1" s="1"/>
  <c r="P75" i="1"/>
  <c r="Q75" i="1" s="1"/>
  <c r="P80" i="1"/>
  <c r="Q80" i="1" s="1"/>
  <c r="P55" i="1"/>
  <c r="Q55" i="1" s="1"/>
  <c r="P47" i="1"/>
  <c r="Q47" i="1" s="1"/>
  <c r="P57" i="1"/>
  <c r="Q57" i="1" s="1"/>
  <c r="P51" i="1"/>
  <c r="O35" i="1"/>
  <c r="O37" i="1"/>
  <c r="O39" i="1"/>
  <c r="P31" i="1"/>
  <c r="Q31" i="1" s="1"/>
  <c r="P32" i="1"/>
  <c r="Q32" i="1" s="1"/>
  <c r="P30" i="1"/>
  <c r="Q30" i="1" s="1"/>
  <c r="P41" i="1"/>
  <c r="Q41" i="1" s="1"/>
  <c r="P40" i="1"/>
  <c r="Q40" i="1" s="1"/>
  <c r="P42" i="1"/>
  <c r="Q42" i="1" s="1"/>
  <c r="P35" i="1"/>
  <c r="Q35" i="1" s="1"/>
  <c r="P36" i="1"/>
  <c r="Q36" i="1" s="1"/>
  <c r="Q43" i="1"/>
  <c r="P49" i="1"/>
  <c r="Q49" i="1" s="1"/>
  <c r="P58" i="1"/>
  <c r="Q58" i="1" s="1"/>
  <c r="P34" i="1"/>
  <c r="Q34" i="1" s="1"/>
  <c r="P38" i="1"/>
  <c r="Q38" i="1" s="1"/>
  <c r="P44" i="1"/>
  <c r="Q44" i="1" s="1"/>
  <c r="P46" i="1"/>
  <c r="Q46" i="1" s="1"/>
  <c r="P50" i="1"/>
  <c r="Q50" i="1" s="1"/>
  <c r="P52" i="1"/>
  <c r="Q52" i="1" s="1"/>
  <c r="P54" i="1"/>
  <c r="Q54" i="1" s="1"/>
  <c r="P56" i="1"/>
  <c r="Q56" i="1" s="1"/>
  <c r="O42" i="1"/>
  <c r="O40" i="1"/>
  <c r="O38" i="1"/>
  <c r="O36" i="1"/>
  <c r="P37" i="1"/>
  <c r="Q37" i="1" s="1"/>
  <c r="P45" i="1"/>
  <c r="Q45" i="1" s="1"/>
  <c r="Q51" i="1" l="1"/>
  <c r="Q77" i="1"/>
  <c r="Q78" i="1"/>
</calcChain>
</file>

<file path=xl/sharedStrings.xml><?xml version="1.0" encoding="utf-8"?>
<sst xmlns="http://schemas.openxmlformats.org/spreadsheetml/2006/main" count="155" uniqueCount="98">
  <si>
    <t>/* DATA DESCRIPTION:</t>
  </si>
  <si>
    <t>Citation:</t>
  </si>
  <si>
    <t>Zaric, Snjezana (2005): Planktic foraminiferal flux of sediment trap Sargasso_trap. PANGAEA, https://doi.org/10.1594/PANGAEA.264520</t>
  </si>
  <si>
    <t>Related to:</t>
  </si>
  <si>
    <t>Deuser, Werner G (1987): Seasonal variations in isotopic composition and deep-water fluxes of the tests of perennially abundant planktonic foraminifera of the Sargasso Sea: results from sediment-trap collections and their paleoceanographic significance. Journal of Foraminiferal Research, 17, 14-27, https://doi.org/10.2113/gsjfr.17.1.14</t>
  </si>
  <si>
    <t>Deuser, Werner G; Ross, E H (1989): Seasonally abundant planktonic foraminifera of the Sargasso Sea: succession, deep-water fluxes, isotopic compositions, and paleoceanographic implications. Journal of Foraminiferal Research, 19, 268-293, https://doi.org/10.2113/gsjfr.19.4.268</t>
  </si>
  <si>
    <t>Deuser, Werner G; Ross, E H; Hemleben, Christoph; Spindler, Michael (1981): Seasonal changes in species composition, numbers, mass, size, and isotopic composition of planktonic foraminifera settling into the deep Sargasso Sea. Palaeogeography, Palaeoclimatology, Palaeoecology, 33(1-3), 103-127, https://doi.org/10.1016/0031-0182(81)90034-1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</si>
  <si>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</si>
  <si>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</si>
  <si>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</si>
  <si>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</si>
  <si>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32.083000 * LONGITUDE: -64.250000</t>
  </si>
  <si>
    <t>DATE/TIME START: 1978-04-06T00:00:00 * DATE/TIME END: 1984-03-28T00:00:00</t>
  </si>
  <si>
    <t>MINIMUM DEPTH, water: 3200 m * MAXIMUM DEPTH, water: 3200 m</t>
  </si>
  <si>
    <t>Event(s):</t>
  </si>
  <si>
    <t>Sargasso_trap (Sargasso) * LATITUDE: 32.083000 * LONGITUDE: -64.250000 * DATE/TIME: 1978-04-06T00:00:00 * ELEVATION: -4200.0 m * LOCATION: Sargasso Sea * DEVICE: Trap (TRAP)</t>
  </si>
  <si>
    <t>Comment:</t>
  </si>
  <si>
    <t>Counting &gt;125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</si>
  <si>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</si>
  <si>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</si>
  <si>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</si>
  <si>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</si>
  <si>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</si>
  <si>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</si>
  <si>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3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</si>
  <si>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</si>
  <si>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</si>
  <si>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</si>
  <si>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Globigerinella siphonifera flux [#/m**2/day] (G. siphonifera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</si>
  <si>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</si>
  <si>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Globigerinoides ruber pink flux [#/m**2/day] (G. ruber p flux) * PI: Zaric, Snjezana (zaric@uni-bremen.de) * METHOD: Calculated, see reference(s)</t>
  </si>
  <si>
    <t>Globigerinoides sacculifer flux [#/m**2/day] (G. sacculifer flux) * PI: Zaric, Snjezana (zaric@uni-bremen.de) * METHOD: Calculated, see reference(s)</t>
  </si>
  <si>
    <t>License:</t>
  </si>
  <si>
    <t>Creative Commons Attribution 3.0 Unported (CC-BY-3.0)</t>
  </si>
  <si>
    <t>Size:</t>
  </si>
  <si>
    <t>341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</si>
  <si>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</si>
  <si>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</si>
  <si>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</si>
  <si>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</si>
  <si>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</si>
  <si>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</si>
  <si>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</si>
  <si>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</si>
  <si>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</si>
  <si>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</si>
  <si>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siphonifera flux [#/m**2/day]</t>
  </si>
  <si>
    <t>G. ruber w flux [#/m**2/day]</t>
  </si>
  <si>
    <t>G. ruber p flux [#/m**2/day]</t>
  </si>
  <si>
    <t>G. sacculifer flux [#/m**2/day]</t>
  </si>
  <si>
    <t>Sargasso-1</t>
  </si>
  <si>
    <t>Sargasso-2</t>
  </si>
  <si>
    <t>Sargasso-3</t>
  </si>
  <si>
    <t>Sargasso-5</t>
  </si>
  <si>
    <t>Sargasso-6</t>
  </si>
  <si>
    <t>Sargasso-7</t>
  </si>
  <si>
    <t>Sargasso-9</t>
  </si>
  <si>
    <t>Sargasso-10</t>
  </si>
  <si>
    <t>Sargasso-11</t>
  </si>
  <si>
    <t>Sargasso-12</t>
  </si>
  <si>
    <t>Sargasso-13</t>
  </si>
  <si>
    <t>Sargasso-14</t>
  </si>
  <si>
    <t>Sargasso-15</t>
  </si>
  <si>
    <t>Sargasso-17</t>
  </si>
  <si>
    <t>Sargasso-18</t>
  </si>
  <si>
    <t>Sargasso-19</t>
  </si>
  <si>
    <t>Sargasso-20</t>
  </si>
  <si>
    <t>Sargasso-21</t>
  </si>
  <si>
    <t>Sargasso-22</t>
  </si>
  <si>
    <t>Sargasso-23</t>
  </si>
  <si>
    <t>Sargasso-24</t>
  </si>
  <si>
    <t>Sargasso-25</t>
  </si>
  <si>
    <t>Sargasso-27</t>
  </si>
  <si>
    <t>Sargasso-28</t>
  </si>
  <si>
    <t>Sargasso-29</t>
  </si>
  <si>
    <t>Sargasso-30</t>
  </si>
  <si>
    <t>Sargasso-31</t>
  </si>
  <si>
    <t>Sargasso-32</t>
  </si>
  <si>
    <t>Sargasso-33</t>
  </si>
  <si>
    <t>Sargasso-34</t>
  </si>
  <si>
    <t>Sargasso-35</t>
  </si>
  <si>
    <t>sum</t>
  </si>
  <si>
    <t>other</t>
  </si>
  <si>
    <t>daily</t>
  </si>
  <si>
    <t>month</t>
  </si>
  <si>
    <t>MONTHLY</t>
  </si>
  <si>
    <t>A</t>
  </si>
  <si>
    <t>J</t>
  </si>
  <si>
    <t>MAY</t>
  </si>
  <si>
    <t>JUN</t>
  </si>
  <si>
    <t>JUL</t>
  </si>
  <si>
    <t>AUG</t>
  </si>
  <si>
    <t>S</t>
  </si>
  <si>
    <t>O</t>
  </si>
  <si>
    <t>N</t>
  </si>
  <si>
    <t>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</si>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</sst>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14" fontId="0" fillId="0" borderId="0" xfId="0" applyNumberFormat="1" applyFill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76" workbookViewId="0">
      <selection activeCell="P29" sqref="P29:R98"/>
    </sheetView>
  </sheetViews>
  <sheetFormatPr defaultRowHeight="14.4" x14ac:dyDescent="0.3"/>
  <cols>
    <col min="2" max="2" width="12.21875" customWidth="1"/>
    <col min="3" max="3" width="11.5546875" customWidth="1"/>
    <col min="14" max="14" width="8.88671875" style="5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B5" t="s">
        <v>6</v>
      </c>
    </row>
    <row r="6" spans="1:2" x14ac:dyDescent="0.3">
      <c r="B6" t="s">
        <v>7</v>
      </c>
    </row>
    <row r="7" spans="1:2" x14ac:dyDescent="0.3">
      <c r="A7" t="s">
        <v>8</v>
      </c>
      <c r="B7" t="s">
        <v>9</v>
      </c>
    </row>
    <row r="8" spans="1:2" x14ac:dyDescent="0.3">
      <c r="A8" t="s">
        <v>10</v>
      </c>
      <c r="B8" t="s">
        <v>11</v>
      </c>
    </row>
    <row r="9" spans="1:2" x14ac:dyDescent="0.3">
      <c r="B9" t="s">
        <v>12</v>
      </c>
    </row>
    <row r="10" spans="1:2" x14ac:dyDescent="0.3">
      <c r="B10" t="s">
        <v>13</v>
      </c>
    </row>
    <row r="11" spans="1:2" x14ac:dyDescent="0.3">
      <c r="A11" t="s">
        <v>14</v>
      </c>
      <c r="B11" t="s">
        <v>15</v>
      </c>
    </row>
    <row r="12" spans="1:2" x14ac:dyDescent="0.3">
      <c r="A12" t="s">
        <v>16</v>
      </c>
      <c r="B12" t="s">
        <v>17</v>
      </c>
    </row>
    <row r="13" spans="1:2" x14ac:dyDescent="0.3">
      <c r="A13" t="s">
        <v>18</v>
      </c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8" x14ac:dyDescent="0.3">
      <c r="B17" t="s">
        <v>23</v>
      </c>
    </row>
    <row r="18" spans="1:18" x14ac:dyDescent="0.3">
      <c r="B18" t="s">
        <v>24</v>
      </c>
    </row>
    <row r="19" spans="1:18" x14ac:dyDescent="0.3">
      <c r="B19" t="s">
        <v>25</v>
      </c>
    </row>
    <row r="20" spans="1:18" x14ac:dyDescent="0.3">
      <c r="B20" t="s">
        <v>26</v>
      </c>
    </row>
    <row r="21" spans="1:18" x14ac:dyDescent="0.3">
      <c r="B21" t="s">
        <v>27</v>
      </c>
    </row>
    <row r="22" spans="1:18" x14ac:dyDescent="0.3">
      <c r="B22" t="s">
        <v>28</v>
      </c>
    </row>
    <row r="23" spans="1:18" x14ac:dyDescent="0.3">
      <c r="B23" t="s">
        <v>29</v>
      </c>
    </row>
    <row r="24" spans="1:18" x14ac:dyDescent="0.3">
      <c r="B24" t="s">
        <v>30</v>
      </c>
    </row>
    <row r="25" spans="1:18" x14ac:dyDescent="0.3">
      <c r="B25" t="s">
        <v>31</v>
      </c>
    </row>
    <row r="26" spans="1:18" x14ac:dyDescent="0.3">
      <c r="A26" t="s">
        <v>32</v>
      </c>
      <c r="B26" t="s">
        <v>33</v>
      </c>
    </row>
    <row r="27" spans="1:18" x14ac:dyDescent="0.3">
      <c r="A27" t="s">
        <v>34</v>
      </c>
      <c r="B27" t="s">
        <v>35</v>
      </c>
    </row>
    <row r="28" spans="1:18" x14ac:dyDescent="0.3">
      <c r="A28" t="s">
        <v>36</v>
      </c>
    </row>
    <row r="29" spans="1:18" x14ac:dyDescent="0.3">
      <c r="A29" t="s">
        <v>37</v>
      </c>
      <c r="B29" t="s">
        <v>38</v>
      </c>
      <c r="C29" t="s">
        <v>39</v>
      </c>
      <c r="D29" t="s">
        <v>40</v>
      </c>
      <c r="E29" t="s">
        <v>41</v>
      </c>
      <c r="F29" t="s">
        <v>42</v>
      </c>
      <c r="G29" t="s">
        <v>43</v>
      </c>
      <c r="H29" t="s">
        <v>44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s="5" t="s">
        <v>81</v>
      </c>
      <c r="O29" t="s">
        <v>82</v>
      </c>
      <c r="P29" t="s">
        <v>83</v>
      </c>
      <c r="Q29" t="s">
        <v>85</v>
      </c>
      <c r="R29" t="s">
        <v>84</v>
      </c>
    </row>
    <row r="30" spans="1:18" x14ac:dyDescent="0.3">
      <c r="A30">
        <v>3200</v>
      </c>
      <c r="B30" s="1">
        <v>28586</v>
      </c>
      <c r="C30" s="1">
        <v>28648</v>
      </c>
      <c r="D30">
        <v>62</v>
      </c>
      <c r="E30" t="s">
        <v>50</v>
      </c>
      <c r="F30">
        <v>20.079999999999998</v>
      </c>
      <c r="G30">
        <v>1.84</v>
      </c>
      <c r="H30">
        <v>127</v>
      </c>
      <c r="I30">
        <v>39.200000000000003</v>
      </c>
      <c r="J30">
        <v>11.3</v>
      </c>
      <c r="K30">
        <v>43.4</v>
      </c>
      <c r="L30">
        <v>1.8</v>
      </c>
      <c r="M30">
        <v>0</v>
      </c>
      <c r="N30" s="5">
        <f>SUM(I30:M30)</f>
        <v>95.7</v>
      </c>
      <c r="O30">
        <f>H30-N30</f>
        <v>31.299999999999997</v>
      </c>
      <c r="P30">
        <f>O30</f>
        <v>31.299999999999997</v>
      </c>
      <c r="Q30">
        <f>P30*24</f>
        <v>751.19999999999993</v>
      </c>
      <c r="R30" t="s">
        <v>86</v>
      </c>
    </row>
    <row r="31" spans="1:18" x14ac:dyDescent="0.3">
      <c r="A31">
        <v>3200</v>
      </c>
      <c r="B31" s="1">
        <v>28648</v>
      </c>
      <c r="C31" s="1">
        <v>28710</v>
      </c>
      <c r="D31">
        <v>62</v>
      </c>
      <c r="E31" t="s">
        <v>51</v>
      </c>
      <c r="F31">
        <v>23.77</v>
      </c>
      <c r="G31">
        <v>1.26</v>
      </c>
      <c r="H31">
        <v>110.3</v>
      </c>
      <c r="I31">
        <v>15.7</v>
      </c>
      <c r="J31">
        <v>14.3</v>
      </c>
      <c r="K31">
        <v>66.099999999999994</v>
      </c>
      <c r="L31">
        <v>3.3</v>
      </c>
      <c r="M31">
        <v>0.6</v>
      </c>
      <c r="N31" s="5">
        <f t="shared" ref="N31:N60" si="0">SUM(I31:M31)</f>
        <v>99.999999999999986</v>
      </c>
      <c r="O31">
        <f t="shared" ref="O31:O60" si="1">H31-N31</f>
        <v>10.300000000000011</v>
      </c>
      <c r="P31">
        <f>O30</f>
        <v>31.299999999999997</v>
      </c>
      <c r="Q31">
        <f>P31*31</f>
        <v>970.3</v>
      </c>
      <c r="R31" t="s">
        <v>88</v>
      </c>
    </row>
    <row r="32" spans="1:18" x14ac:dyDescent="0.3">
      <c r="A32">
        <v>3200</v>
      </c>
      <c r="B32" s="1">
        <v>28711</v>
      </c>
      <c r="C32" s="1">
        <v>28773</v>
      </c>
      <c r="D32">
        <v>62</v>
      </c>
      <c r="E32" t="s">
        <v>52</v>
      </c>
      <c r="F32">
        <v>27.04</v>
      </c>
      <c r="G32">
        <v>1.3</v>
      </c>
      <c r="H32">
        <v>114.6</v>
      </c>
      <c r="I32">
        <v>3.8</v>
      </c>
      <c r="J32">
        <v>17.899999999999999</v>
      </c>
      <c r="K32">
        <v>83.8</v>
      </c>
      <c r="L32">
        <v>3.9</v>
      </c>
      <c r="M32">
        <v>0.3</v>
      </c>
      <c r="N32" s="5">
        <f t="shared" si="0"/>
        <v>109.7</v>
      </c>
      <c r="O32">
        <f t="shared" si="1"/>
        <v>4.8999999999999915</v>
      </c>
      <c r="P32">
        <f>(O30*6+O31*24)/30</f>
        <v>14.500000000000007</v>
      </c>
      <c r="Q32">
        <f>P32*30</f>
        <v>435.00000000000023</v>
      </c>
      <c r="R32" t="s">
        <v>89</v>
      </c>
    </row>
    <row r="33" spans="1:18" x14ac:dyDescent="0.3">
      <c r="A33">
        <v>3200</v>
      </c>
      <c r="B33" s="1">
        <v>28836</v>
      </c>
      <c r="C33" s="1">
        <v>28900</v>
      </c>
      <c r="D33">
        <v>64</v>
      </c>
      <c r="E33" t="s">
        <v>53</v>
      </c>
      <c r="F33">
        <v>21.46</v>
      </c>
      <c r="G33">
        <v>1.97</v>
      </c>
      <c r="H33">
        <v>319.7</v>
      </c>
      <c r="I33">
        <v>104</v>
      </c>
      <c r="J33">
        <v>19.399999999999999</v>
      </c>
      <c r="K33">
        <v>99</v>
      </c>
      <c r="L33">
        <v>0.7</v>
      </c>
      <c r="M33">
        <v>1</v>
      </c>
      <c r="N33" s="5">
        <f t="shared" si="0"/>
        <v>224.1</v>
      </c>
      <c r="O33">
        <f t="shared" si="1"/>
        <v>95.6</v>
      </c>
      <c r="P33">
        <f>O31</f>
        <v>10.300000000000011</v>
      </c>
      <c r="Q33">
        <f>P33*31</f>
        <v>319.30000000000035</v>
      </c>
      <c r="R33" t="s">
        <v>90</v>
      </c>
    </row>
    <row r="34" spans="1:18" s="3" customFormat="1" x14ac:dyDescent="0.3">
      <c r="A34" s="3">
        <v>3200</v>
      </c>
      <c r="B34" s="4">
        <v>28938</v>
      </c>
      <c r="C34" s="4">
        <v>29006</v>
      </c>
      <c r="D34" s="3">
        <v>68</v>
      </c>
      <c r="E34" s="3" t="s">
        <v>54</v>
      </c>
      <c r="F34" s="3">
        <v>19.77</v>
      </c>
      <c r="G34" s="3">
        <v>3.1</v>
      </c>
      <c r="H34" s="3">
        <v>379.7</v>
      </c>
      <c r="I34" s="3">
        <v>107</v>
      </c>
      <c r="J34" s="3">
        <v>15.8</v>
      </c>
      <c r="K34" s="3">
        <v>97.1</v>
      </c>
      <c r="L34" s="3">
        <v>3.9</v>
      </c>
      <c r="M34" s="3">
        <v>3.4</v>
      </c>
      <c r="N34" s="5">
        <f t="shared" si="0"/>
        <v>227.2</v>
      </c>
      <c r="O34" s="3">
        <f t="shared" si="1"/>
        <v>152.5</v>
      </c>
      <c r="P34" s="3">
        <f>(O31*8+O32*23)/31</f>
        <v>6.293548387096771</v>
      </c>
      <c r="Q34" s="3">
        <f>P34*31</f>
        <v>195.09999999999991</v>
      </c>
      <c r="R34" s="3" t="s">
        <v>91</v>
      </c>
    </row>
    <row r="35" spans="1:18" s="3" customFormat="1" x14ac:dyDescent="0.3">
      <c r="A35" s="3">
        <v>3200</v>
      </c>
      <c r="B35" s="4">
        <v>29006</v>
      </c>
      <c r="C35" s="4">
        <v>29066</v>
      </c>
      <c r="D35" s="3">
        <v>60</v>
      </c>
      <c r="E35" s="3" t="s">
        <v>55</v>
      </c>
      <c r="F35" s="3">
        <v>23.34</v>
      </c>
      <c r="G35" s="3">
        <v>1.1200000000000001</v>
      </c>
      <c r="H35" s="3">
        <v>91.7</v>
      </c>
      <c r="I35" s="3">
        <v>5.8</v>
      </c>
      <c r="J35" s="3">
        <v>12.9</v>
      </c>
      <c r="K35" s="3">
        <v>59.7</v>
      </c>
      <c r="L35" s="3">
        <v>2.4</v>
      </c>
      <c r="M35" s="3">
        <v>0.2</v>
      </c>
      <c r="N35" s="5">
        <f t="shared" si="0"/>
        <v>81.000000000000014</v>
      </c>
      <c r="O35" s="3">
        <f t="shared" si="1"/>
        <v>10.699999999999989</v>
      </c>
      <c r="P35" s="3">
        <f>O32</f>
        <v>4.8999999999999915</v>
      </c>
      <c r="Q35" s="3">
        <f>P35*30</f>
        <v>146.99999999999974</v>
      </c>
      <c r="R35" s="3" t="s">
        <v>92</v>
      </c>
    </row>
    <row r="36" spans="1:18" s="3" customFormat="1" x14ac:dyDescent="0.3">
      <c r="A36" s="3">
        <v>3200</v>
      </c>
      <c r="B36" s="4">
        <v>29140</v>
      </c>
      <c r="C36" s="4">
        <v>29192</v>
      </c>
      <c r="D36" s="3">
        <v>52</v>
      </c>
      <c r="E36" s="3" t="s">
        <v>56</v>
      </c>
      <c r="F36" s="3">
        <v>25.24</v>
      </c>
      <c r="G36" s="3">
        <v>0.71</v>
      </c>
      <c r="H36" s="3">
        <v>156.69999999999999</v>
      </c>
      <c r="I36" s="3">
        <v>9.6999999999999993</v>
      </c>
      <c r="J36" s="3">
        <v>7.6</v>
      </c>
      <c r="K36" s="3">
        <v>105</v>
      </c>
      <c r="L36" s="3">
        <v>3</v>
      </c>
      <c r="M36" s="3">
        <v>0.6</v>
      </c>
      <c r="N36" s="5">
        <f t="shared" si="0"/>
        <v>125.89999999999999</v>
      </c>
      <c r="O36" s="3">
        <f t="shared" si="1"/>
        <v>30.799999999999997</v>
      </c>
      <c r="P36" s="3">
        <f>O32</f>
        <v>4.8999999999999915</v>
      </c>
      <c r="Q36" s="3">
        <f>P36*10</f>
        <v>48.999999999999915</v>
      </c>
      <c r="R36" s="3" t="s">
        <v>93</v>
      </c>
    </row>
    <row r="37" spans="1:18" s="3" customFormat="1" x14ac:dyDescent="0.3">
      <c r="A37" s="3">
        <v>3200</v>
      </c>
      <c r="B37" s="4">
        <v>29194</v>
      </c>
      <c r="C37" s="4">
        <v>29255</v>
      </c>
      <c r="D37" s="3">
        <v>61</v>
      </c>
      <c r="E37" s="3" t="s">
        <v>57</v>
      </c>
      <c r="F37" s="3">
        <v>22</v>
      </c>
      <c r="G37" s="3">
        <v>2.42</v>
      </c>
      <c r="H37" s="3">
        <v>688.2</v>
      </c>
      <c r="I37" s="3">
        <v>309</v>
      </c>
      <c r="J37" s="3">
        <v>6.9</v>
      </c>
      <c r="K37" s="3">
        <v>122</v>
      </c>
      <c r="L37" s="3">
        <v>0.5</v>
      </c>
      <c r="M37" s="3">
        <v>0</v>
      </c>
      <c r="N37" s="5">
        <f t="shared" si="0"/>
        <v>438.4</v>
      </c>
      <c r="O37" s="3">
        <f t="shared" si="1"/>
        <v>249.80000000000007</v>
      </c>
      <c r="P37" s="3">
        <f>O33</f>
        <v>95.6</v>
      </c>
      <c r="Q37" s="3">
        <f>P37*19</f>
        <v>1816.3999999999999</v>
      </c>
      <c r="R37" s="3" t="s">
        <v>95</v>
      </c>
    </row>
    <row r="38" spans="1:18" s="3" customFormat="1" x14ac:dyDescent="0.3">
      <c r="A38" s="3">
        <v>3200</v>
      </c>
      <c r="B38" s="4">
        <v>29257</v>
      </c>
      <c r="C38" s="4">
        <v>29318</v>
      </c>
      <c r="D38" s="3">
        <v>61</v>
      </c>
      <c r="E38" s="3" t="s">
        <v>58</v>
      </c>
      <c r="F38" s="3">
        <v>19.61</v>
      </c>
      <c r="G38" s="3">
        <v>2.27</v>
      </c>
      <c r="H38" s="3">
        <v>649.79999999999995</v>
      </c>
      <c r="I38" s="3">
        <v>436</v>
      </c>
      <c r="J38" s="3">
        <v>6.9</v>
      </c>
      <c r="K38" s="3">
        <v>49.7</v>
      </c>
      <c r="L38" s="3">
        <v>0.3</v>
      </c>
      <c r="M38" s="3">
        <v>0</v>
      </c>
      <c r="N38" s="5">
        <f t="shared" si="0"/>
        <v>492.9</v>
      </c>
      <c r="O38" s="3">
        <f t="shared" si="1"/>
        <v>156.89999999999998</v>
      </c>
      <c r="P38" s="3">
        <f>O33</f>
        <v>95.6</v>
      </c>
      <c r="Q38" s="3">
        <f>P38*31</f>
        <v>2963.6</v>
      </c>
      <c r="R38" s="3" t="s">
        <v>87</v>
      </c>
    </row>
    <row r="39" spans="1:18" s="3" customFormat="1" x14ac:dyDescent="0.3">
      <c r="A39" s="3">
        <v>3200</v>
      </c>
      <c r="B39" s="4">
        <v>29326</v>
      </c>
      <c r="C39" s="4">
        <v>29389</v>
      </c>
      <c r="D39" s="3">
        <v>63</v>
      </c>
      <c r="E39" s="3" t="s">
        <v>59</v>
      </c>
      <c r="F39" s="3">
        <v>20.21</v>
      </c>
      <c r="G39" s="3">
        <v>2.68</v>
      </c>
      <c r="H39" s="3">
        <v>336.9</v>
      </c>
      <c r="I39" s="3">
        <v>92.8</v>
      </c>
      <c r="J39" s="3">
        <v>12.2</v>
      </c>
      <c r="K39" s="3">
        <v>86.6</v>
      </c>
      <c r="L39" s="3">
        <v>4.8</v>
      </c>
      <c r="M39" s="3">
        <v>0.8</v>
      </c>
      <c r="N39" s="5">
        <f t="shared" si="0"/>
        <v>197.20000000000002</v>
      </c>
      <c r="O39" s="3">
        <f t="shared" si="1"/>
        <v>139.69999999999996</v>
      </c>
      <c r="P39" s="3">
        <f>O33</f>
        <v>95.6</v>
      </c>
      <c r="Q39" s="3">
        <f>P39*12</f>
        <v>1147.1999999999998</v>
      </c>
      <c r="R39" s="3" t="s">
        <v>96</v>
      </c>
    </row>
    <row r="40" spans="1:18" s="3" customFormat="1" x14ac:dyDescent="0.3">
      <c r="A40" s="3">
        <v>3200</v>
      </c>
      <c r="B40" s="4">
        <v>29392</v>
      </c>
      <c r="C40" s="4">
        <v>29444</v>
      </c>
      <c r="D40" s="3">
        <v>52</v>
      </c>
      <c r="E40" s="3" t="s">
        <v>60</v>
      </c>
      <c r="F40" s="3">
        <v>24.89</v>
      </c>
      <c r="G40" s="3">
        <v>0.81</v>
      </c>
      <c r="H40" s="3">
        <v>100.9</v>
      </c>
      <c r="I40" s="3">
        <v>7.5</v>
      </c>
      <c r="J40" s="3">
        <v>8</v>
      </c>
      <c r="K40" s="3">
        <v>72.400000000000006</v>
      </c>
      <c r="L40" s="3">
        <v>2.8</v>
      </c>
      <c r="M40" s="3">
        <v>0.3</v>
      </c>
      <c r="N40" s="5">
        <f t="shared" si="0"/>
        <v>91</v>
      </c>
      <c r="O40" s="3">
        <f t="shared" si="1"/>
        <v>9.9000000000000057</v>
      </c>
      <c r="P40" s="3">
        <f>O34</f>
        <v>152.5</v>
      </c>
      <c r="Q40" s="3">
        <f>P40*7</f>
        <v>1067.5</v>
      </c>
      <c r="R40" s="3" t="s">
        <v>97</v>
      </c>
    </row>
    <row r="41" spans="1:18" s="3" customFormat="1" x14ac:dyDescent="0.3">
      <c r="A41" s="3">
        <v>3200</v>
      </c>
      <c r="B41" s="4">
        <v>29444</v>
      </c>
      <c r="C41" s="4">
        <v>29508</v>
      </c>
      <c r="D41" s="3">
        <v>64</v>
      </c>
      <c r="E41" s="3" t="s">
        <v>61</v>
      </c>
      <c r="F41" s="3">
        <v>27.07</v>
      </c>
      <c r="G41" s="3">
        <v>1.01</v>
      </c>
      <c r="H41" s="3">
        <v>136.1</v>
      </c>
      <c r="I41" s="3">
        <v>21.3</v>
      </c>
      <c r="J41" s="3">
        <v>9.6</v>
      </c>
      <c r="K41" s="3">
        <v>87.2</v>
      </c>
      <c r="L41" s="3">
        <v>3.9</v>
      </c>
      <c r="M41" s="3">
        <v>0.2</v>
      </c>
      <c r="N41" s="5">
        <f t="shared" si="0"/>
        <v>122.2</v>
      </c>
      <c r="O41" s="3">
        <f t="shared" si="1"/>
        <v>13.899999999999991</v>
      </c>
      <c r="P41" s="2">
        <f>O34</f>
        <v>152.5</v>
      </c>
      <c r="Q41" s="2">
        <f>P41*30</f>
        <v>4575</v>
      </c>
      <c r="R41" s="2" t="s">
        <v>86</v>
      </c>
    </row>
    <row r="42" spans="1:18" s="3" customFormat="1" x14ac:dyDescent="0.3">
      <c r="A42" s="3">
        <v>3200</v>
      </c>
      <c r="B42" s="4">
        <v>29511</v>
      </c>
      <c r="C42" s="4">
        <v>29564</v>
      </c>
      <c r="D42" s="3">
        <v>53</v>
      </c>
      <c r="E42" s="3" t="s">
        <v>62</v>
      </c>
      <c r="F42" s="3">
        <v>24.86</v>
      </c>
      <c r="G42" s="3">
        <v>1.25</v>
      </c>
      <c r="H42" s="3">
        <v>208</v>
      </c>
      <c r="I42" s="3">
        <v>19.2</v>
      </c>
      <c r="J42" s="3">
        <v>16.7</v>
      </c>
      <c r="K42" s="3">
        <v>128</v>
      </c>
      <c r="L42" s="3">
        <v>4.3</v>
      </c>
      <c r="M42" s="3">
        <v>0.8</v>
      </c>
      <c r="N42" s="5">
        <f t="shared" si="0"/>
        <v>169.00000000000003</v>
      </c>
      <c r="O42" s="3">
        <f t="shared" si="1"/>
        <v>38.999999999999972</v>
      </c>
      <c r="P42" s="3">
        <f>O34</f>
        <v>152.5</v>
      </c>
      <c r="Q42" s="3">
        <f>P42*31</f>
        <v>4727.5</v>
      </c>
      <c r="R42" s="3" t="s">
        <v>88</v>
      </c>
    </row>
    <row r="43" spans="1:18" s="3" customFormat="1" x14ac:dyDescent="0.3">
      <c r="A43" s="3">
        <v>3200</v>
      </c>
      <c r="B43" s="4">
        <v>29622</v>
      </c>
      <c r="C43" s="4">
        <v>29683</v>
      </c>
      <c r="D43" s="3">
        <v>61</v>
      </c>
      <c r="E43" s="3" t="s">
        <v>63</v>
      </c>
      <c r="F43" s="3">
        <v>19.57</v>
      </c>
      <c r="G43" s="3">
        <v>2.74</v>
      </c>
      <c r="H43" s="3">
        <v>421.3</v>
      </c>
      <c r="I43" s="3">
        <v>202</v>
      </c>
      <c r="J43" s="3">
        <v>19.600000000000001</v>
      </c>
      <c r="K43" s="3">
        <v>58.4</v>
      </c>
      <c r="L43" s="3">
        <v>0</v>
      </c>
      <c r="M43" s="3">
        <v>0</v>
      </c>
      <c r="N43" s="5">
        <f t="shared" si="0"/>
        <v>280</v>
      </c>
      <c r="O43" s="3">
        <f t="shared" si="1"/>
        <v>141.30000000000001</v>
      </c>
      <c r="P43" s="3">
        <f>N35</f>
        <v>81.000000000000014</v>
      </c>
      <c r="Q43" s="3">
        <f>N35*30</f>
        <v>2430.0000000000005</v>
      </c>
      <c r="R43" s="3" t="s">
        <v>89</v>
      </c>
    </row>
    <row r="44" spans="1:18" s="3" customFormat="1" x14ac:dyDescent="0.3">
      <c r="A44" s="3">
        <v>3200</v>
      </c>
      <c r="B44" s="4">
        <v>29684</v>
      </c>
      <c r="C44" s="4">
        <v>29732</v>
      </c>
      <c r="D44" s="3">
        <v>48</v>
      </c>
      <c r="E44" s="3" t="s">
        <v>64</v>
      </c>
      <c r="F44" s="3">
        <v>19.559999999999999</v>
      </c>
      <c r="G44" s="3">
        <v>5.3</v>
      </c>
      <c r="H44" s="3">
        <v>937.6</v>
      </c>
      <c r="I44" s="3">
        <v>487</v>
      </c>
      <c r="J44" s="3">
        <v>23.5</v>
      </c>
      <c r="K44" s="3">
        <v>90.6</v>
      </c>
      <c r="L44" s="3">
        <v>13.4</v>
      </c>
      <c r="M44" s="3">
        <v>3.1</v>
      </c>
      <c r="N44" s="5">
        <f t="shared" si="0"/>
        <v>617.6</v>
      </c>
      <c r="O44" s="3">
        <f t="shared" si="1"/>
        <v>320</v>
      </c>
      <c r="P44" s="3">
        <f>N35</f>
        <v>81.000000000000014</v>
      </c>
      <c r="Q44" s="3">
        <f>P44*30</f>
        <v>2430.0000000000005</v>
      </c>
      <c r="R44" s="3" t="s">
        <v>90</v>
      </c>
    </row>
    <row r="45" spans="1:18" s="3" customFormat="1" x14ac:dyDescent="0.3">
      <c r="A45" s="3">
        <v>3200</v>
      </c>
      <c r="B45" s="4">
        <v>29733</v>
      </c>
      <c r="C45" s="4">
        <v>29788</v>
      </c>
      <c r="D45" s="3">
        <v>55</v>
      </c>
      <c r="E45" s="3" t="s">
        <v>65</v>
      </c>
      <c r="F45" s="3">
        <v>22.56</v>
      </c>
      <c r="G45" s="3">
        <v>1.87</v>
      </c>
      <c r="H45" s="3">
        <v>106.8</v>
      </c>
      <c r="I45" s="3">
        <v>16.5</v>
      </c>
      <c r="J45" s="3">
        <v>9.8000000000000007</v>
      </c>
      <c r="K45" s="3">
        <v>54.1</v>
      </c>
      <c r="L45" s="3">
        <v>1.9</v>
      </c>
      <c r="M45" s="3">
        <v>0</v>
      </c>
      <c r="N45" s="5">
        <f t="shared" si="0"/>
        <v>82.300000000000011</v>
      </c>
      <c r="O45" s="3">
        <f t="shared" si="1"/>
        <v>24.499999999999986</v>
      </c>
      <c r="P45" s="3">
        <f>N36</f>
        <v>125.89999999999999</v>
      </c>
      <c r="Q45" s="3">
        <f>P45*19</f>
        <v>2392.1</v>
      </c>
      <c r="R45" s="3" t="s">
        <v>93</v>
      </c>
    </row>
    <row r="46" spans="1:18" s="3" customFormat="1" x14ac:dyDescent="0.3">
      <c r="A46" s="3">
        <v>3200</v>
      </c>
      <c r="B46" s="4">
        <v>29788</v>
      </c>
      <c r="C46" s="4">
        <v>29844</v>
      </c>
      <c r="D46" s="3">
        <v>56</v>
      </c>
      <c r="E46" s="3" t="s">
        <v>66</v>
      </c>
      <c r="F46" s="3">
        <v>26.68</v>
      </c>
      <c r="G46" s="3">
        <v>1.62</v>
      </c>
      <c r="H46" s="3">
        <v>136</v>
      </c>
      <c r="I46" s="3">
        <v>14.6</v>
      </c>
      <c r="J46" s="3">
        <v>8.6</v>
      </c>
      <c r="K46" s="3">
        <v>82.3</v>
      </c>
      <c r="L46" s="3">
        <v>7.8</v>
      </c>
      <c r="M46" s="3">
        <v>0.7</v>
      </c>
      <c r="N46" s="5">
        <f t="shared" si="0"/>
        <v>114</v>
      </c>
      <c r="O46" s="3">
        <f t="shared" si="1"/>
        <v>22</v>
      </c>
      <c r="P46" s="3">
        <f>N36</f>
        <v>125.89999999999999</v>
      </c>
      <c r="Q46" s="3">
        <f>P46*30</f>
        <v>3776.9999999999995</v>
      </c>
      <c r="R46" s="3" t="s">
        <v>94</v>
      </c>
    </row>
    <row r="47" spans="1:18" s="3" customFormat="1" x14ac:dyDescent="0.3">
      <c r="A47" s="3">
        <v>3200</v>
      </c>
      <c r="B47" s="4">
        <v>29846</v>
      </c>
      <c r="C47" s="4">
        <v>29922</v>
      </c>
      <c r="D47" s="3">
        <v>76</v>
      </c>
      <c r="E47" s="3" t="s">
        <v>67</v>
      </c>
      <c r="F47" s="3">
        <v>25.7</v>
      </c>
      <c r="G47" s="3">
        <v>1.28</v>
      </c>
      <c r="H47" s="3">
        <v>236.4</v>
      </c>
      <c r="I47" s="3">
        <v>23.4</v>
      </c>
      <c r="J47" s="3">
        <v>13</v>
      </c>
      <c r="K47" s="3">
        <v>150</v>
      </c>
      <c r="L47" s="3">
        <v>4.5</v>
      </c>
      <c r="M47" s="3">
        <v>0.8</v>
      </c>
      <c r="N47" s="5">
        <f t="shared" si="0"/>
        <v>191.70000000000002</v>
      </c>
      <c r="O47" s="3">
        <f t="shared" si="1"/>
        <v>44.699999999999989</v>
      </c>
      <c r="P47" s="3">
        <f>(N36*3+N37*26)/29</f>
        <v>406.07241379310346</v>
      </c>
      <c r="Q47" s="3">
        <f>P47*29</f>
        <v>11776.1</v>
      </c>
      <c r="R47" s="3" t="s">
        <v>95</v>
      </c>
    </row>
    <row r="48" spans="1:18" s="3" customFormat="1" x14ac:dyDescent="0.3">
      <c r="A48" s="3">
        <v>3200</v>
      </c>
      <c r="B48" s="4">
        <v>29922</v>
      </c>
      <c r="C48" s="4">
        <v>29984</v>
      </c>
      <c r="D48" s="3">
        <v>62</v>
      </c>
      <c r="E48" s="3" t="s">
        <v>68</v>
      </c>
      <c r="F48" s="3">
        <v>21.09</v>
      </c>
      <c r="G48" s="3">
        <v>1.92</v>
      </c>
      <c r="H48" s="3">
        <v>383.9</v>
      </c>
      <c r="I48" s="3">
        <v>107</v>
      </c>
      <c r="J48" s="3">
        <v>8</v>
      </c>
      <c r="K48" s="3">
        <v>105</v>
      </c>
      <c r="L48" s="3">
        <v>0.3</v>
      </c>
      <c r="M48" s="3">
        <v>0.4</v>
      </c>
      <c r="N48" s="5">
        <f t="shared" si="0"/>
        <v>220.70000000000002</v>
      </c>
      <c r="O48" s="3">
        <f t="shared" si="1"/>
        <v>163.19999999999996</v>
      </c>
      <c r="P48" s="3">
        <f>N37</f>
        <v>438.4</v>
      </c>
      <c r="Q48" s="3">
        <f>P48*31</f>
        <v>13590.4</v>
      </c>
      <c r="R48" s="3" t="s">
        <v>87</v>
      </c>
    </row>
    <row r="49" spans="1:18" s="3" customFormat="1" x14ac:dyDescent="0.3">
      <c r="A49" s="3">
        <v>3200</v>
      </c>
      <c r="B49" s="4">
        <v>29984</v>
      </c>
      <c r="C49" s="4">
        <v>30047</v>
      </c>
      <c r="D49" s="3">
        <v>63</v>
      </c>
      <c r="E49" s="3" t="s">
        <v>69</v>
      </c>
      <c r="F49" s="3">
        <v>18.86</v>
      </c>
      <c r="G49" s="3">
        <v>2.62</v>
      </c>
      <c r="H49" s="3">
        <v>654.5</v>
      </c>
      <c r="I49" s="3">
        <v>407</v>
      </c>
      <c r="J49" s="3">
        <v>10.8</v>
      </c>
      <c r="K49" s="3">
        <v>70.099999999999994</v>
      </c>
      <c r="L49" s="3">
        <v>1.7</v>
      </c>
      <c r="M49" s="3">
        <v>0.7</v>
      </c>
      <c r="N49" s="5">
        <f t="shared" si="0"/>
        <v>490.29999999999995</v>
      </c>
      <c r="O49" s="3">
        <f t="shared" si="1"/>
        <v>164.20000000000005</v>
      </c>
      <c r="P49" s="3">
        <f>(N37*2+N38*24)/26</f>
        <v>488.70769230769224</v>
      </c>
      <c r="Q49" s="3">
        <f>P49*26</f>
        <v>12706.399999999998</v>
      </c>
      <c r="R49" s="3" t="s">
        <v>96</v>
      </c>
    </row>
    <row r="50" spans="1:18" s="3" customFormat="1" x14ac:dyDescent="0.3">
      <c r="A50" s="3">
        <v>3200</v>
      </c>
      <c r="B50" s="4">
        <v>30054</v>
      </c>
      <c r="C50" s="4">
        <v>30110</v>
      </c>
      <c r="D50" s="3">
        <v>56</v>
      </c>
      <c r="E50" s="3" t="s">
        <v>70</v>
      </c>
      <c r="F50" s="3">
        <v>19.46</v>
      </c>
      <c r="G50" s="3">
        <v>2.87</v>
      </c>
      <c r="H50" s="3">
        <v>331.8</v>
      </c>
      <c r="I50" s="3">
        <v>72.7</v>
      </c>
      <c r="J50" s="3">
        <v>34</v>
      </c>
      <c r="K50" s="3">
        <v>76</v>
      </c>
      <c r="L50" s="3">
        <v>21.1</v>
      </c>
      <c r="M50" s="3">
        <v>8.9</v>
      </c>
      <c r="N50" s="5">
        <f t="shared" si="0"/>
        <v>212.7</v>
      </c>
      <c r="O50" s="3">
        <f t="shared" si="1"/>
        <v>119.10000000000002</v>
      </c>
      <c r="P50" s="3">
        <f>N38</f>
        <v>492.9</v>
      </c>
      <c r="Q50" s="3">
        <f>P50*31</f>
        <v>15279.9</v>
      </c>
      <c r="R50" s="3" t="s">
        <v>97</v>
      </c>
    </row>
    <row r="51" spans="1:18" s="3" customFormat="1" x14ac:dyDescent="0.3">
      <c r="A51" s="3">
        <v>3200</v>
      </c>
      <c r="B51" s="4">
        <v>30113</v>
      </c>
      <c r="C51" s="4">
        <v>30180</v>
      </c>
      <c r="D51" s="3">
        <v>67</v>
      </c>
      <c r="E51" s="3" t="s">
        <v>71</v>
      </c>
      <c r="F51" s="3">
        <v>25.47</v>
      </c>
      <c r="G51" s="3">
        <v>3.69</v>
      </c>
      <c r="H51" s="3">
        <v>203.1</v>
      </c>
      <c r="I51" s="3">
        <v>9.3000000000000007</v>
      </c>
      <c r="J51" s="3">
        <v>19.899999999999999</v>
      </c>
      <c r="K51" s="3">
        <v>102</v>
      </c>
      <c r="L51" s="3">
        <v>18</v>
      </c>
      <c r="M51" s="3">
        <v>11.2</v>
      </c>
      <c r="N51" s="5">
        <f t="shared" si="0"/>
        <v>160.39999999999998</v>
      </c>
      <c r="O51" s="3">
        <f t="shared" si="1"/>
        <v>42.700000000000017</v>
      </c>
      <c r="P51" s="3">
        <f>(N38*7+N39*15)/22</f>
        <v>291.28636363636366</v>
      </c>
      <c r="Q51" s="3">
        <f>P51*22</f>
        <v>6408.3</v>
      </c>
      <c r="R51" s="3" t="s">
        <v>86</v>
      </c>
    </row>
    <row r="52" spans="1:18" s="3" customFormat="1" x14ac:dyDescent="0.3">
      <c r="A52" s="3">
        <v>3200</v>
      </c>
      <c r="B52" s="4">
        <v>30242</v>
      </c>
      <c r="C52" s="4">
        <v>30292</v>
      </c>
      <c r="D52" s="3">
        <v>50</v>
      </c>
      <c r="E52" s="3" t="s">
        <v>72</v>
      </c>
      <c r="F52" s="3">
        <v>24.82</v>
      </c>
      <c r="G52" s="3">
        <v>1.6</v>
      </c>
      <c r="H52" s="3">
        <v>106.4</v>
      </c>
      <c r="I52" s="3">
        <v>2.1</v>
      </c>
      <c r="J52" s="3">
        <v>6.6</v>
      </c>
      <c r="K52" s="3">
        <v>78.2</v>
      </c>
      <c r="L52" s="3">
        <v>3.5</v>
      </c>
      <c r="M52" s="3">
        <v>0.2</v>
      </c>
      <c r="N52" s="5">
        <f t="shared" si="0"/>
        <v>90.600000000000009</v>
      </c>
      <c r="O52" s="3">
        <f t="shared" si="1"/>
        <v>15.799999999999997</v>
      </c>
      <c r="P52" s="3">
        <f>N39</f>
        <v>197.20000000000002</v>
      </c>
      <c r="Q52" s="3">
        <f>P52*31</f>
        <v>6113.2000000000007</v>
      </c>
      <c r="R52" s="3" t="s">
        <v>88</v>
      </c>
    </row>
    <row r="53" spans="1:18" s="3" customFormat="1" x14ac:dyDescent="0.3">
      <c r="A53" s="3">
        <v>3200</v>
      </c>
      <c r="B53" s="4">
        <v>30333</v>
      </c>
      <c r="C53" s="4">
        <v>30391</v>
      </c>
      <c r="D53" s="3">
        <v>58</v>
      </c>
      <c r="E53" s="3" t="s">
        <v>73</v>
      </c>
      <c r="F53" s="3">
        <v>19.809999999999999</v>
      </c>
      <c r="G53" s="3">
        <v>2.74</v>
      </c>
      <c r="H53" s="3">
        <v>402.3</v>
      </c>
      <c r="I53" s="3">
        <v>203</v>
      </c>
      <c r="J53" s="3">
        <v>3.7</v>
      </c>
      <c r="K53" s="3">
        <v>45.7</v>
      </c>
      <c r="L53" s="3">
        <v>0</v>
      </c>
      <c r="M53" s="3">
        <v>0</v>
      </c>
      <c r="N53" s="5">
        <f t="shared" si="0"/>
        <v>252.39999999999998</v>
      </c>
      <c r="O53" s="3">
        <f t="shared" si="1"/>
        <v>149.90000000000003</v>
      </c>
      <c r="P53" s="3">
        <f>(N39*17+N40*10)/27</f>
        <v>157.86666666666665</v>
      </c>
      <c r="Q53" s="3">
        <f>P53*27</f>
        <v>4262.3999999999996</v>
      </c>
      <c r="R53" s="3" t="s">
        <v>89</v>
      </c>
    </row>
    <row r="54" spans="1:18" s="3" customFormat="1" x14ac:dyDescent="0.3">
      <c r="A54" s="3">
        <v>3200</v>
      </c>
      <c r="B54" s="4">
        <v>30391</v>
      </c>
      <c r="C54" s="4">
        <v>30461</v>
      </c>
      <c r="D54" s="3">
        <v>70</v>
      </c>
      <c r="E54" s="3" t="s">
        <v>74</v>
      </c>
      <c r="F54" s="3">
        <v>19.100000000000001</v>
      </c>
      <c r="G54" s="3">
        <v>2.46</v>
      </c>
      <c r="H54" s="3">
        <v>334</v>
      </c>
      <c r="I54" s="3">
        <v>71.2</v>
      </c>
      <c r="J54" s="3">
        <v>9.3000000000000007</v>
      </c>
      <c r="K54" s="3">
        <v>44.4</v>
      </c>
      <c r="L54" s="3">
        <v>0</v>
      </c>
      <c r="M54" s="3">
        <v>0</v>
      </c>
      <c r="N54" s="5">
        <f t="shared" si="0"/>
        <v>124.9</v>
      </c>
      <c r="O54" s="3">
        <f t="shared" si="1"/>
        <v>209.1</v>
      </c>
      <c r="P54" s="3">
        <f>N40</f>
        <v>91</v>
      </c>
      <c r="Q54" s="3">
        <f>P54*30</f>
        <v>2730</v>
      </c>
      <c r="R54" s="3" t="s">
        <v>90</v>
      </c>
    </row>
    <row r="55" spans="1:18" x14ac:dyDescent="0.3">
      <c r="A55">
        <v>3200</v>
      </c>
      <c r="B55" s="1">
        <v>30461</v>
      </c>
      <c r="C55" s="1">
        <v>30509</v>
      </c>
      <c r="D55">
        <v>48</v>
      </c>
      <c r="E55" t="s">
        <v>75</v>
      </c>
      <c r="F55">
        <v>22.87</v>
      </c>
      <c r="G55">
        <v>1.02</v>
      </c>
      <c r="H55">
        <v>60.6</v>
      </c>
      <c r="I55">
        <v>3.5</v>
      </c>
      <c r="J55">
        <v>2.6</v>
      </c>
      <c r="K55">
        <v>42.4</v>
      </c>
      <c r="L55">
        <v>1.3</v>
      </c>
      <c r="M55">
        <v>0</v>
      </c>
      <c r="N55" s="5">
        <f t="shared" si="0"/>
        <v>49.8</v>
      </c>
      <c r="O55">
        <f t="shared" si="1"/>
        <v>10.800000000000004</v>
      </c>
      <c r="P55">
        <f>(N40*11+N41*20)/31</f>
        <v>111.12903225806451</v>
      </c>
      <c r="Q55">
        <f>P55*31</f>
        <v>3445</v>
      </c>
      <c r="R55" t="s">
        <v>91</v>
      </c>
    </row>
    <row r="56" spans="1:18" s="3" customFormat="1" x14ac:dyDescent="0.3">
      <c r="A56" s="3">
        <v>3200</v>
      </c>
      <c r="B56" s="4">
        <v>30510</v>
      </c>
      <c r="C56" s="4">
        <v>30579</v>
      </c>
      <c r="D56" s="3">
        <v>69</v>
      </c>
      <c r="E56" s="3" t="s">
        <v>76</v>
      </c>
      <c r="F56" s="3">
        <v>26.76</v>
      </c>
      <c r="G56" s="3">
        <v>1.83</v>
      </c>
      <c r="H56" s="3">
        <v>88.7</v>
      </c>
      <c r="I56" s="3">
        <v>9.3000000000000007</v>
      </c>
      <c r="J56" s="3">
        <v>5.8</v>
      </c>
      <c r="K56" s="3">
        <v>57.8</v>
      </c>
      <c r="L56" s="3">
        <v>3.6</v>
      </c>
      <c r="M56" s="3">
        <v>0.6</v>
      </c>
      <c r="N56" s="3">
        <f t="shared" si="0"/>
        <v>77.099999999999994</v>
      </c>
      <c r="O56" s="3">
        <f t="shared" si="1"/>
        <v>11.600000000000009</v>
      </c>
      <c r="P56" s="3">
        <f>N41</f>
        <v>122.2</v>
      </c>
      <c r="Q56" s="3">
        <f>P56*30</f>
        <v>3666</v>
      </c>
      <c r="R56" s="3" t="s">
        <v>92</v>
      </c>
    </row>
    <row r="57" spans="1:18" s="3" customFormat="1" x14ac:dyDescent="0.3">
      <c r="A57" s="3">
        <v>3200</v>
      </c>
      <c r="B57" s="4">
        <v>30579</v>
      </c>
      <c r="C57" s="4">
        <v>30635</v>
      </c>
      <c r="D57" s="3">
        <v>56</v>
      </c>
      <c r="E57" s="3" t="s">
        <v>77</v>
      </c>
      <c r="F57" s="3">
        <v>26.76</v>
      </c>
      <c r="G57" s="3">
        <v>0.95</v>
      </c>
      <c r="H57" s="3">
        <v>279.5</v>
      </c>
      <c r="I57" s="3">
        <v>22.6</v>
      </c>
      <c r="J57" s="3">
        <v>4.9000000000000004</v>
      </c>
      <c r="K57" s="3">
        <v>197</v>
      </c>
      <c r="L57" s="3">
        <v>12.3</v>
      </c>
      <c r="M57" s="3">
        <v>1.1000000000000001</v>
      </c>
      <c r="N57" s="3">
        <f t="shared" si="0"/>
        <v>237.9</v>
      </c>
      <c r="O57" s="3">
        <f t="shared" si="1"/>
        <v>41.599999999999994</v>
      </c>
      <c r="P57" s="3">
        <f>(N41*10+N42*14)/24</f>
        <v>149.50000000000003</v>
      </c>
      <c r="Q57" s="3">
        <f>P57*31</f>
        <v>4634.5000000000009</v>
      </c>
      <c r="R57" s="3" t="s">
        <v>93</v>
      </c>
    </row>
    <row r="58" spans="1:18" s="5" customFormat="1" x14ac:dyDescent="0.3">
      <c r="A58" s="5">
        <v>3200</v>
      </c>
      <c r="B58" s="6">
        <v>30635</v>
      </c>
      <c r="C58" s="6">
        <v>30698</v>
      </c>
      <c r="D58" s="5">
        <v>63</v>
      </c>
      <c r="E58" s="5" t="s">
        <v>78</v>
      </c>
      <c r="F58" s="5">
        <v>22.31</v>
      </c>
      <c r="G58" s="5">
        <v>0.84</v>
      </c>
      <c r="H58" s="5">
        <v>194.7</v>
      </c>
      <c r="I58" s="5">
        <v>22.4</v>
      </c>
      <c r="J58" s="5">
        <v>3</v>
      </c>
      <c r="K58" s="5">
        <v>118</v>
      </c>
      <c r="L58" s="5">
        <v>2</v>
      </c>
      <c r="M58" s="5">
        <v>0.7</v>
      </c>
      <c r="N58" s="5">
        <f t="shared" si="0"/>
        <v>146.1</v>
      </c>
      <c r="O58" s="5">
        <f t="shared" si="1"/>
        <v>48.599999999999994</v>
      </c>
      <c r="P58" s="5">
        <f>N42</f>
        <v>169.00000000000003</v>
      </c>
      <c r="Q58" s="5">
        <f>P58*30</f>
        <v>5070.0000000000009</v>
      </c>
      <c r="R58" s="5" t="s">
        <v>94</v>
      </c>
    </row>
    <row r="59" spans="1:18" x14ac:dyDescent="0.3">
      <c r="A59">
        <v>3200</v>
      </c>
      <c r="B59" s="1">
        <v>30698</v>
      </c>
      <c r="C59" s="1">
        <v>30754</v>
      </c>
      <c r="D59">
        <v>56</v>
      </c>
      <c r="E59" t="s">
        <v>79</v>
      </c>
      <c r="F59">
        <v>20.170000000000002</v>
      </c>
      <c r="G59">
        <v>0.85</v>
      </c>
      <c r="H59">
        <v>73.8</v>
      </c>
      <c r="I59">
        <v>13.2</v>
      </c>
      <c r="J59">
        <v>1.7</v>
      </c>
      <c r="K59">
        <v>25.7</v>
      </c>
      <c r="L59">
        <v>0</v>
      </c>
      <c r="M59">
        <v>0</v>
      </c>
      <c r="N59" s="5">
        <f t="shared" si="0"/>
        <v>40.599999999999994</v>
      </c>
      <c r="O59">
        <f t="shared" si="1"/>
        <v>33.200000000000003</v>
      </c>
      <c r="P59">
        <f>N42</f>
        <v>169.00000000000003</v>
      </c>
      <c r="Q59">
        <f>P59*9</f>
        <v>1521.0000000000002</v>
      </c>
      <c r="R59" t="s">
        <v>95</v>
      </c>
    </row>
    <row r="60" spans="1:18" x14ac:dyDescent="0.3">
      <c r="A60">
        <v>3200</v>
      </c>
      <c r="B60" s="1">
        <v>30769</v>
      </c>
      <c r="C60" s="1">
        <v>30819</v>
      </c>
      <c r="D60">
        <v>50</v>
      </c>
      <c r="E60" t="s">
        <v>80</v>
      </c>
      <c r="F60">
        <v>19.45</v>
      </c>
      <c r="G60">
        <v>1.9</v>
      </c>
      <c r="H60">
        <v>324.10000000000002</v>
      </c>
      <c r="I60">
        <v>51.5</v>
      </c>
      <c r="J60">
        <v>11</v>
      </c>
      <c r="K60">
        <v>103</v>
      </c>
      <c r="L60">
        <v>1</v>
      </c>
      <c r="M60">
        <v>0.8</v>
      </c>
      <c r="N60" s="5">
        <f t="shared" si="0"/>
        <v>167.3</v>
      </c>
      <c r="O60">
        <f t="shared" si="1"/>
        <v>156.80000000000001</v>
      </c>
      <c r="P60">
        <f>N43</f>
        <v>280</v>
      </c>
      <c r="Q60">
        <f>P60*23</f>
        <v>6440</v>
      </c>
      <c r="R60" t="s">
        <v>96</v>
      </c>
    </row>
    <row r="61" spans="1:18" x14ac:dyDescent="0.3">
      <c r="P61">
        <f>N43</f>
        <v>280</v>
      </c>
      <c r="Q61">
        <f>P61*31</f>
        <v>8680</v>
      </c>
      <c r="R61" t="s">
        <v>97</v>
      </c>
    </row>
    <row r="62" spans="1:18" x14ac:dyDescent="0.3">
      <c r="P62">
        <f>(N43*7+N44*23)/30</f>
        <v>538.82666666666671</v>
      </c>
      <c r="Q62">
        <f>P62*30</f>
        <v>16164.800000000001</v>
      </c>
      <c r="R62" t="s">
        <v>86</v>
      </c>
    </row>
    <row r="63" spans="1:18" x14ac:dyDescent="0.3">
      <c r="P63">
        <f>(N44*26+N45*5)/31</f>
        <v>531.26129032258075</v>
      </c>
      <c r="Q63">
        <f>P63*31</f>
        <v>16469.100000000002</v>
      </c>
      <c r="R63" t="s">
        <v>88</v>
      </c>
    </row>
    <row r="64" spans="1:18" x14ac:dyDescent="0.3">
      <c r="P64">
        <f>N45</f>
        <v>82.300000000000011</v>
      </c>
      <c r="Q64">
        <f>P64*30</f>
        <v>2469.0000000000005</v>
      </c>
      <c r="R64" t="s">
        <v>89</v>
      </c>
    </row>
    <row r="65" spans="16:18" x14ac:dyDescent="0.3">
      <c r="P65">
        <f>(N45*21+N46*9)/30</f>
        <v>91.81</v>
      </c>
      <c r="Q65">
        <f>P65*30</f>
        <v>2754.3</v>
      </c>
      <c r="R65" t="s">
        <v>90</v>
      </c>
    </row>
    <row r="66" spans="16:18" x14ac:dyDescent="0.3">
      <c r="P66">
        <f>N46</f>
        <v>114</v>
      </c>
      <c r="Q66">
        <f>P66*8</f>
        <v>912</v>
      </c>
      <c r="R66" t="s">
        <v>91</v>
      </c>
    </row>
    <row r="67" spans="16:18" x14ac:dyDescent="0.3">
      <c r="P67">
        <f>(N46*15+N47*15)/30</f>
        <v>152.85</v>
      </c>
      <c r="Q67">
        <f>P67*30</f>
        <v>4585.5</v>
      </c>
      <c r="R67" t="s">
        <v>92</v>
      </c>
    </row>
    <row r="68" spans="16:18" x14ac:dyDescent="0.3">
      <c r="P68">
        <f>N47</f>
        <v>191.70000000000002</v>
      </c>
      <c r="Q68">
        <f>P68*31</f>
        <v>5942.7000000000007</v>
      </c>
      <c r="R68" t="s">
        <v>93</v>
      </c>
    </row>
    <row r="69" spans="16:18" x14ac:dyDescent="0.3">
      <c r="P69">
        <f>N47</f>
        <v>191.70000000000002</v>
      </c>
      <c r="Q69">
        <f>P69*30</f>
        <v>5751.0000000000009</v>
      </c>
      <c r="R69" t="s">
        <v>94</v>
      </c>
    </row>
    <row r="70" spans="16:18" x14ac:dyDescent="0.3">
      <c r="P70">
        <f>(N47*2+N48*29)/31</f>
        <v>218.8290322580645</v>
      </c>
      <c r="Q70">
        <f>P70*31</f>
        <v>6783.7</v>
      </c>
      <c r="R70" t="s">
        <v>95</v>
      </c>
    </row>
    <row r="71" spans="16:18" x14ac:dyDescent="0.3">
      <c r="P71" s="3">
        <f>N47</f>
        <v>191.70000000000002</v>
      </c>
      <c r="Q71" s="3">
        <f>P71*31</f>
        <v>5942.7000000000007</v>
      </c>
      <c r="R71" s="3" t="s">
        <v>87</v>
      </c>
    </row>
    <row r="72" spans="16:18" x14ac:dyDescent="0.3">
      <c r="P72" s="3">
        <f>(N48*2+N49*26)/28</f>
        <v>471.04285714285709</v>
      </c>
      <c r="Q72" s="3">
        <f>P72*28</f>
        <v>13189.199999999999</v>
      </c>
      <c r="R72" s="3" t="s">
        <v>96</v>
      </c>
    </row>
    <row r="73" spans="16:18" x14ac:dyDescent="0.3">
      <c r="P73" s="3">
        <f>N49</f>
        <v>490.29999999999995</v>
      </c>
      <c r="Q73" s="3">
        <f>P73*30</f>
        <v>14708.999999999998</v>
      </c>
      <c r="R73" s="3" t="s">
        <v>97</v>
      </c>
    </row>
    <row r="74" spans="16:18" x14ac:dyDescent="0.3">
      <c r="P74" s="3">
        <f>(N49*6+N50*18)/24</f>
        <v>282.09999999999997</v>
      </c>
      <c r="Q74" s="3">
        <f>P74*24</f>
        <v>6770.4</v>
      </c>
      <c r="R74" s="3" t="s">
        <v>86</v>
      </c>
    </row>
    <row r="75" spans="16:18" x14ac:dyDescent="0.3">
      <c r="P75" s="3">
        <f>N50</f>
        <v>212.7</v>
      </c>
      <c r="Q75" s="3">
        <f>P75*31</f>
        <v>6593.7</v>
      </c>
      <c r="R75" s="3" t="s">
        <v>88</v>
      </c>
    </row>
    <row r="76" spans="16:18" x14ac:dyDescent="0.3">
      <c r="P76" s="3">
        <f>(N50*8+N51*20)/28</f>
        <v>175.34285714285713</v>
      </c>
      <c r="Q76" s="3">
        <f>P76*28</f>
        <v>4909.5999999999995</v>
      </c>
      <c r="R76" s="3" t="s">
        <v>89</v>
      </c>
    </row>
    <row r="77" spans="16:18" x14ac:dyDescent="0.3">
      <c r="P77" s="3">
        <f>N51</f>
        <v>160.39999999999998</v>
      </c>
      <c r="Q77" s="3">
        <f>P77*31</f>
        <v>4972.3999999999996</v>
      </c>
      <c r="R77" s="3" t="s">
        <v>90</v>
      </c>
    </row>
    <row r="78" spans="16:18" x14ac:dyDescent="0.3">
      <c r="P78" s="3">
        <f>(N51*17+N52*14)/31</f>
        <v>128.87741935483871</v>
      </c>
      <c r="Q78" s="3">
        <f>P78*31</f>
        <v>3995.2</v>
      </c>
      <c r="R78" s="3" t="s">
        <v>91</v>
      </c>
    </row>
    <row r="79" spans="16:18" x14ac:dyDescent="0.3">
      <c r="P79" s="3">
        <f>N52</f>
        <v>90.600000000000009</v>
      </c>
      <c r="Q79" s="3">
        <f>P79*23</f>
        <v>2083.8000000000002</v>
      </c>
      <c r="R79" s="3" t="s">
        <v>93</v>
      </c>
    </row>
    <row r="80" spans="16:18" x14ac:dyDescent="0.3">
      <c r="P80" s="3">
        <f>N52</f>
        <v>90.600000000000009</v>
      </c>
      <c r="Q80" s="3">
        <f>P80*30</f>
        <v>2718.0000000000005</v>
      </c>
      <c r="R80" s="3" t="s">
        <v>94</v>
      </c>
    </row>
    <row r="81" spans="16:18" x14ac:dyDescent="0.3">
      <c r="P81" s="3">
        <f>N52</f>
        <v>90.600000000000009</v>
      </c>
      <c r="Q81" s="3">
        <f>P81*7</f>
        <v>634.20000000000005</v>
      </c>
      <c r="R81" s="3" t="s">
        <v>95</v>
      </c>
    </row>
    <row r="82" spans="16:18" x14ac:dyDescent="0.3">
      <c r="P82">
        <f>N53</f>
        <v>252.39999999999998</v>
      </c>
      <c r="Q82">
        <f>P82*14</f>
        <v>3533.5999999999995</v>
      </c>
      <c r="R82" t="s">
        <v>87</v>
      </c>
    </row>
    <row r="83" spans="16:18" x14ac:dyDescent="0.3">
      <c r="P83" s="3">
        <f>N53</f>
        <v>252.39999999999998</v>
      </c>
      <c r="Q83" s="3">
        <f>P83*28</f>
        <v>7067.1999999999989</v>
      </c>
      <c r="R83" s="3" t="s">
        <v>96</v>
      </c>
    </row>
    <row r="84" spans="16:18" x14ac:dyDescent="0.3">
      <c r="P84" s="3">
        <f>(N53*16+N54*14)/30</f>
        <v>192.9</v>
      </c>
      <c r="Q84" s="3">
        <f>P84*30</f>
        <v>5787</v>
      </c>
      <c r="R84" s="3" t="s">
        <v>97</v>
      </c>
    </row>
    <row r="85" spans="16:18" x14ac:dyDescent="0.3">
      <c r="P85" s="5">
        <f>N54</f>
        <v>124.9</v>
      </c>
      <c r="Q85" s="5">
        <f>P85*30</f>
        <v>3747</v>
      </c>
      <c r="R85" s="5" t="s">
        <v>86</v>
      </c>
    </row>
    <row r="86" spans="16:18" x14ac:dyDescent="0.3">
      <c r="P86">
        <f>(N54*25+N55*6)/31</f>
        <v>110.36451612903227</v>
      </c>
      <c r="Q86">
        <f>P86*31</f>
        <v>3421.3</v>
      </c>
      <c r="R86" t="s">
        <v>88</v>
      </c>
    </row>
    <row r="87" spans="16:18" x14ac:dyDescent="0.3">
      <c r="P87">
        <f>N55</f>
        <v>49.8</v>
      </c>
      <c r="Q87">
        <f>P87*30</f>
        <v>1494</v>
      </c>
      <c r="R87" t="s">
        <v>89</v>
      </c>
    </row>
    <row r="88" spans="16:18" x14ac:dyDescent="0.3">
      <c r="P88">
        <f>(N55*12+N56*28)/30</f>
        <v>91.879999999999981</v>
      </c>
      <c r="Q88">
        <f>P88*30</f>
        <v>2756.3999999999996</v>
      </c>
      <c r="R88" t="s">
        <v>90</v>
      </c>
    </row>
    <row r="89" spans="16:18" x14ac:dyDescent="0.3">
      <c r="P89">
        <f>N56</f>
        <v>77.099999999999994</v>
      </c>
      <c r="Q89">
        <f>P89*31</f>
        <v>2390.1</v>
      </c>
      <c r="R89" t="s">
        <v>91</v>
      </c>
    </row>
    <row r="90" spans="16:18" x14ac:dyDescent="0.3">
      <c r="P90">
        <f>(N56*20+N57*11)/30</f>
        <v>138.63</v>
      </c>
      <c r="Q90">
        <f>P90*30</f>
        <v>4158.8999999999996</v>
      </c>
      <c r="R90" t="s">
        <v>92</v>
      </c>
    </row>
    <row r="91" spans="16:18" x14ac:dyDescent="0.3">
      <c r="P91">
        <f>N57</f>
        <v>237.9</v>
      </c>
      <c r="Q91">
        <f>P91*31</f>
        <v>7374.9000000000005</v>
      </c>
      <c r="R91" t="s">
        <v>93</v>
      </c>
    </row>
    <row r="92" spans="16:18" x14ac:dyDescent="0.3">
      <c r="P92">
        <f>(N57*15+N58*15)/30</f>
        <v>192</v>
      </c>
      <c r="Q92">
        <f>P92*30</f>
        <v>5760</v>
      </c>
      <c r="R92" t="s">
        <v>94</v>
      </c>
    </row>
    <row r="93" spans="16:18" x14ac:dyDescent="0.3">
      <c r="P93">
        <f>N58</f>
        <v>146.1</v>
      </c>
      <c r="Q93">
        <f>P93*31</f>
        <v>4529.0999999999995</v>
      </c>
      <c r="R93" t="s">
        <v>95</v>
      </c>
    </row>
    <row r="94" spans="16:18" x14ac:dyDescent="0.3">
      <c r="P94">
        <f>(N58*17+N59*15)/31</f>
        <v>99.764516129032259</v>
      </c>
      <c r="Q94">
        <f>P94*31</f>
        <v>3092.7</v>
      </c>
      <c r="R94" t="s">
        <v>87</v>
      </c>
    </row>
    <row r="95" spans="16:18" x14ac:dyDescent="0.3">
      <c r="P95">
        <f>N59</f>
        <v>40.599999999999994</v>
      </c>
      <c r="Q95">
        <f>P95*28</f>
        <v>1136.7999999999997</v>
      </c>
      <c r="R95" t="s">
        <v>96</v>
      </c>
    </row>
    <row r="96" spans="16:18" x14ac:dyDescent="0.3">
      <c r="P96">
        <f>(N59*13+N60*4)/17</f>
        <v>70.411764705882348</v>
      </c>
      <c r="Q96">
        <f>P96*17</f>
        <v>1197</v>
      </c>
      <c r="R96" t="s">
        <v>97</v>
      </c>
    </row>
    <row r="97" spans="16:18" x14ac:dyDescent="0.3">
      <c r="P97">
        <f>N60</f>
        <v>167.3</v>
      </c>
      <c r="Q97">
        <f>P97*30</f>
        <v>5019</v>
      </c>
      <c r="R97" t="s">
        <v>86</v>
      </c>
    </row>
    <row r="98" spans="16:18" x14ac:dyDescent="0.3">
      <c r="P98">
        <f>N60</f>
        <v>167.3</v>
      </c>
      <c r="Q98">
        <f>P98*17</f>
        <v>2844.1000000000004</v>
      </c>
      <c r="R98" t="s">
        <v>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Sargasso_trap_foram_flux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GRIGORATOU</dc:creator>
  <cp:lastModifiedBy>MARIA GRIGORATOU</cp:lastModifiedBy>
  <dcterms:created xsi:type="dcterms:W3CDTF">2019-04-17T19:20:23Z</dcterms:created>
  <dcterms:modified xsi:type="dcterms:W3CDTF">2019-04-17T22:00:27Z</dcterms:modified>
</cp:coreProperties>
</file>