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 tabRatio="672" activeTab="1"/>
  </bookViews>
  <sheets>
    <sheet name="clase" sheetId="1" r:id="rId1"/>
    <sheet name="practica" sheetId="2" r:id="rId2"/>
    <sheet name="Hoja3" sheetId="3" r:id="rId3"/>
  </sheets>
  <definedNames>
    <definedName name="suma">practica!$E$22</definedName>
    <definedName name="tasa">practica!$H$18</definedName>
  </definedNames>
  <calcPr calcId="152511" iterateDelta="1E-4"/>
</workbook>
</file>

<file path=xl/calcChain.xml><?xml version="1.0" encoding="utf-8"?>
<calcChain xmlns="http://schemas.openxmlformats.org/spreadsheetml/2006/main">
  <c r="V68" i="1" l="1"/>
  <c r="V65" i="1"/>
  <c r="U65" i="1"/>
  <c r="Y64" i="1"/>
  <c r="X64" i="1"/>
  <c r="W64" i="1"/>
  <c r="V64" i="1"/>
  <c r="K8" i="2"/>
  <c r="U64" i="1"/>
  <c r="O7" i="2"/>
  <c r="Y63" i="1"/>
  <c r="H11" i="2"/>
  <c r="H12" i="2" s="1"/>
  <c r="U59" i="1"/>
  <c r="K5" i="2"/>
  <c r="M11" i="2" s="1"/>
  <c r="H21" i="2"/>
  <c r="H18" i="2"/>
  <c r="L44" i="1"/>
  <c r="U38" i="1"/>
  <c r="H13" i="2"/>
  <c r="H14" i="2" s="1"/>
  <c r="T30" i="1"/>
  <c r="E22" i="2"/>
  <c r="H54" i="1"/>
  <c r="H6" i="2"/>
  <c r="H5" i="2"/>
  <c r="BC17" i="1"/>
  <c r="B5" i="2"/>
  <c r="E11" i="2"/>
  <c r="C15" i="1"/>
  <c r="T29" i="1"/>
  <c r="L20" i="1"/>
  <c r="V67" i="1"/>
  <c r="L22" i="1"/>
  <c r="H79" i="1"/>
  <c r="E16" i="2"/>
  <c r="V69" i="1"/>
  <c r="W68" i="1"/>
  <c r="X67" i="1"/>
  <c r="M9" i="2" l="1"/>
  <c r="N10" i="2"/>
  <c r="L11" i="2"/>
  <c r="N8" i="2"/>
  <c r="L8" i="2"/>
  <c r="N9" i="2"/>
  <c r="L9" i="2"/>
  <c r="M18" i="2"/>
  <c r="M16" i="2"/>
  <c r="M14" i="2"/>
  <c r="N19" i="2"/>
  <c r="N18" i="2"/>
  <c r="N17" i="2"/>
  <c r="N16" i="2"/>
  <c r="N15" i="2"/>
  <c r="N14" i="2"/>
  <c r="N13" i="2"/>
  <c r="N12" i="2"/>
  <c r="M19" i="2"/>
  <c r="M17" i="2"/>
  <c r="M15" i="2"/>
  <c r="M13" i="2"/>
  <c r="L19" i="2"/>
  <c r="L18" i="2"/>
  <c r="L17" i="2"/>
  <c r="L16" i="2"/>
  <c r="L15" i="2"/>
  <c r="L14" i="2"/>
  <c r="L13" i="2"/>
  <c r="L12" i="2"/>
  <c r="M12" i="2"/>
  <c r="L10" i="2"/>
  <c r="N11" i="2"/>
  <c r="M8" i="2"/>
  <c r="O8" i="2" s="1"/>
  <c r="K9" i="2" s="1"/>
  <c r="O9" i="2" s="1"/>
  <c r="K10" i="2" s="1"/>
  <c r="O10" i="2" s="1"/>
  <c r="K11" i="2" s="1"/>
  <c r="O11" i="2" s="1"/>
  <c r="K12" i="2" s="1"/>
  <c r="M10" i="2"/>
  <c r="E5" i="2"/>
  <c r="E6" i="2" s="1"/>
  <c r="B23" i="2"/>
  <c r="B24" i="2" s="1"/>
  <c r="B17" i="2"/>
  <c r="B18" i="2" s="1"/>
  <c r="O12" i="2" l="1"/>
  <c r="K13" i="2" s="1"/>
  <c r="H77" i="1"/>
  <c r="C27" i="1"/>
  <c r="O13" i="2" l="1"/>
  <c r="K14" i="2" s="1"/>
  <c r="D44" i="1"/>
  <c r="V99" i="1"/>
  <c r="E4" i="1"/>
  <c r="H9" i="1"/>
  <c r="V101" i="1"/>
  <c r="O14" i="2" l="1"/>
  <c r="K15" i="2" s="1"/>
  <c r="B11" i="2"/>
  <c r="B12" i="2" s="1"/>
  <c r="B6" i="2"/>
  <c r="G66" i="1"/>
  <c r="V100" i="1"/>
  <c r="H10" i="1"/>
  <c r="I9" i="1"/>
  <c r="H12" i="1"/>
  <c r="H11" i="1"/>
  <c r="V19" i="1"/>
  <c r="V108" i="1"/>
  <c r="V18" i="1"/>
  <c r="V107" i="1"/>
  <c r="V17" i="1"/>
  <c r="V106" i="1"/>
  <c r="V16" i="1"/>
  <c r="V105" i="1"/>
  <c r="V104" i="1"/>
  <c r="V103" i="1"/>
  <c r="V102" i="1"/>
  <c r="U6" i="1"/>
  <c r="U5" i="1"/>
  <c r="U4" i="1"/>
  <c r="N16" i="1"/>
  <c r="N15" i="1"/>
  <c r="N14" i="1"/>
  <c r="N13" i="1"/>
  <c r="H14" i="1"/>
  <c r="N12" i="1"/>
  <c r="H13" i="1"/>
  <c r="N11" i="1"/>
  <c r="D37" i="1"/>
  <c r="BC10" i="1"/>
  <c r="N10" i="1"/>
  <c r="N9" i="1"/>
  <c r="N8" i="1"/>
  <c r="O15" i="2" l="1"/>
  <c r="K16" i="2" s="1"/>
  <c r="I10" i="1"/>
  <c r="L34" i="1"/>
  <c r="I11" i="1"/>
  <c r="I12" i="1" s="1"/>
  <c r="I13" i="1" s="1"/>
  <c r="I14" i="1" s="1"/>
  <c r="X87" i="1"/>
  <c r="W87" i="1"/>
  <c r="V87" i="1"/>
  <c r="X86" i="1"/>
  <c r="W86" i="1"/>
  <c r="V86" i="1"/>
  <c r="X85" i="1"/>
  <c r="W85" i="1"/>
  <c r="V85" i="1"/>
  <c r="X84" i="1"/>
  <c r="W84" i="1"/>
  <c r="V84" i="1"/>
  <c r="X83" i="1"/>
  <c r="W83" i="1"/>
  <c r="V83" i="1"/>
  <c r="X82" i="1"/>
  <c r="W82" i="1"/>
  <c r="V82" i="1"/>
  <c r="X81" i="1"/>
  <c r="W81" i="1"/>
  <c r="V81" i="1"/>
  <c r="X80" i="1"/>
  <c r="W80" i="1"/>
  <c r="V80" i="1"/>
  <c r="X79" i="1"/>
  <c r="W79" i="1"/>
  <c r="V79" i="1"/>
  <c r="X78" i="1"/>
  <c r="W78" i="1"/>
  <c r="V78" i="1"/>
  <c r="X77" i="1"/>
  <c r="W77" i="1"/>
  <c r="V77" i="1"/>
  <c r="X76" i="1"/>
  <c r="W76" i="1"/>
  <c r="V76" i="1"/>
  <c r="X75" i="1"/>
  <c r="W75" i="1"/>
  <c r="V75" i="1"/>
  <c r="X74" i="1"/>
  <c r="W74" i="1"/>
  <c r="V74" i="1"/>
  <c r="X73" i="1"/>
  <c r="W73" i="1"/>
  <c r="V73" i="1"/>
  <c r="X72" i="1"/>
  <c r="W72" i="1"/>
  <c r="V72" i="1"/>
  <c r="X71" i="1"/>
  <c r="W71" i="1"/>
  <c r="V71" i="1"/>
  <c r="W65" i="1"/>
  <c r="X65" i="1"/>
  <c r="V66" i="1"/>
  <c r="W66" i="1"/>
  <c r="X66" i="1"/>
  <c r="W67" i="1"/>
  <c r="X68" i="1"/>
  <c r="W69" i="1"/>
  <c r="X69" i="1"/>
  <c r="V70" i="1"/>
  <c r="W70" i="1"/>
  <c r="X70" i="1"/>
  <c r="O16" i="2" l="1"/>
  <c r="K17" i="2" s="1"/>
  <c r="Y65" i="1"/>
  <c r="U66" i="1" s="1"/>
  <c r="Y66" i="1" s="1"/>
  <c r="U67" i="1" s="1"/>
  <c r="Y67" i="1" s="1"/>
  <c r="U68" i="1" s="1"/>
  <c r="Y68" i="1" s="1"/>
  <c r="U69" i="1" s="1"/>
  <c r="Y69" i="1" s="1"/>
  <c r="U70" i="1" s="1"/>
  <c r="Y70" i="1" s="1"/>
  <c r="U71" i="1" s="1"/>
  <c r="Y71" i="1" s="1"/>
  <c r="U72" i="1" s="1"/>
  <c r="Y72" i="1" s="1"/>
  <c r="U73" i="1" s="1"/>
  <c r="Y73" i="1" s="1"/>
  <c r="U74" i="1" s="1"/>
  <c r="Y74" i="1" s="1"/>
  <c r="U75" i="1" s="1"/>
  <c r="Y75" i="1" s="1"/>
  <c r="U76" i="1" s="1"/>
  <c r="Y76" i="1" s="1"/>
  <c r="U77" i="1" s="1"/>
  <c r="Y77" i="1" s="1"/>
  <c r="U78" i="1" s="1"/>
  <c r="Y78" i="1" s="1"/>
  <c r="U79" i="1" s="1"/>
  <c r="Y79" i="1" s="1"/>
  <c r="U80" i="1" s="1"/>
  <c r="Y80" i="1" s="1"/>
  <c r="U81" i="1" s="1"/>
  <c r="Y81" i="1" s="1"/>
  <c r="U82" i="1" s="1"/>
  <c r="Y82" i="1" s="1"/>
  <c r="U83" i="1" s="1"/>
  <c r="Y83" i="1" s="1"/>
  <c r="U84" i="1" s="1"/>
  <c r="Y84" i="1" s="1"/>
  <c r="U85" i="1" s="1"/>
  <c r="Y85" i="1" s="1"/>
  <c r="U86" i="1" s="1"/>
  <c r="Y86" i="1" s="1"/>
  <c r="U87" i="1" s="1"/>
  <c r="Y87" i="1" s="1"/>
  <c r="O17" i="2" l="1"/>
  <c r="K18" i="2" s="1"/>
  <c r="O18" i="2" l="1"/>
  <c r="K19" i="2" s="1"/>
  <c r="O19" i="2" s="1"/>
</calcChain>
</file>

<file path=xl/sharedStrings.xml><?xml version="1.0" encoding="utf-8"?>
<sst xmlns="http://schemas.openxmlformats.org/spreadsheetml/2006/main" count="210" uniqueCount="126">
  <si>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</si>
  <si>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</si>
  <si>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</si>
  <si>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</si>
  <si>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</si>
  <si>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</si>
  <si>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</si>
  <si>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</si>
  <si>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</si>
  <si>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</si>
  <si>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</si>
  <si>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</si>
  <si>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</si>
  <si>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</si>
  <si>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</si>
  <si>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</si>
  <si>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</si>
  <si>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</si>
  <si>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</si>
  <si>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</si>
  <si>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</si>
  <si>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</si>
  <si>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</si>
  <si>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</si>
  <si>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</si>
  <si>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</si>
  <si>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</si>
  <si>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</si>
  <si>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</si>
  <si>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vida util</t>
  </si>
  <si>
    <t>tipo</t>
  </si>
  <si>
    <t>1 = anticipados, 0= vencidos</t>
  </si>
  <si>
    <t>mes</t>
  </si>
  <si>
    <t>1-((valor_residual/costo)^(1/vida))</t>
  </si>
  <si>
    <t>tasa interes</t>
  </si>
  <si>
    <t>numero periodos</t>
  </si>
  <si>
    <t>pago anual</t>
  </si>
  <si>
    <t>TASA NOMINAL</t>
  </si>
  <si>
    <t>convert</t>
  </si>
  <si>
    <t>unidad medida</t>
  </si>
  <si>
    <t>convertir en</t>
  </si>
  <si>
    <t>resultado</t>
  </si>
  <si>
    <t>TIR</t>
  </si>
  <si>
    <t>Es la tasa de interes cuando el valor
Actual neto es igual a 0.</t>
  </si>
  <si>
    <t>Se conoce cuanto se va a depositar
De manera inicial, pero el prestamista
Te indica que la tasa de interes varia con
El tiempo, año tras año el interes
Cambia.</t>
  </si>
  <si>
    <t>metros</t>
  </si>
  <si>
    <t>yardas</t>
  </si>
  <si>
    <t>millas</t>
  </si>
  <si>
    <t>VNA</t>
  </si>
  <si>
    <t>kilometros</t>
  </si>
  <si>
    <t>Calcula la tasa nomimnal</t>
  </si>
  <si>
    <t>SLN</t>
  </si>
  <si>
    <t>Precio Compra</t>
  </si>
  <si>
    <t>Vida Util</t>
  </si>
  <si>
    <t>Valor Residual</t>
  </si>
  <si>
    <t>Depreciación Anual</t>
  </si>
  <si>
    <t>tasa de reinversion</t>
  </si>
  <si>
    <t>tasa financiamiento</t>
  </si>
  <si>
    <t>TIRM</t>
  </si>
  <si>
    <t>VNA NO PER ; TIR NO PER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</si>
  <si>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</si>
  <si>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</si>
  <si>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</si>
  <si>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</si>
  <si>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</si>
  <si>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</si>
  <si>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</si>
  <si>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</si>
  <si>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costo bien</t>
  </si>
  <si>
    <t>Fechas</t>
  </si>
  <si>
    <t>interes</t>
  </si>
  <si>
    <t>valor residual</t>
  </si>
  <si>
    <t>2013/02/15</t>
  </si>
  <si>
    <t>Inversión Inicial</t>
  </si>
  <si>
    <t>N</t>
  </si>
  <si>
    <t>2013/04/15</t>
  </si>
  <si>
    <t>interes mensual</t>
  </si>
  <si>
    <t>2013/06/15</t>
  </si>
  <si>
    <t>Tasa interes efectivo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</si>
  <si>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</si>
  <si>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</si>
  <si>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</si>
  <si>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</si>
  <si>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</si>
  <si>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</si>
  <si>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</si>
  <si>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</si>
  <si>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</si>
  <si>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</si>
  <si>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</si>
  <si>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</si>
  <si>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</si>
  <si>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</si>
  <si>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</si>
  <si>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</si>
  <si>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</si>
  <si>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</si>
  <si>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</si>
  <si>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</si>
  <si>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TASA</t>
  </si>
  <si>
    <t>Valor actual</t>
  </si>
  <si>
    <t>Calculo tasa anual</t>
  </si>
  <si>
    <t>Este ejercicio, tiene como ejemplo, que Que uno presta $3,717,10, en un inicio Pero anualmente recibe $1000, anual Donde en total recibe $4000, junto  Con los intereses.</t>
  </si>
  <si>
    <t>nper</t>
  </si>
  <si>
    <t>Valor Retiro</t>
  </si>
  <si>
    <t>interes trimestral</t>
  </si>
  <si>
    <t>Valor Costara</t>
  </si>
  <si>
    <t>Se deposita 1000 cada año, para que Al final del periodo de  4 años, pueda
Recibir con intereses.</t>
  </si>
  <si>
    <t>Es la tasa con la que reinvierto los fondos ganados de cada fin de periodo</t>
  </si>
  <si>
    <t>Tasa Efectiva</t>
  </si>
  <si>
    <t>Num Periodos Por año</t>
  </si>
  <si>
    <t>Tasa nominal</t>
  </si>
  <si>
    <t>El signo negativo 
significa un egreso de dinero</t>
  </si>
  <si>
    <t>Esta tasa es mensual,</t>
  </si>
  <si>
    <t>Calculo de la amortizacion
 o el importe anual del bien.</t>
  </si>
  <si>
    <t>interes anual</t>
  </si>
  <si>
    <t>Valor Futuro</t>
  </si>
  <si>
    <t>tasa semetral</t>
  </si>
  <si>
    <t>Valor futuro</t>
  </si>
  <si>
    <t>tasa de interes</t>
  </si>
  <si>
    <t>valor fututo</t>
  </si>
  <si>
    <t>tasa de int.efectiva</t>
  </si>
  <si>
    <t>valor futuro new</t>
  </si>
  <si>
    <t>tasa efectiva</t>
  </si>
  <si>
    <t>tiempo</t>
  </si>
  <si>
    <t>tasa 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</si>
</sst>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\ #,##0.00_);[Red]\(&quot;$&quot;\ #,##0.00\)"/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&quot;$&quot;#,##0.00_);[Red]\(&quot;$&quot;#,##0.00\)"/>
    <numFmt numFmtId="165" formatCode="[$$-300A]#,##0.00;[Red][$$-300A]\-#,##0.00"/>
    <numFmt numFmtId="166" formatCode="[$$-540A]#,##0.00_ ;[Red]\-[$$-540A]#,##0.00\ "/>
    <numFmt numFmtId="167" formatCode="yyyy\-mm\-dd"/>
    <numFmt numFmtId="168" formatCode="0.0000%"/>
  </numFmts>
  <fonts count="15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b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5" fillId="0" borderId="0"/>
    <xf numFmtId="44" fontId="12" fillId="0" borderId="0" applyFont="0" applyFill="0" applyBorder="0" applyAlignment="0" applyProtection="0"/>
  </cellStyleXfs>
  <cellXfs count="25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10" fontId="0" fillId="0" borderId="0" xfId="0" applyNumberFormat="1"/>
    <xf numFmtId="0" fontId="0" fillId="0" borderId="5" xfId="0" applyFont="1" applyBorder="1"/>
    <xf numFmtId="165" fontId="0" fillId="0" borderId="0" xfId="0" applyNumberFormat="1" applyBorder="1"/>
    <xf numFmtId="167" fontId="0" fillId="0" borderId="0" xfId="0" applyNumberFormat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65" fontId="0" fillId="0" borderId="8" xfId="0" applyNumberFormat="1" applyBorder="1"/>
    <xf numFmtId="166" fontId="0" fillId="0" borderId="0" xfId="0" applyNumberFormat="1" applyBorder="1"/>
    <xf numFmtId="0" fontId="0" fillId="0" borderId="6" xfId="0" applyBorder="1"/>
    <xf numFmtId="0" fontId="0" fillId="0" borderId="7" xfId="0" applyFont="1" applyBorder="1"/>
    <xf numFmtId="0" fontId="2" fillId="0" borderId="5" xfId="0" applyFont="1" applyBorder="1"/>
    <xf numFmtId="10" fontId="0" fillId="0" borderId="0" xfId="0" applyNumberFormat="1" applyBorder="1"/>
    <xf numFmtId="0" fontId="0" fillId="0" borderId="0" xfId="0" applyFont="1" applyAlignment="1">
      <alignment wrapText="1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3" applyFont="1" applyBorder="1" applyAlignment="1">
      <alignment horizontal="center"/>
    </xf>
    <xf numFmtId="0" fontId="7" fillId="0" borderId="0" xfId="3" applyFont="1" applyBorder="1" applyAlignment="1">
      <alignment horizontal="center" vertical="center"/>
    </xf>
    <xf numFmtId="0" fontId="5" fillId="0" borderId="0" xfId="3" applyBorder="1" applyAlignment="1">
      <alignment horizontal="center"/>
    </xf>
    <xf numFmtId="167" fontId="0" fillId="0" borderId="3" xfId="0" applyNumberFormat="1" applyBorder="1"/>
    <xf numFmtId="166" fontId="0" fillId="0" borderId="12" xfId="0" applyNumberFormat="1" applyBorder="1"/>
    <xf numFmtId="0" fontId="7" fillId="0" borderId="13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0" fillId="0" borderId="12" xfId="0" applyBorder="1"/>
    <xf numFmtId="166" fontId="0" fillId="0" borderId="15" xfId="0" applyNumberFormat="1" applyBorder="1"/>
    <xf numFmtId="0" fontId="0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3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26" xfId="0" applyFont="1" applyBorder="1"/>
    <xf numFmtId="0" fontId="0" fillId="0" borderId="27" xfId="0" applyFont="1" applyBorder="1"/>
    <xf numFmtId="0" fontId="0" fillId="0" borderId="28" xfId="0" applyBorder="1"/>
    <xf numFmtId="0" fontId="0" fillId="0" borderId="29" xfId="0" applyBorder="1"/>
    <xf numFmtId="165" fontId="0" fillId="0" borderId="30" xfId="0" applyNumberFormat="1" applyBorder="1"/>
    <xf numFmtId="0" fontId="0" fillId="0" borderId="20" xfId="0" applyFont="1" applyBorder="1"/>
    <xf numFmtId="10" fontId="0" fillId="0" borderId="31" xfId="0" applyNumberFormat="1" applyBorder="1"/>
    <xf numFmtId="0" fontId="0" fillId="0" borderId="31" xfId="0" applyBorder="1"/>
    <xf numFmtId="165" fontId="0" fillId="0" borderId="31" xfId="0" applyNumberFormat="1" applyBorder="1"/>
    <xf numFmtId="165" fontId="0" fillId="0" borderId="21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9" fontId="0" fillId="0" borderId="31" xfId="0" applyNumberFormat="1" applyBorder="1"/>
    <xf numFmtId="0" fontId="0" fillId="0" borderId="21" xfId="0" applyBorder="1"/>
    <xf numFmtId="0" fontId="10" fillId="0" borderId="5" xfId="0" applyFont="1" applyBorder="1"/>
    <xf numFmtId="0" fontId="10" fillId="0" borderId="12" xfId="0" applyFont="1" applyBorder="1"/>
    <xf numFmtId="0" fontId="0" fillId="0" borderId="12" xfId="0" applyFont="1" applyBorder="1"/>
    <xf numFmtId="10" fontId="0" fillId="0" borderId="12" xfId="0" applyNumberFormat="1" applyBorder="1"/>
    <xf numFmtId="0" fontId="0" fillId="0" borderId="34" xfId="0" applyBorder="1"/>
    <xf numFmtId="0" fontId="0" fillId="0" borderId="35" xfId="0" applyBorder="1"/>
    <xf numFmtId="10" fontId="0" fillId="0" borderId="37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10" fillId="0" borderId="48" xfId="0" applyFont="1" applyBorder="1" applyAlignment="1">
      <alignment horizontal="center"/>
    </xf>
    <xf numFmtId="0" fontId="0" fillId="0" borderId="49" xfId="0" applyBorder="1"/>
    <xf numFmtId="0" fontId="10" fillId="0" borderId="20" xfId="0" applyFont="1" applyBorder="1"/>
    <xf numFmtId="0" fontId="10" fillId="0" borderId="18" xfId="0" applyFont="1" applyBorder="1"/>
    <xf numFmtId="166" fontId="0" fillId="0" borderId="12" xfId="0" applyNumberFormat="1" applyFont="1" applyBorder="1"/>
    <xf numFmtId="166" fontId="10" fillId="0" borderId="12" xfId="0" applyNumberFormat="1" applyFont="1" applyBorder="1"/>
    <xf numFmtId="0" fontId="0" fillId="0" borderId="18" xfId="0" applyFont="1" applyBorder="1"/>
    <xf numFmtId="0" fontId="0" fillId="0" borderId="52" xfId="0" applyFont="1" applyBorder="1"/>
    <xf numFmtId="1" fontId="0" fillId="0" borderId="31" xfId="0" applyNumberFormat="1" applyBorder="1"/>
    <xf numFmtId="0" fontId="0" fillId="0" borderId="31" xfId="0" applyFont="1" applyBorder="1" applyAlignment="1">
      <alignment horizontal="left" vertical="center"/>
    </xf>
    <xf numFmtId="0" fontId="10" fillId="0" borderId="34" xfId="0" applyFont="1" applyBorder="1"/>
    <xf numFmtId="0" fontId="0" fillId="0" borderId="34" xfId="0" applyFont="1" applyBorder="1"/>
    <xf numFmtId="10" fontId="0" fillId="0" borderId="19" xfId="0" applyNumberFormat="1" applyBorder="1"/>
    <xf numFmtId="0" fontId="0" fillId="0" borderId="56" xfId="0" applyBorder="1"/>
    <xf numFmtId="165" fontId="0" fillId="0" borderId="57" xfId="0" applyNumberFormat="1" applyBorder="1"/>
    <xf numFmtId="0" fontId="0" fillId="0" borderId="0" xfId="0" applyBorder="1" applyAlignment="1">
      <alignment horizontal="left" vertical="top" wrapText="1"/>
    </xf>
    <xf numFmtId="0" fontId="2" fillId="0" borderId="26" xfId="0" applyFont="1" applyBorder="1"/>
    <xf numFmtId="0" fontId="2" fillId="0" borderId="27" xfId="0" applyFon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Font="1" applyBorder="1"/>
    <xf numFmtId="0" fontId="0" fillId="0" borderId="30" xfId="0" applyFont="1" applyBorder="1"/>
    <xf numFmtId="0" fontId="0" fillId="0" borderId="59" xfId="0" applyBorder="1"/>
    <xf numFmtId="0" fontId="5" fillId="0" borderId="34" xfId="3" applyBorder="1" applyAlignment="1">
      <alignment horizontal="center"/>
    </xf>
    <xf numFmtId="166" fontId="0" fillId="0" borderId="35" xfId="0" applyNumberFormat="1" applyBorder="1"/>
    <xf numFmtId="0" fontId="5" fillId="0" borderId="36" xfId="3" applyBorder="1" applyAlignment="1">
      <alignment horizontal="center"/>
    </xf>
    <xf numFmtId="166" fontId="0" fillId="0" borderId="37" xfId="0" applyNumberFormat="1" applyBorder="1"/>
    <xf numFmtId="166" fontId="0" fillId="0" borderId="38" xfId="0" applyNumberFormat="1" applyBorder="1"/>
    <xf numFmtId="0" fontId="11" fillId="0" borderId="34" xfId="3" applyFont="1" applyBorder="1" applyAlignment="1">
      <alignment horizontal="center"/>
    </xf>
    <xf numFmtId="0" fontId="11" fillId="0" borderId="36" xfId="3" applyFont="1" applyBorder="1" applyAlignment="1">
      <alignment horizontal="center"/>
    </xf>
    <xf numFmtId="168" fontId="1" fillId="0" borderId="0" xfId="2" applyNumberFormat="1" applyBorder="1"/>
    <xf numFmtId="0" fontId="7" fillId="0" borderId="32" xfId="3" applyFont="1" applyBorder="1" applyAlignment="1">
      <alignment horizontal="center"/>
    </xf>
    <xf numFmtId="0" fontId="5" fillId="0" borderId="60" xfId="3" applyBorder="1" applyAlignment="1">
      <alignment horizontal="center"/>
    </xf>
    <xf numFmtId="166" fontId="0" fillId="0" borderId="61" xfId="0" applyNumberFormat="1" applyBorder="1"/>
    <xf numFmtId="0" fontId="10" fillId="0" borderId="0" xfId="0" applyFont="1" applyBorder="1"/>
    <xf numFmtId="0" fontId="10" fillId="0" borderId="3" xfId="0" applyFont="1" applyBorder="1"/>
    <xf numFmtId="0" fontId="7" fillId="0" borderId="33" xfId="3" applyFont="1" applyBorder="1" applyAlignment="1">
      <alignment horizontal="center"/>
    </xf>
    <xf numFmtId="0" fontId="7" fillId="0" borderId="12" xfId="3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7" xfId="0" applyBorder="1"/>
    <xf numFmtId="0" fontId="0" fillId="0" borderId="51" xfId="0" applyBorder="1"/>
    <xf numFmtId="166" fontId="9" fillId="0" borderId="12" xfId="0" applyNumberFormat="1" applyFont="1" applyBorder="1"/>
    <xf numFmtId="0" fontId="0" fillId="0" borderId="12" xfId="0" applyNumberFormat="1" applyFont="1" applyBorder="1"/>
    <xf numFmtId="10" fontId="1" fillId="0" borderId="12" xfId="2" applyNumberFormat="1" applyBorder="1"/>
    <xf numFmtId="0" fontId="8" fillId="0" borderId="34" xfId="3" applyFont="1" applyBorder="1" applyAlignment="1">
      <alignment horizontal="center"/>
    </xf>
    <xf numFmtId="166" fontId="9" fillId="0" borderId="35" xfId="0" applyNumberFormat="1" applyFont="1" applyBorder="1"/>
    <xf numFmtId="0" fontId="5" fillId="0" borderId="34" xfId="3" applyFont="1" applyBorder="1" applyAlignment="1">
      <alignment horizontal="center"/>
    </xf>
    <xf numFmtId="166" fontId="0" fillId="0" borderId="35" xfId="0" applyNumberFormat="1" applyFont="1" applyBorder="1"/>
    <xf numFmtId="0" fontId="0" fillId="0" borderId="36" xfId="0" applyFont="1" applyBorder="1"/>
    <xf numFmtId="10" fontId="1" fillId="0" borderId="37" xfId="2" applyNumberFormat="1" applyBorder="1"/>
    <xf numFmtId="0" fontId="0" fillId="0" borderId="37" xfId="0" applyFont="1" applyBorder="1"/>
    <xf numFmtId="166" fontId="0" fillId="0" borderId="38" xfId="0" applyNumberFormat="1" applyFont="1" applyBorder="1"/>
    <xf numFmtId="166" fontId="10" fillId="0" borderId="26" xfId="0" applyNumberFormat="1" applyFont="1" applyBorder="1"/>
    <xf numFmtId="43" fontId="1" fillId="0" borderId="31" xfId="1" applyBorder="1"/>
    <xf numFmtId="0" fontId="10" fillId="0" borderId="26" xfId="0" applyFont="1" applyBorder="1"/>
    <xf numFmtId="0" fontId="10" fillId="0" borderId="27" xfId="0" applyFont="1" applyBorder="1"/>
    <xf numFmtId="165" fontId="0" fillId="0" borderId="12" xfId="0" applyNumberFormat="1" applyBorder="1"/>
    <xf numFmtId="0" fontId="10" fillId="0" borderId="32" xfId="0" applyFont="1" applyBorder="1"/>
    <xf numFmtId="0" fontId="10" fillId="0" borderId="13" xfId="0" applyFont="1" applyBorder="1"/>
    <xf numFmtId="0" fontId="10" fillId="0" borderId="33" xfId="0" applyFont="1" applyBorder="1"/>
    <xf numFmtId="165" fontId="0" fillId="0" borderId="35" xfId="0" applyNumberFormat="1" applyBorder="1"/>
    <xf numFmtId="0" fontId="0" fillId="0" borderId="36" xfId="0" applyBorder="1"/>
    <xf numFmtId="165" fontId="0" fillId="0" borderId="37" xfId="0" applyNumberFormat="1" applyBorder="1"/>
    <xf numFmtId="165" fontId="0" fillId="0" borderId="38" xfId="0" applyNumberFormat="1" applyBorder="1"/>
    <xf numFmtId="0" fontId="10" fillId="0" borderId="16" xfId="0" applyFont="1" applyBorder="1"/>
    <xf numFmtId="8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7" fillId="0" borderId="23" xfId="3" applyFont="1" applyBorder="1" applyAlignment="1">
      <alignment horizontal="center" vertical="center"/>
    </xf>
    <xf numFmtId="0" fontId="7" fillId="0" borderId="24" xfId="3" applyFont="1" applyBorder="1" applyAlignment="1">
      <alignment horizontal="center" vertical="center"/>
    </xf>
    <xf numFmtId="0" fontId="7" fillId="0" borderId="25" xfId="3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4" fillId="0" borderId="32" xfId="3" applyFont="1" applyBorder="1" applyAlignment="1">
      <alignment horizontal="center" vertical="center"/>
    </xf>
    <xf numFmtId="0" fontId="4" fillId="0" borderId="13" xfId="3" applyFont="1" applyBorder="1" applyAlignment="1">
      <alignment horizontal="center" vertical="center"/>
    </xf>
    <xf numFmtId="0" fontId="4" fillId="0" borderId="33" xfId="3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58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6" xfId="0" applyFont="1" applyBorder="1" applyAlignment="1">
      <alignment horizontal="center" wrapText="1"/>
    </xf>
    <xf numFmtId="0" fontId="0" fillId="0" borderId="22" xfId="0" applyFont="1" applyBorder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0" fontId="0" fillId="0" borderId="20" xfId="0" applyFont="1" applyBorder="1" applyAlignment="1">
      <alignment horizontal="center" wrapText="1"/>
    </xf>
    <xf numFmtId="0" fontId="0" fillId="0" borderId="31" xfId="0" applyFont="1" applyBorder="1" applyAlignment="1">
      <alignment horizontal="center" wrapText="1"/>
    </xf>
    <xf numFmtId="0" fontId="0" fillId="0" borderId="21" xfId="0" applyFont="1" applyBorder="1" applyAlignment="1">
      <alignment horizontal="center" wrapText="1"/>
    </xf>
    <xf numFmtId="0" fontId="2" fillId="0" borderId="5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wrapText="1"/>
    </xf>
    <xf numFmtId="0" fontId="0" fillId="0" borderId="33" xfId="0" applyFont="1" applyBorder="1" applyAlignment="1">
      <alignment horizontal="center" wrapText="1"/>
    </xf>
    <xf numFmtId="0" fontId="0" fillId="0" borderId="37" xfId="0" applyFont="1" applyBorder="1" applyAlignment="1">
      <alignment horizontal="center" wrapText="1"/>
    </xf>
    <xf numFmtId="0" fontId="0" fillId="0" borderId="38" xfId="0" applyFont="1" applyBorder="1" applyAlignment="1">
      <alignment horizontal="center" wrapText="1"/>
    </xf>
    <xf numFmtId="0" fontId="10" fillId="0" borderId="3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0" fillId="0" borderId="42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31" xfId="0" applyFont="1" applyBorder="1" applyAlignment="1">
      <alignment horizontal="center" wrapText="1"/>
    </xf>
    <xf numFmtId="0" fontId="0" fillId="0" borderId="32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3" fillId="2" borderId="0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7" fillId="2" borderId="32" xfId="3" applyFont="1" applyFill="1" applyBorder="1" applyAlignment="1">
      <alignment horizontal="center"/>
    </xf>
    <xf numFmtId="0" fontId="7" fillId="2" borderId="13" xfId="3" applyFont="1" applyFill="1" applyBorder="1" applyAlignment="1">
      <alignment horizontal="center"/>
    </xf>
    <xf numFmtId="0" fontId="7" fillId="2" borderId="14" xfId="3" applyFont="1" applyFill="1" applyBorder="1" applyAlignment="1">
      <alignment horizontal="center"/>
    </xf>
    <xf numFmtId="0" fontId="13" fillId="2" borderId="46" xfId="0" applyFont="1" applyFill="1" applyBorder="1" applyAlignment="1">
      <alignment horizontal="center"/>
    </xf>
    <xf numFmtId="0" fontId="14" fillId="2" borderId="0" xfId="0" applyFont="1" applyFill="1"/>
    <xf numFmtId="0" fontId="13" fillId="2" borderId="0" xfId="0" applyFont="1" applyFill="1"/>
    <xf numFmtId="0" fontId="14" fillId="0" borderId="0" xfId="0" applyFont="1"/>
    <xf numFmtId="0" fontId="14" fillId="2" borderId="12" xfId="0" applyFont="1" applyFill="1" applyBorder="1"/>
    <xf numFmtId="0" fontId="13" fillId="2" borderId="12" xfId="0" applyFont="1" applyFill="1" applyBorder="1"/>
    <xf numFmtId="0" fontId="14" fillId="2" borderId="62" xfId="0" applyFont="1" applyFill="1" applyBorder="1"/>
    <xf numFmtId="3" fontId="14" fillId="2" borderId="63" xfId="0" applyNumberFormat="1" applyFont="1" applyFill="1" applyBorder="1"/>
    <xf numFmtId="0" fontId="14" fillId="2" borderId="63" xfId="0" applyFont="1" applyFill="1" applyBorder="1"/>
    <xf numFmtId="0" fontId="14" fillId="2" borderId="34" xfId="0" applyFont="1" applyFill="1" applyBorder="1"/>
    <xf numFmtId="43" fontId="11" fillId="2" borderId="35" xfId="1" applyFont="1" applyFill="1" applyBorder="1" applyAlignment="1">
      <alignment horizontal="right"/>
    </xf>
    <xf numFmtId="9" fontId="14" fillId="2" borderId="35" xfId="0" applyNumberFormat="1" applyFont="1" applyFill="1" applyBorder="1"/>
    <xf numFmtId="0" fontId="14" fillId="2" borderId="35" xfId="0" applyFont="1" applyFill="1" applyBorder="1"/>
    <xf numFmtId="10" fontId="11" fillId="2" borderId="35" xfId="2" applyNumberFormat="1" applyFont="1" applyFill="1" applyBorder="1"/>
    <xf numFmtId="9" fontId="11" fillId="2" borderId="35" xfId="2" applyFont="1" applyFill="1" applyBorder="1"/>
    <xf numFmtId="0" fontId="14" fillId="2" borderId="36" xfId="0" applyFont="1" applyFill="1" applyBorder="1"/>
    <xf numFmtId="9" fontId="11" fillId="2" borderId="38" xfId="2" applyFont="1" applyFill="1" applyBorder="1"/>
    <xf numFmtId="0" fontId="14" fillId="2" borderId="64" xfId="0" applyFont="1" applyFill="1" applyBorder="1"/>
    <xf numFmtId="164" fontId="14" fillId="2" borderId="65" xfId="0" applyNumberFormat="1" applyFont="1" applyFill="1" applyBorder="1"/>
    <xf numFmtId="8" fontId="11" fillId="2" borderId="65" xfId="4" applyNumberFormat="1" applyFont="1" applyFill="1" applyBorder="1"/>
    <xf numFmtId="8" fontId="14" fillId="2" borderId="65" xfId="0" applyNumberFormat="1" applyFont="1" applyFill="1" applyBorder="1"/>
    <xf numFmtId="44" fontId="14" fillId="2" borderId="12" xfId="4" applyFont="1" applyFill="1" applyBorder="1"/>
    <xf numFmtId="44" fontId="14" fillId="2" borderId="12" xfId="0" applyNumberFormat="1" applyFont="1" applyFill="1" applyBorder="1"/>
    <xf numFmtId="8" fontId="14" fillId="2" borderId="12" xfId="0" applyNumberFormat="1" applyFont="1" applyFill="1" applyBorder="1"/>
    <xf numFmtId="8" fontId="14" fillId="2" borderId="35" xfId="0" applyNumberFormat="1" applyFont="1" applyFill="1" applyBorder="1"/>
    <xf numFmtId="0" fontId="14" fillId="2" borderId="66" xfId="0" applyFont="1" applyFill="1" applyBorder="1"/>
    <xf numFmtId="9" fontId="14" fillId="2" borderId="66" xfId="0" applyNumberFormat="1" applyFont="1" applyFill="1" applyBorder="1"/>
    <xf numFmtId="0" fontId="14" fillId="2" borderId="67" xfId="0" applyFont="1" applyFill="1" applyBorder="1"/>
    <xf numFmtId="9" fontId="11" fillId="2" borderId="67" xfId="2" applyFont="1" applyFill="1" applyBorder="1"/>
    <xf numFmtId="10" fontId="14" fillId="2" borderId="12" xfId="0" applyNumberFormat="1" applyFont="1" applyFill="1" applyBorder="1"/>
    <xf numFmtId="9" fontId="11" fillId="2" borderId="12" xfId="2" applyFont="1" applyFill="1" applyBorder="1"/>
    <xf numFmtId="9" fontId="14" fillId="2" borderId="65" xfId="0" applyNumberFormat="1" applyFont="1" applyFill="1" applyBorder="1"/>
    <xf numFmtId="9" fontId="14" fillId="2" borderId="38" xfId="0" applyNumberFormat="1" applyFont="1" applyFill="1" applyBorder="1"/>
    <xf numFmtId="8" fontId="14" fillId="2" borderId="0" xfId="0" applyNumberFormat="1" applyFont="1" applyFill="1"/>
    <xf numFmtId="8" fontId="14" fillId="2" borderId="38" xfId="0" applyNumberFormat="1" applyFont="1" applyFill="1" applyBorder="1"/>
  </cellXfs>
  <cellStyles count="5">
    <cellStyle name="Millares" xfId="1" builtinId="3"/>
    <cellStyle name="Moneda" xfId="4" builtinId="4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99"/>
      <color rgb="FF64C40C"/>
      <color rgb="FFFFFF66"/>
      <color rgb="FFBD4441"/>
      <color rgb="FFE6B8B7"/>
      <color rgb="FFE4E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09"/>
  <sheetViews>
    <sheetView topLeftCell="P81" zoomScale="98" zoomScaleNormal="98" workbookViewId="0">
      <selection activeCell="X90" sqref="X90"/>
    </sheetView>
  </sheetViews>
  <sheetFormatPr baseColWidth="10" defaultColWidth="9.140625" defaultRowHeight="15" outlineLevelRow="1"/>
  <cols>
    <col min="1" max="1" width="8.5703125"/>
    <col min="2" max="2" width="15.85546875"/>
    <col min="3" max="3" width="16.42578125" bestFit="1" customWidth="1"/>
    <col min="4" max="4" width="13.7109375" bestFit="1" customWidth="1"/>
    <col min="5" max="5" width="18.28515625" bestFit="1" customWidth="1"/>
    <col min="6" max="6" width="15.5703125" bestFit="1" customWidth="1"/>
    <col min="7" max="7" width="11.42578125"/>
    <col min="8" max="8" width="12.42578125" bestFit="1" customWidth="1"/>
    <col min="9" max="9" width="11.42578125"/>
    <col min="10" max="10" width="15.85546875"/>
    <col min="11" max="11" width="23.28515625" customWidth="1"/>
    <col min="12" max="12" width="18" customWidth="1"/>
    <col min="13" max="13" width="20.140625" bestFit="1" customWidth="1"/>
    <col min="14" max="14" width="8.5703125"/>
    <col min="15" max="15" width="16.140625"/>
    <col min="16" max="18" width="8.5703125"/>
    <col min="19" max="19" width="15.85546875" customWidth="1"/>
    <col min="20" max="20" width="16" bestFit="1" customWidth="1"/>
    <col min="21" max="21" width="13.7109375" bestFit="1" customWidth="1"/>
    <col min="22" max="22" width="14.140625"/>
    <col min="23" max="23" width="16.28515625" customWidth="1"/>
    <col min="24" max="24" width="16.5703125" customWidth="1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22.140625" bestFit="1" customWidth="1"/>
    <col min="41" max="41" width="19.42578125" customWidth="1"/>
    <col min="42" max="42" width="15.5703125" customWidth="1"/>
    <col min="43" max="43" width="11.5703125"/>
    <col min="44" max="44" width="12.28515625"/>
    <col min="45" max="45" width="14.7109375"/>
    <col min="46" max="46" width="14.140625"/>
    <col min="47" max="47" width="25.5703125" customWidth="1"/>
    <col min="48" max="48" width="30" customWidth="1"/>
    <col min="49" max="49" width="10.85546875"/>
    <col min="50" max="52" width="8.5703125"/>
    <col min="53" max="53" width="32.42578125" customWidth="1"/>
    <col min="54" max="54" width="14.85546875"/>
    <col min="55" max="55" width="10.5703125"/>
    <col min="56" max="57" width="8.5703125"/>
    <col min="58" max="58" width="17.7109375" customWidth="1"/>
    <col min="59" max="59" width="15.42578125"/>
    <col min="60" max="60" width="10"/>
    <col min="61" max="61" width="8.5703125"/>
    <col min="62" max="62" width="30.85546875" customWidth="1"/>
    <col min="63" max="63" width="15.42578125"/>
    <col min="64" max="64" width="10"/>
    <col min="65" max="1025" width="8.5703125"/>
  </cols>
  <sheetData>
    <row r="1" spans="2:55" ht="15.75" thickBot="1">
      <c r="K1" s="140" t="s">
        <v>0</v>
      </c>
      <c r="L1" s="141"/>
      <c r="M1" s="141"/>
      <c r="N1" s="141"/>
      <c r="O1" s="142"/>
    </row>
    <row r="2" spans="2:55">
      <c r="B2" s="152" t="s">
        <v>51</v>
      </c>
      <c r="C2" s="153"/>
      <c r="D2" s="153"/>
      <c r="E2" s="154"/>
      <c r="K2" s="34"/>
      <c r="L2" s="2"/>
      <c r="M2" s="2"/>
      <c r="N2" s="2"/>
      <c r="O2" s="35"/>
      <c r="R2" s="140" t="s">
        <v>38</v>
      </c>
      <c r="S2" s="141"/>
      <c r="T2" s="141"/>
      <c r="U2" s="142"/>
    </row>
    <row r="3" spans="2:55">
      <c r="B3" s="124" t="s">
        <v>52</v>
      </c>
      <c r="C3" s="55" t="s">
        <v>53</v>
      </c>
      <c r="D3" s="55" t="s">
        <v>54</v>
      </c>
      <c r="E3" s="125" t="s">
        <v>55</v>
      </c>
      <c r="K3" s="70" t="s">
        <v>2</v>
      </c>
      <c r="L3" s="2">
        <v>15000</v>
      </c>
      <c r="M3" s="2"/>
      <c r="N3" s="2"/>
      <c r="O3" s="35"/>
      <c r="R3" s="83" t="s">
        <v>28</v>
      </c>
      <c r="S3" s="15" t="s">
        <v>39</v>
      </c>
      <c r="T3" s="15" t="s">
        <v>40</v>
      </c>
      <c r="U3" s="84" t="s">
        <v>41</v>
      </c>
      <c r="BA3" s="136" t="s">
        <v>3</v>
      </c>
      <c r="BB3" s="136"/>
      <c r="BC3" s="136"/>
    </row>
    <row r="4" spans="2:55" ht="15.75" thickBot="1">
      <c r="B4" s="43">
        <v>20000</v>
      </c>
      <c r="C4" s="44">
        <v>4</v>
      </c>
      <c r="D4" s="44">
        <v>200</v>
      </c>
      <c r="E4" s="45">
        <f>SLN(B4,D4,C4)</f>
        <v>4950</v>
      </c>
      <c r="K4" s="70" t="s">
        <v>8</v>
      </c>
      <c r="L4" s="2">
        <v>8</v>
      </c>
      <c r="M4" s="2" t="s">
        <v>9</v>
      </c>
      <c r="N4" s="2"/>
      <c r="O4" s="35"/>
      <c r="R4" s="85">
        <v>100</v>
      </c>
      <c r="S4" s="18" t="s">
        <v>45</v>
      </c>
      <c r="T4" s="18" t="s">
        <v>46</v>
      </c>
      <c r="U4" s="86">
        <f>CONVERT(R4,"m","yd")</f>
        <v>109.36132983377078</v>
      </c>
      <c r="BA4" s="1"/>
      <c r="BC4" s="3"/>
    </row>
    <row r="5" spans="2:55" ht="21.75" thickBot="1">
      <c r="B5" s="143"/>
      <c r="C5" s="144"/>
      <c r="D5" s="144"/>
      <c r="E5" s="144"/>
      <c r="F5" s="144"/>
      <c r="G5" s="144"/>
      <c r="H5" s="145"/>
      <c r="J5" s="51"/>
      <c r="K5" s="70" t="s">
        <v>14</v>
      </c>
      <c r="L5" s="16">
        <v>0.1</v>
      </c>
      <c r="M5" s="2"/>
      <c r="N5" s="2"/>
      <c r="O5" s="35"/>
      <c r="P5" s="52"/>
      <c r="Q5" s="51"/>
      <c r="R5" s="87">
        <v>200</v>
      </c>
      <c r="S5" s="5" t="s">
        <v>47</v>
      </c>
      <c r="T5" s="5" t="s">
        <v>45</v>
      </c>
      <c r="U5" s="42">
        <f>CONVERT(R5,"mi","m")</f>
        <v>321868.79999999999</v>
      </c>
      <c r="BA5" s="1"/>
      <c r="BC5" s="3"/>
    </row>
    <row r="6" spans="2:55" ht="21.75" thickBot="1">
      <c r="B6" s="146" t="s">
        <v>11</v>
      </c>
      <c r="C6" s="147"/>
      <c r="D6" s="147"/>
      <c r="E6" s="147"/>
      <c r="F6" s="147"/>
      <c r="G6" s="147"/>
      <c r="H6" s="147"/>
      <c r="I6" s="148"/>
      <c r="J6" s="2"/>
      <c r="K6" s="34"/>
      <c r="L6" s="2"/>
      <c r="M6" s="2"/>
      <c r="N6" s="2"/>
      <c r="O6" s="35"/>
      <c r="P6" s="2"/>
      <c r="R6" s="88">
        <v>300</v>
      </c>
      <c r="S6" s="89" t="s">
        <v>49</v>
      </c>
      <c r="T6" s="89" t="s">
        <v>45</v>
      </c>
      <c r="U6" s="90">
        <f>CONVERT(R6,"km","m")</f>
        <v>300000</v>
      </c>
      <c r="BA6" s="5" t="s">
        <v>17</v>
      </c>
      <c r="BB6" s="5" t="s">
        <v>18</v>
      </c>
      <c r="BC6" s="3"/>
    </row>
    <row r="7" spans="2:55" ht="13.9" customHeight="1" thickBot="1">
      <c r="B7" s="34"/>
      <c r="C7" s="2"/>
      <c r="D7" s="2"/>
      <c r="E7" s="2"/>
      <c r="F7" s="2"/>
      <c r="G7" s="2"/>
      <c r="H7" s="2"/>
      <c r="I7" s="35"/>
      <c r="J7" s="2"/>
      <c r="K7" s="155" t="s">
        <v>25</v>
      </c>
      <c r="L7" s="156"/>
      <c r="M7" s="156"/>
      <c r="N7" s="156"/>
      <c r="O7" s="35"/>
      <c r="R7" s="3"/>
      <c r="BA7" s="5">
        <v>1</v>
      </c>
      <c r="BB7" s="5">
        <v>1000</v>
      </c>
      <c r="BC7" s="3"/>
    </row>
    <row r="8" spans="2:55">
      <c r="B8" s="134" t="s">
        <v>20</v>
      </c>
      <c r="C8" s="109">
        <v>15000</v>
      </c>
      <c r="D8" s="2"/>
      <c r="E8" s="2"/>
      <c r="F8" s="2"/>
      <c r="G8" s="127" t="s">
        <v>19</v>
      </c>
      <c r="H8" s="128" t="s">
        <v>21</v>
      </c>
      <c r="I8" s="129" t="s">
        <v>22</v>
      </c>
      <c r="J8" s="2"/>
      <c r="K8" s="72" t="s">
        <v>27</v>
      </c>
      <c r="L8" s="56" t="s">
        <v>19</v>
      </c>
      <c r="M8" s="56" t="s">
        <v>28</v>
      </c>
      <c r="N8" s="56">
        <f>-L3</f>
        <v>-15000</v>
      </c>
      <c r="O8" s="35"/>
      <c r="R8" s="3"/>
      <c r="BA8" s="5">
        <v>2</v>
      </c>
      <c r="BB8" s="5">
        <v>1000</v>
      </c>
      <c r="BC8" s="3"/>
    </row>
    <row r="9" spans="2:55" ht="15.75" thickBot="1">
      <c r="B9" s="70" t="s">
        <v>26</v>
      </c>
      <c r="C9" s="35">
        <v>1500</v>
      </c>
      <c r="D9" s="2"/>
      <c r="E9" s="2"/>
      <c r="F9" s="2"/>
      <c r="G9" s="59">
        <v>1</v>
      </c>
      <c r="H9" s="126">
        <f t="shared" ref="H9:H14" si="0">DB($C$8,$C$9,$C$10,G9,$C$12)</f>
        <v>4785</v>
      </c>
      <c r="I9" s="130">
        <f>$C$8-H9</f>
        <v>10215</v>
      </c>
      <c r="J9" s="2"/>
      <c r="K9" s="56">
        <v>2011</v>
      </c>
      <c r="L9" s="31">
        <v>1</v>
      </c>
      <c r="M9" s="31">
        <v>14000</v>
      </c>
      <c r="N9" s="31">
        <f t="shared" ref="N9:N16" si="1">M9</f>
        <v>14000</v>
      </c>
      <c r="O9" s="35"/>
      <c r="R9" s="3"/>
      <c r="BA9" s="5">
        <v>3</v>
      </c>
      <c r="BB9" s="5">
        <v>1000</v>
      </c>
      <c r="BC9" s="3"/>
    </row>
    <row r="10" spans="2:55">
      <c r="B10" s="70" t="s">
        <v>29</v>
      </c>
      <c r="C10" s="35">
        <v>6</v>
      </c>
      <c r="D10" s="2"/>
      <c r="E10" s="2"/>
      <c r="F10" s="2"/>
      <c r="G10" s="59">
        <v>2</v>
      </c>
      <c r="H10" s="126">
        <f t="shared" si="0"/>
        <v>3258.585</v>
      </c>
      <c r="I10" s="130">
        <f t="shared" ref="I10:I14" si="2">I9-H10</f>
        <v>6956.415</v>
      </c>
      <c r="J10" s="2"/>
      <c r="K10" s="56">
        <v>2012</v>
      </c>
      <c r="L10" s="31">
        <v>2</v>
      </c>
      <c r="M10" s="31">
        <v>13880</v>
      </c>
      <c r="N10" s="31">
        <f t="shared" si="1"/>
        <v>13880</v>
      </c>
      <c r="O10" s="35"/>
      <c r="R10" s="166" t="s">
        <v>90</v>
      </c>
      <c r="S10" s="167"/>
      <c r="T10" s="167"/>
      <c r="U10" s="167"/>
      <c r="V10" s="167"/>
      <c r="W10" s="167"/>
      <c r="X10" s="168"/>
      <c r="AH10" s="1"/>
      <c r="AO10" s="3"/>
      <c r="BA10" s="5">
        <v>4</v>
      </c>
      <c r="BB10" s="5">
        <v>1000</v>
      </c>
      <c r="BC10" s="3">
        <f>SUM(BB7:BB10)</f>
        <v>4000</v>
      </c>
    </row>
    <row r="11" spans="2:55">
      <c r="B11" s="70" t="s">
        <v>19</v>
      </c>
      <c r="C11" s="35">
        <v>1</v>
      </c>
      <c r="D11" s="2"/>
      <c r="E11" s="2"/>
      <c r="F11" s="2"/>
      <c r="G11" s="59">
        <v>3</v>
      </c>
      <c r="H11" s="126">
        <f t="shared" si="0"/>
        <v>2219.0963849999998</v>
      </c>
      <c r="I11" s="130">
        <f t="shared" si="2"/>
        <v>4737.3186150000001</v>
      </c>
      <c r="J11" s="2"/>
      <c r="K11" s="56">
        <v>2013</v>
      </c>
      <c r="L11" s="31">
        <v>3</v>
      </c>
      <c r="M11" s="31">
        <v>14202</v>
      </c>
      <c r="N11" s="31">
        <f t="shared" si="1"/>
        <v>14202</v>
      </c>
      <c r="O11" s="35"/>
      <c r="R11" s="205" t="s">
        <v>6</v>
      </c>
      <c r="S11" s="205"/>
      <c r="T11" s="58">
        <v>0.06</v>
      </c>
      <c r="U11" s="31"/>
      <c r="V11" s="2"/>
      <c r="W11" s="3"/>
      <c r="X11" s="35"/>
      <c r="AJ11" s="8"/>
      <c r="AK11" s="8"/>
      <c r="AL11" s="8"/>
      <c r="AM11" s="8"/>
      <c r="AN11" s="8"/>
      <c r="AO11" s="9"/>
      <c r="BA11" s="1"/>
      <c r="BC11" s="3"/>
    </row>
    <row r="12" spans="2:55" ht="13.5" customHeight="1" thickBot="1">
      <c r="B12" s="69" t="s">
        <v>32</v>
      </c>
      <c r="C12" s="54">
        <v>12</v>
      </c>
      <c r="D12" s="2"/>
      <c r="E12" s="2"/>
      <c r="F12" s="2"/>
      <c r="G12" s="59">
        <v>4</v>
      </c>
      <c r="H12" s="126">
        <f t="shared" si="0"/>
        <v>1511.204638185</v>
      </c>
      <c r="I12" s="130">
        <f t="shared" si="2"/>
        <v>3226.1139768150001</v>
      </c>
      <c r="J12" s="2"/>
      <c r="K12" s="56">
        <v>2014</v>
      </c>
      <c r="L12" s="31">
        <v>4</v>
      </c>
      <c r="M12" s="31">
        <v>14120</v>
      </c>
      <c r="N12" s="31">
        <f t="shared" si="1"/>
        <v>14120</v>
      </c>
      <c r="O12" s="35"/>
      <c r="R12" s="205" t="s">
        <v>92</v>
      </c>
      <c r="S12" s="205"/>
      <c r="T12" s="31">
        <v>4</v>
      </c>
      <c r="U12" s="31" t="s">
        <v>93</v>
      </c>
      <c r="V12" s="2"/>
      <c r="W12" s="3"/>
      <c r="X12" s="35"/>
      <c r="BA12" s="1"/>
      <c r="BC12" s="3"/>
    </row>
    <row r="13" spans="2:55">
      <c r="B13" s="70"/>
      <c r="C13" s="16"/>
      <c r="D13" s="2"/>
      <c r="E13" s="2"/>
      <c r="F13" s="2"/>
      <c r="G13" s="59">
        <v>5</v>
      </c>
      <c r="H13" s="126">
        <f t="shared" si="0"/>
        <v>1029.1303586039851</v>
      </c>
      <c r="I13" s="130">
        <f t="shared" si="2"/>
        <v>2196.9836182110148</v>
      </c>
      <c r="J13" s="2"/>
      <c r="K13" s="56">
        <v>2015</v>
      </c>
      <c r="L13" s="31">
        <v>5</v>
      </c>
      <c r="M13" s="31">
        <v>15000</v>
      </c>
      <c r="N13" s="31">
        <f t="shared" si="1"/>
        <v>15000</v>
      </c>
      <c r="O13" s="35"/>
      <c r="R13" s="205" t="s">
        <v>94</v>
      </c>
      <c r="S13" s="205"/>
      <c r="T13" s="31">
        <v>5000</v>
      </c>
      <c r="U13" s="31" t="s">
        <v>95</v>
      </c>
      <c r="V13" s="2"/>
      <c r="W13" s="3"/>
      <c r="X13" s="35"/>
      <c r="BA13" s="1"/>
      <c r="BB13" t="s">
        <v>34</v>
      </c>
      <c r="BC13" s="10">
        <v>0.03</v>
      </c>
    </row>
    <row r="14" spans="2:55" ht="15.75" thickBot="1">
      <c r="B14" s="70" t="s">
        <v>6</v>
      </c>
      <c r="C14" s="157" t="s">
        <v>33</v>
      </c>
      <c r="D14" s="157"/>
      <c r="E14" s="157"/>
      <c r="F14" s="2"/>
      <c r="G14" s="131">
        <v>6</v>
      </c>
      <c r="H14" s="132">
        <f t="shared" si="0"/>
        <v>700.83777420931369</v>
      </c>
      <c r="I14" s="133">
        <f t="shared" si="2"/>
        <v>1496.1458440017011</v>
      </c>
      <c r="J14" s="2"/>
      <c r="K14" s="56">
        <v>2016</v>
      </c>
      <c r="L14" s="31">
        <v>6</v>
      </c>
      <c r="M14" s="31">
        <v>12500</v>
      </c>
      <c r="N14" s="31">
        <f t="shared" si="1"/>
        <v>12500</v>
      </c>
      <c r="O14" s="35"/>
      <c r="R14" s="73"/>
      <c r="S14" s="2"/>
      <c r="T14" s="2"/>
      <c r="U14" s="2"/>
      <c r="V14" s="2"/>
      <c r="W14" s="3"/>
      <c r="X14" s="35"/>
      <c r="BA14" s="1"/>
      <c r="BB14" t="s">
        <v>35</v>
      </c>
      <c r="BC14" s="3">
        <v>4</v>
      </c>
    </row>
    <row r="15" spans="2:55" ht="15.75" thickBot="1">
      <c r="B15" s="69" t="s">
        <v>6</v>
      </c>
      <c r="C15" s="47">
        <f>1-(C9/C8)^(1/C10)</f>
        <v>0.31870793094203864</v>
      </c>
      <c r="D15" s="48"/>
      <c r="E15" s="48"/>
      <c r="F15" s="48"/>
      <c r="G15" s="48"/>
      <c r="H15" s="49"/>
      <c r="I15" s="50"/>
      <c r="J15" s="2"/>
      <c r="K15" s="56">
        <v>2017</v>
      </c>
      <c r="L15" s="31">
        <v>7</v>
      </c>
      <c r="M15" s="31">
        <v>15100</v>
      </c>
      <c r="N15" s="31">
        <f t="shared" si="1"/>
        <v>15100</v>
      </c>
      <c r="O15" s="35"/>
      <c r="R15" s="73"/>
      <c r="S15" s="2"/>
      <c r="T15" s="2"/>
      <c r="U15" s="56" t="s">
        <v>19</v>
      </c>
      <c r="V15" s="56" t="s">
        <v>97</v>
      </c>
      <c r="W15" s="3"/>
      <c r="X15" s="35"/>
      <c r="BA15" s="1"/>
      <c r="BB15" t="s">
        <v>36</v>
      </c>
      <c r="BC15" s="3">
        <v>1000</v>
      </c>
    </row>
    <row r="16" spans="2:55">
      <c r="B16" s="157"/>
      <c r="C16" s="157"/>
      <c r="D16" s="157"/>
      <c r="E16" s="157"/>
      <c r="F16" s="157"/>
      <c r="G16" s="2"/>
      <c r="H16" s="2"/>
      <c r="I16" s="2"/>
      <c r="J16" s="2"/>
      <c r="K16" s="56">
        <v>2018</v>
      </c>
      <c r="L16" s="31">
        <v>8</v>
      </c>
      <c r="M16" s="31">
        <v>16200</v>
      </c>
      <c r="N16" s="31">
        <f t="shared" si="1"/>
        <v>16200</v>
      </c>
      <c r="O16" s="35"/>
      <c r="R16" s="73"/>
      <c r="S16" s="2"/>
      <c r="T16" s="2"/>
      <c r="U16" s="57">
        <v>1</v>
      </c>
      <c r="V16" s="57">
        <f>ISPMT($T$11,U16,$T$12,$T$13)</f>
        <v>-225</v>
      </c>
      <c r="W16" s="164" t="s">
        <v>112</v>
      </c>
      <c r="X16" s="165"/>
      <c r="BA16" s="1"/>
      <c r="BC16" s="3"/>
    </row>
    <row r="17" spans="2:55" ht="15.75" thickBot="1">
      <c r="B17" s="33"/>
      <c r="C17" s="2"/>
      <c r="D17" s="2"/>
      <c r="E17" s="2"/>
      <c r="F17" s="2"/>
      <c r="G17" s="2"/>
      <c r="H17" s="2"/>
      <c r="I17" s="2"/>
      <c r="J17" s="2"/>
      <c r="K17" s="34"/>
      <c r="L17" s="2"/>
      <c r="M17" s="2"/>
      <c r="N17" s="2"/>
      <c r="O17" s="35"/>
      <c r="P17" s="2"/>
      <c r="R17" s="73"/>
      <c r="S17" s="2"/>
      <c r="T17" s="2"/>
      <c r="U17" s="57">
        <v>2</v>
      </c>
      <c r="V17" s="57">
        <f>ISPMT($T$11,U17,$T$12,$T$13)</f>
        <v>-150</v>
      </c>
      <c r="W17" s="164"/>
      <c r="X17" s="165"/>
      <c r="BA17" s="13"/>
      <c r="BB17" s="14" t="s">
        <v>3</v>
      </c>
      <c r="BC17" s="11">
        <f>PV(BC13,BC14,-BC15)</f>
        <v>3717.098402810368</v>
      </c>
    </row>
    <row r="18" spans="2:55" ht="15" customHeight="1" thickBot="1">
      <c r="J18" s="1"/>
      <c r="K18" s="67" t="s">
        <v>42</v>
      </c>
      <c r="L18" s="172" t="s">
        <v>43</v>
      </c>
      <c r="M18" s="173"/>
      <c r="N18" s="173"/>
      <c r="O18" s="174"/>
      <c r="R18" s="73"/>
      <c r="S18" s="2"/>
      <c r="T18" s="2"/>
      <c r="U18" s="57">
        <v>3</v>
      </c>
      <c r="V18" s="57">
        <f>ISPMT($T$11,U18,$T$12,$T$13)</f>
        <v>-75</v>
      </c>
      <c r="W18" s="164"/>
      <c r="X18" s="165"/>
      <c r="BA18" s="17" t="s">
        <v>102</v>
      </c>
    </row>
    <row r="19" spans="2:55" ht="16.5" customHeight="1" thickBot="1">
      <c r="B19" s="166" t="s">
        <v>1</v>
      </c>
      <c r="C19" s="178"/>
      <c r="D19" s="178"/>
      <c r="E19" s="178"/>
      <c r="F19" s="178"/>
      <c r="G19" s="178"/>
      <c r="H19" s="178"/>
      <c r="I19" s="142"/>
      <c r="J19" s="74"/>
      <c r="K19" s="68"/>
      <c r="L19" s="175"/>
      <c r="M19" s="176"/>
      <c r="N19" s="176"/>
      <c r="O19" s="177"/>
      <c r="R19" s="73"/>
      <c r="S19" s="2"/>
      <c r="T19" s="2"/>
      <c r="U19" s="57">
        <v>4</v>
      </c>
      <c r="V19" s="57">
        <f>ISPMT($T$11,U19,$T$12,$T$13)</f>
        <v>0</v>
      </c>
      <c r="W19" s="164"/>
      <c r="X19" s="165"/>
      <c r="AL19" s="19"/>
      <c r="AM19" s="19"/>
    </row>
    <row r="20" spans="2:55" ht="15.75" thickBot="1">
      <c r="B20" s="70" t="s">
        <v>6</v>
      </c>
      <c r="C20" s="16">
        <v>0.01</v>
      </c>
      <c r="D20" s="2" t="s">
        <v>7</v>
      </c>
      <c r="E20" s="2"/>
      <c r="F20" s="2"/>
      <c r="G20" s="2"/>
      <c r="H20" s="2"/>
      <c r="I20" s="35"/>
      <c r="J20" s="74"/>
      <c r="K20" s="70" t="s">
        <v>48</v>
      </c>
      <c r="L20" s="6">
        <f>NPV($L$5,M9:M16)-$L$3</f>
        <v>61188.52101583789</v>
      </c>
      <c r="M20" s="2"/>
      <c r="N20" s="2"/>
      <c r="O20" s="35"/>
      <c r="R20" s="46"/>
      <c r="S20" s="48"/>
      <c r="T20" s="48"/>
      <c r="U20" s="48"/>
      <c r="V20" s="48"/>
      <c r="W20" s="110"/>
      <c r="X20" s="54"/>
    </row>
    <row r="21" spans="2:55" ht="20.25">
      <c r="B21" s="70" t="s">
        <v>12</v>
      </c>
      <c r="C21" s="2">
        <v>100</v>
      </c>
      <c r="D21" s="2" t="s">
        <v>13</v>
      </c>
      <c r="E21" s="2"/>
      <c r="F21" s="2"/>
      <c r="G21" s="2"/>
      <c r="H21" s="2"/>
      <c r="I21" s="35"/>
      <c r="J21" s="74"/>
      <c r="K21" s="34"/>
      <c r="L21" s="2"/>
      <c r="M21" s="2"/>
      <c r="N21" s="2"/>
      <c r="O21" s="35"/>
      <c r="P21" s="36"/>
      <c r="Q21" s="36"/>
      <c r="R21" s="36"/>
      <c r="U21" s="20"/>
      <c r="V21" s="21"/>
      <c r="W21" s="21"/>
      <c r="X21" s="21"/>
      <c r="Y21" s="22"/>
      <c r="Z21" s="21"/>
      <c r="AA21" s="21"/>
      <c r="AB21" s="21"/>
      <c r="AC21" s="21"/>
      <c r="AD21" s="21"/>
      <c r="AE21" s="21"/>
      <c r="AF21" s="23"/>
    </row>
    <row r="22" spans="2:55" ht="15.75" thickBot="1">
      <c r="B22" s="70" t="s">
        <v>15</v>
      </c>
      <c r="C22" s="2">
        <v>-2000</v>
      </c>
      <c r="D22" s="149" t="s">
        <v>16</v>
      </c>
      <c r="E22" s="149"/>
      <c r="F22" s="149"/>
      <c r="G22" s="149"/>
      <c r="H22" s="149"/>
      <c r="I22" s="35"/>
      <c r="J22" s="74"/>
      <c r="K22" s="70" t="s">
        <v>42</v>
      </c>
      <c r="L22" s="16">
        <f>IRR(N8:N16)</f>
        <v>0.93068436136971178</v>
      </c>
      <c r="M22" s="2"/>
      <c r="N22" s="2"/>
      <c r="O22" s="35"/>
      <c r="P22" s="39"/>
      <c r="Q22" s="39"/>
      <c r="R22" s="9"/>
      <c r="U22" s="1"/>
      <c r="AF22" s="3"/>
      <c r="AH22" s="2"/>
      <c r="AI22" s="4"/>
    </row>
    <row r="23" spans="2:55">
      <c r="B23" s="70" t="s">
        <v>23</v>
      </c>
      <c r="C23" s="2">
        <v>100</v>
      </c>
      <c r="D23" s="150" t="s">
        <v>24</v>
      </c>
      <c r="E23" s="150"/>
      <c r="F23" s="150"/>
      <c r="G23" s="150"/>
      <c r="H23" s="150"/>
      <c r="I23" s="151"/>
      <c r="K23" s="34"/>
      <c r="L23" s="2"/>
      <c r="M23" s="2"/>
      <c r="N23" s="2"/>
      <c r="O23" s="35"/>
      <c r="S23" s="161" t="s">
        <v>99</v>
      </c>
      <c r="T23" s="162"/>
      <c r="U23" s="162"/>
      <c r="V23" s="163"/>
      <c r="AF23" s="3"/>
      <c r="AH23" s="2"/>
    </row>
    <row r="24" spans="2:55">
      <c r="B24" s="70"/>
      <c r="C24" s="2"/>
      <c r="D24" s="150"/>
      <c r="E24" s="150"/>
      <c r="F24" s="150"/>
      <c r="G24" s="150"/>
      <c r="H24" s="150"/>
      <c r="I24" s="151"/>
      <c r="K24" s="34"/>
      <c r="L24" s="2"/>
      <c r="M24" s="2"/>
      <c r="N24" s="2"/>
      <c r="O24" s="35"/>
      <c r="S24" s="114"/>
      <c r="T24" s="111"/>
      <c r="U24" s="111"/>
      <c r="V24" s="115"/>
      <c r="AF24" s="3"/>
      <c r="AH24" s="2"/>
      <c r="AN24" s="13"/>
      <c r="AO24" s="8"/>
      <c r="AP24" s="8"/>
      <c r="AQ24" s="9"/>
    </row>
    <row r="25" spans="2:55">
      <c r="B25" s="70" t="s">
        <v>30</v>
      </c>
      <c r="C25" s="2">
        <v>0</v>
      </c>
      <c r="D25" s="2" t="s">
        <v>31</v>
      </c>
      <c r="E25" s="2"/>
      <c r="F25" s="2"/>
      <c r="G25" s="2"/>
      <c r="H25" s="2"/>
      <c r="I25" s="35"/>
      <c r="K25" s="34"/>
      <c r="L25" s="2"/>
      <c r="M25" s="2"/>
      <c r="N25" s="2"/>
      <c r="O25" s="35"/>
      <c r="S25" s="97" t="s">
        <v>92</v>
      </c>
      <c r="T25" s="57">
        <v>24</v>
      </c>
      <c r="U25" s="71"/>
      <c r="V25" s="117"/>
      <c r="AF25" s="3"/>
      <c r="AH25" s="2"/>
      <c r="AN25" s="2"/>
    </row>
    <row r="26" spans="2:55">
      <c r="B26" s="158"/>
      <c r="C26" s="159"/>
      <c r="D26" s="159"/>
      <c r="E26" s="159"/>
      <c r="F26" s="159"/>
      <c r="G26" s="159"/>
      <c r="H26" s="159"/>
      <c r="I26" s="160"/>
      <c r="K26" s="91"/>
      <c r="M26" s="2"/>
      <c r="N26" s="2"/>
      <c r="O26" s="35"/>
      <c r="S26" s="97" t="s">
        <v>12</v>
      </c>
      <c r="T26" s="112">
        <v>200</v>
      </c>
      <c r="U26" s="71"/>
      <c r="V26" s="117"/>
      <c r="AF26" s="3"/>
      <c r="AH26" s="2"/>
      <c r="AN26" s="2"/>
    </row>
    <row r="27" spans="2:55" ht="15.75" thickBot="1">
      <c r="B27" s="69" t="s">
        <v>1</v>
      </c>
      <c r="C27" s="75">
        <f>NPER(C20,C21,C22,,$C$25)</f>
        <v>22.425741878036444</v>
      </c>
      <c r="D27" s="76"/>
      <c r="E27" s="76"/>
      <c r="F27" s="76"/>
      <c r="G27" s="48"/>
      <c r="H27" s="48"/>
      <c r="I27" s="54"/>
      <c r="K27" s="34"/>
      <c r="L27" s="2"/>
      <c r="M27" s="2"/>
      <c r="N27" s="2"/>
      <c r="O27" s="35"/>
      <c r="S27" s="97" t="s">
        <v>100</v>
      </c>
      <c r="T27" s="112">
        <v>20000</v>
      </c>
      <c r="U27" s="71"/>
      <c r="V27" s="117"/>
      <c r="AF27" s="3"/>
      <c r="AL27" s="24"/>
      <c r="AM27" s="24"/>
    </row>
    <row r="28" spans="2:55" ht="30.75" customHeight="1">
      <c r="B28" s="1"/>
      <c r="C28" s="7"/>
      <c r="D28" s="149"/>
      <c r="E28" s="149"/>
      <c r="F28" s="149"/>
      <c r="G28" s="149"/>
      <c r="I28" s="3"/>
      <c r="K28" s="183" t="s">
        <v>56</v>
      </c>
      <c r="L28" s="184"/>
      <c r="M28" s="179" t="s">
        <v>108</v>
      </c>
      <c r="N28" s="179"/>
      <c r="O28" s="180"/>
      <c r="S28" s="116"/>
      <c r="T28" s="71"/>
      <c r="U28" s="71"/>
      <c r="V28" s="117"/>
      <c r="AF28" s="3"/>
      <c r="AL28" s="2"/>
      <c r="AM28" s="12"/>
    </row>
    <row r="29" spans="2:55" ht="15.75" thickBot="1">
      <c r="B29" s="1"/>
      <c r="C29" s="7"/>
      <c r="D29" s="149"/>
      <c r="E29" s="149"/>
      <c r="F29" s="149"/>
      <c r="G29" s="149"/>
      <c r="I29" s="3"/>
      <c r="K29" s="185"/>
      <c r="L29" s="186"/>
      <c r="M29" s="181"/>
      <c r="N29" s="181"/>
      <c r="O29" s="182"/>
      <c r="S29" s="97" t="s">
        <v>6</v>
      </c>
      <c r="T29" s="113">
        <f>-RATE(T25,T26,-T27)</f>
        <v>9.2367917101386629E-2</v>
      </c>
      <c r="U29" s="71" t="s">
        <v>113</v>
      </c>
      <c r="V29" s="117"/>
      <c r="AF29" s="3"/>
      <c r="AL29" s="12"/>
    </row>
    <row r="30" spans="2:55" ht="15.75" outlineLevel="1" thickBot="1">
      <c r="B30" s="137" t="s">
        <v>4</v>
      </c>
      <c r="C30" s="138"/>
      <c r="D30" s="139"/>
      <c r="I30" s="3"/>
      <c r="K30" s="187"/>
      <c r="L30" s="188"/>
      <c r="M30" s="16"/>
      <c r="N30" s="2"/>
      <c r="O30" s="35"/>
      <c r="S30" s="118"/>
      <c r="T30" s="119">
        <f>T29*12</f>
        <v>1.1084150052166395</v>
      </c>
      <c r="U30" s="120" t="s">
        <v>101</v>
      </c>
      <c r="V30" s="121"/>
      <c r="AF30" s="3"/>
      <c r="AH30" s="2"/>
      <c r="AI30" s="2"/>
      <c r="AJ30" s="2"/>
      <c r="AK30" s="2"/>
      <c r="AL30" s="12"/>
      <c r="AM30" s="12"/>
    </row>
    <row r="31" spans="2:55">
      <c r="B31" s="34" t="s">
        <v>10</v>
      </c>
      <c r="C31" s="2"/>
      <c r="D31" s="35">
        <v>1000</v>
      </c>
      <c r="E31" s="37"/>
      <c r="F31" s="37"/>
      <c r="G31" s="37"/>
      <c r="H31" s="37"/>
      <c r="I31" s="3"/>
      <c r="K31" s="187" t="s">
        <v>57</v>
      </c>
      <c r="L31" s="188"/>
      <c r="M31" s="16"/>
      <c r="N31" s="2"/>
      <c r="O31" s="35"/>
      <c r="U31" s="1"/>
      <c r="AF31" s="3"/>
      <c r="AH31" s="2"/>
      <c r="AI31" s="2"/>
      <c r="AJ31" s="2"/>
      <c r="AK31" s="2"/>
      <c r="AL31" s="12"/>
      <c r="AM31" s="12"/>
    </row>
    <row r="32" spans="2:55">
      <c r="B32" s="34"/>
      <c r="C32" s="2"/>
      <c r="D32" s="35"/>
      <c r="I32" s="3"/>
      <c r="K32" s="187" t="s">
        <v>56</v>
      </c>
      <c r="L32" s="188"/>
      <c r="M32" s="16"/>
      <c r="N32" s="2"/>
      <c r="O32" s="35"/>
      <c r="U32" s="1"/>
      <c r="AF32" s="3"/>
      <c r="AH32" s="2"/>
      <c r="AI32" s="2"/>
      <c r="AJ32" s="2"/>
      <c r="AK32" s="2"/>
      <c r="AL32" s="12"/>
      <c r="AM32" s="12"/>
    </row>
    <row r="33" spans="2:39" ht="15.75" thickBot="1">
      <c r="B33" s="77" t="s">
        <v>17</v>
      </c>
      <c r="C33" s="56" t="s">
        <v>18</v>
      </c>
      <c r="D33" s="35"/>
      <c r="I33" s="3"/>
      <c r="K33" s="34"/>
      <c r="L33" s="2"/>
      <c r="M33" s="2"/>
      <c r="N33" s="2"/>
      <c r="O33" s="35"/>
      <c r="U33" s="1"/>
      <c r="AF33" s="3"/>
      <c r="AH33" s="25"/>
      <c r="AI33" s="24"/>
      <c r="AJ33" s="24"/>
      <c r="AK33" s="24"/>
      <c r="AL33" s="12"/>
      <c r="AM33" s="12"/>
    </row>
    <row r="34" spans="2:39" ht="15.75" thickBot="1">
      <c r="B34" s="78">
        <v>1</v>
      </c>
      <c r="C34" s="57">
        <v>-1000</v>
      </c>
      <c r="D34" s="35"/>
      <c r="E34" s="36"/>
      <c r="F34" s="38"/>
      <c r="G34" s="38"/>
      <c r="H34" s="38"/>
      <c r="I34" s="38"/>
      <c r="K34" s="69" t="s">
        <v>58</v>
      </c>
      <c r="L34" s="53">
        <f>MIRR(N8:N16,M31,M30)</f>
        <v>0.28996155396528178</v>
      </c>
      <c r="M34" s="48"/>
      <c r="N34" s="48"/>
      <c r="O34" s="54"/>
      <c r="S34" s="137" t="s">
        <v>5</v>
      </c>
      <c r="T34" s="138"/>
      <c r="U34" s="139"/>
      <c r="AF34" s="3"/>
      <c r="AH34" s="2"/>
      <c r="AI34" s="2"/>
      <c r="AJ34" s="2"/>
      <c r="AK34" s="2"/>
      <c r="AL34" s="12"/>
      <c r="AM34" s="12"/>
    </row>
    <row r="35" spans="2:39">
      <c r="B35" s="78">
        <v>2</v>
      </c>
      <c r="C35" s="57">
        <v>-1000</v>
      </c>
      <c r="D35" s="35"/>
      <c r="E35" s="36"/>
      <c r="F35" s="38"/>
      <c r="G35" s="38"/>
      <c r="H35" s="38"/>
      <c r="I35" s="38"/>
      <c r="S35" s="70" t="s">
        <v>10</v>
      </c>
      <c r="T35" s="2"/>
      <c r="U35" s="35">
        <v>1000</v>
      </c>
      <c r="AF35" s="3"/>
      <c r="AH35" s="2"/>
      <c r="AI35" s="2"/>
      <c r="AJ35" s="2"/>
      <c r="AK35" s="6"/>
      <c r="AL35" s="12"/>
      <c r="AM35" s="12"/>
    </row>
    <row r="36" spans="2:39" ht="15.75" thickBot="1">
      <c r="B36" s="78">
        <v>3</v>
      </c>
      <c r="C36" s="57">
        <v>-1000</v>
      </c>
      <c r="D36" s="35"/>
      <c r="I36" s="3"/>
      <c r="S36" s="34"/>
      <c r="T36" s="2"/>
      <c r="U36" s="35"/>
      <c r="AF36" s="3"/>
      <c r="AH36" s="26"/>
      <c r="AI36" s="12"/>
      <c r="AJ36" s="12"/>
      <c r="AK36" s="12"/>
      <c r="AL36" s="12"/>
      <c r="AM36" s="12"/>
    </row>
    <row r="37" spans="2:39">
      <c r="B37" s="78">
        <v>4</v>
      </c>
      <c r="C37" s="57">
        <v>-1000</v>
      </c>
      <c r="D37" s="35">
        <f>SUM(C34:C37)</f>
        <v>-4000</v>
      </c>
      <c r="I37" s="3"/>
      <c r="K37" s="161" t="s">
        <v>37</v>
      </c>
      <c r="L37" s="162"/>
      <c r="M37" s="162"/>
      <c r="N37" s="163"/>
      <c r="S37" s="56" t="s">
        <v>17</v>
      </c>
      <c r="T37" s="56" t="s">
        <v>18</v>
      </c>
      <c r="U37" s="35"/>
      <c r="AF37" s="3"/>
      <c r="AH37" s="26"/>
      <c r="AI37" s="12"/>
      <c r="AJ37" s="12"/>
      <c r="AK37" s="12"/>
      <c r="AL37" s="12"/>
      <c r="AM37" s="12"/>
    </row>
    <row r="38" spans="2:39">
      <c r="B38" s="34"/>
      <c r="C38" s="2"/>
      <c r="D38" s="35"/>
      <c r="I38" s="3"/>
      <c r="K38" s="97"/>
      <c r="L38" s="28"/>
      <c r="M38" s="28"/>
      <c r="N38" s="93"/>
      <c r="S38" s="57">
        <v>1</v>
      </c>
      <c r="T38" s="58">
        <v>1.15E-2</v>
      </c>
      <c r="U38" s="81">
        <f>FVSCHEDULE(U35,T38:T41)</f>
        <v>1059.56298021</v>
      </c>
      <c r="V38" s="8"/>
      <c r="W38" s="8"/>
      <c r="X38" s="8"/>
      <c r="Y38" s="8"/>
      <c r="Z38" s="8"/>
      <c r="AA38" s="8"/>
      <c r="AB38" s="8"/>
      <c r="AC38" s="8"/>
      <c r="AD38" s="8"/>
      <c r="AE38" s="8"/>
      <c r="AF38" s="9"/>
      <c r="AH38" s="26"/>
      <c r="AI38" s="12"/>
      <c r="AJ38" s="12"/>
      <c r="AK38" s="12"/>
      <c r="AL38" s="12"/>
      <c r="AM38" s="12"/>
    </row>
    <row r="39" spans="2:39">
      <c r="B39" s="34"/>
      <c r="C39" s="2"/>
      <c r="D39" s="35"/>
      <c r="I39" s="3"/>
      <c r="K39" s="97" t="s">
        <v>109</v>
      </c>
      <c r="L39" s="58">
        <v>2.4E-2</v>
      </c>
      <c r="M39" s="28"/>
      <c r="N39" s="93"/>
      <c r="S39" s="57">
        <v>2</v>
      </c>
      <c r="T39" s="58">
        <v>1.18E-2</v>
      </c>
      <c r="U39" s="35"/>
      <c r="AH39" s="26"/>
      <c r="AI39" s="12"/>
      <c r="AJ39" s="12"/>
      <c r="AK39" s="12"/>
      <c r="AL39" s="12"/>
      <c r="AM39" s="12"/>
    </row>
    <row r="40" spans="2:39">
      <c r="B40" s="34"/>
      <c r="C40" s="2" t="s">
        <v>34</v>
      </c>
      <c r="D40" s="79">
        <v>2.5000000000000001E-2</v>
      </c>
      <c r="I40" s="3"/>
      <c r="K40" s="97" t="s">
        <v>110</v>
      </c>
      <c r="L40" s="31">
        <v>12</v>
      </c>
      <c r="M40" s="28"/>
      <c r="N40" s="93"/>
      <c r="S40" s="57">
        <v>3</v>
      </c>
      <c r="T40" s="58">
        <v>1.4999999999999999E-2</v>
      </c>
      <c r="U40" s="35"/>
      <c r="AH40" s="26"/>
      <c r="AI40" s="12"/>
      <c r="AJ40" s="12"/>
      <c r="AK40" s="12"/>
      <c r="AL40" s="12"/>
      <c r="AM40" s="12"/>
    </row>
    <row r="41" spans="2:39">
      <c r="B41" s="34"/>
      <c r="C41" s="2" t="s">
        <v>35</v>
      </c>
      <c r="D41" s="35">
        <v>4</v>
      </c>
      <c r="E41" s="7"/>
      <c r="I41" s="27"/>
      <c r="K41" s="97"/>
      <c r="L41" s="28"/>
      <c r="M41" s="28"/>
      <c r="N41" s="93"/>
      <c r="S41" s="57">
        <v>4</v>
      </c>
      <c r="T41" s="58">
        <v>0.02</v>
      </c>
      <c r="U41" s="35"/>
    </row>
    <row r="42" spans="2:39" ht="15.75" thickBot="1">
      <c r="B42" s="34"/>
      <c r="C42" s="2" t="s">
        <v>36</v>
      </c>
      <c r="D42" s="35">
        <v>1000</v>
      </c>
      <c r="I42" s="3"/>
      <c r="K42" s="97" t="s">
        <v>50</v>
      </c>
      <c r="L42" s="28"/>
      <c r="M42" s="28"/>
      <c r="N42" s="93"/>
      <c r="S42" s="34"/>
      <c r="T42" s="2"/>
      <c r="U42" s="35"/>
    </row>
    <row r="43" spans="2:39">
      <c r="B43" s="34"/>
      <c r="C43" s="2"/>
      <c r="D43" s="35"/>
      <c r="E43" s="40"/>
      <c r="F43" s="40"/>
      <c r="G43" s="8"/>
      <c r="H43" s="8"/>
      <c r="I43" s="9"/>
      <c r="K43" s="97"/>
      <c r="L43" s="28"/>
      <c r="M43" s="28"/>
      <c r="N43" s="93"/>
      <c r="S43" s="210" t="s">
        <v>44</v>
      </c>
      <c r="T43" s="213" t="s">
        <v>4</v>
      </c>
      <c r="U43" s="35"/>
    </row>
    <row r="44" spans="2:39" ht="15.75" thickBot="1">
      <c r="B44" s="80"/>
      <c r="C44" s="14" t="s">
        <v>4</v>
      </c>
      <c r="D44" s="81">
        <f>FV(D40,D41,-D42)</f>
        <v>4152.5156249999909</v>
      </c>
      <c r="K44" s="98" t="s">
        <v>111</v>
      </c>
      <c r="L44" s="61">
        <f>NOMINAL(L39,L40)</f>
        <v>2.3739978466119638E-2</v>
      </c>
      <c r="M44" s="95"/>
      <c r="N44" s="96"/>
      <c r="S44" s="211"/>
      <c r="T44" s="214"/>
      <c r="U44" s="79"/>
    </row>
    <row r="45" spans="2:39">
      <c r="B45" s="169" t="s">
        <v>107</v>
      </c>
      <c r="C45" s="82"/>
      <c r="D45" s="35"/>
      <c r="S45" s="211"/>
      <c r="T45" s="214"/>
      <c r="U45" s="35"/>
    </row>
    <row r="46" spans="2:39" ht="15.75" thickBot="1">
      <c r="B46" s="170"/>
      <c r="C46" s="2"/>
      <c r="D46" s="35"/>
      <c r="S46" s="211"/>
      <c r="T46" s="214"/>
      <c r="U46" s="35"/>
    </row>
    <row r="47" spans="2:39">
      <c r="B47" s="170"/>
      <c r="C47" s="2"/>
      <c r="D47" s="35"/>
      <c r="F47" s="198" t="s">
        <v>60</v>
      </c>
      <c r="G47" s="199"/>
      <c r="H47" s="199"/>
      <c r="I47" s="199"/>
      <c r="J47" s="199"/>
      <c r="K47" s="199"/>
      <c r="L47" s="199"/>
      <c r="M47" s="199"/>
      <c r="N47" s="199"/>
      <c r="O47" s="200"/>
      <c r="S47" s="211"/>
      <c r="T47" s="214"/>
      <c r="U47" s="35"/>
    </row>
    <row r="48" spans="2:39">
      <c r="B48" s="170"/>
      <c r="C48" s="2"/>
      <c r="D48" s="35"/>
      <c r="F48" s="59"/>
      <c r="G48" s="31"/>
      <c r="H48" s="31"/>
      <c r="I48" s="31"/>
      <c r="J48" s="31"/>
      <c r="K48" s="31"/>
      <c r="L48" s="31"/>
      <c r="M48" s="31"/>
      <c r="N48" s="31"/>
      <c r="O48" s="60"/>
      <c r="S48" s="211"/>
      <c r="T48" s="214"/>
      <c r="U48" s="35"/>
    </row>
    <row r="49" spans="2:29">
      <c r="B49" s="170"/>
      <c r="C49" s="2"/>
      <c r="D49" s="35"/>
      <c r="F49" s="195" t="s">
        <v>62</v>
      </c>
      <c r="G49" s="196"/>
      <c r="H49" s="197"/>
      <c r="I49" s="58">
        <v>5.1999999999999998E-2</v>
      </c>
      <c r="J49" s="31"/>
      <c r="K49" s="31"/>
      <c r="L49" s="31"/>
      <c r="M49" s="31"/>
      <c r="N49" s="31"/>
      <c r="O49" s="60"/>
      <c r="S49" s="211"/>
      <c r="T49" s="214"/>
      <c r="U49" s="35"/>
    </row>
    <row r="50" spans="2:29" ht="15.75" customHeight="1" thickBot="1">
      <c r="B50" s="170"/>
      <c r="C50" s="2"/>
      <c r="D50" s="35"/>
      <c r="F50" s="192" t="s">
        <v>65</v>
      </c>
      <c r="G50" s="193"/>
      <c r="H50" s="194"/>
      <c r="I50" s="31">
        <v>2</v>
      </c>
      <c r="J50" s="64" t="s">
        <v>66</v>
      </c>
      <c r="K50" s="65"/>
      <c r="L50" s="65"/>
      <c r="M50" s="65"/>
      <c r="N50" s="65"/>
      <c r="O50" s="66"/>
      <c r="S50" s="212"/>
      <c r="T50" s="215"/>
      <c r="U50" s="54"/>
    </row>
    <row r="51" spans="2:29">
      <c r="B51" s="170"/>
      <c r="C51" s="2"/>
      <c r="D51" s="35"/>
      <c r="F51" s="59"/>
      <c r="G51" s="31"/>
      <c r="H51" s="31"/>
      <c r="I51" s="31"/>
      <c r="J51" s="31"/>
      <c r="K51" s="31"/>
      <c r="L51" s="31"/>
      <c r="M51" s="31"/>
      <c r="N51" s="31"/>
      <c r="O51" s="60"/>
    </row>
    <row r="52" spans="2:29" ht="15.75" thickBot="1">
      <c r="B52" s="171"/>
      <c r="C52" s="48"/>
      <c r="D52" s="54"/>
      <c r="F52" s="59"/>
      <c r="G52" s="31"/>
      <c r="H52" s="31"/>
      <c r="I52" s="31"/>
      <c r="J52" s="31"/>
      <c r="K52" s="31"/>
      <c r="L52" s="31"/>
      <c r="M52" s="31"/>
      <c r="N52" s="31"/>
      <c r="O52" s="60"/>
    </row>
    <row r="53" spans="2:29" ht="15.75" thickBot="1">
      <c r="F53" s="59"/>
      <c r="G53" s="56"/>
      <c r="H53" s="31"/>
      <c r="I53" s="31"/>
      <c r="J53" s="31"/>
      <c r="K53" s="31"/>
      <c r="L53" s="31"/>
      <c r="M53" s="31"/>
      <c r="N53" s="31"/>
      <c r="O53" s="60"/>
    </row>
    <row r="54" spans="2:29" ht="15.75" thickBot="1">
      <c r="F54" s="190" t="s">
        <v>78</v>
      </c>
      <c r="G54" s="191"/>
      <c r="H54" s="61">
        <f>EFFECT(I49,I50)</f>
        <v>5.2675999999999945E-2</v>
      </c>
      <c r="I54" s="62"/>
      <c r="J54" s="62"/>
      <c r="K54" s="62"/>
      <c r="L54" s="62"/>
      <c r="M54" s="62"/>
      <c r="N54" s="62"/>
      <c r="O54" s="63"/>
      <c r="T54" s="140" t="s">
        <v>61</v>
      </c>
      <c r="U54" s="141"/>
      <c r="V54" s="141"/>
      <c r="W54" s="141"/>
      <c r="X54" s="141"/>
      <c r="Y54" s="141"/>
      <c r="Z54" s="142"/>
    </row>
    <row r="55" spans="2:29">
      <c r="T55" s="34"/>
      <c r="U55" s="2"/>
      <c r="V55" s="2"/>
      <c r="W55" s="2"/>
      <c r="X55" s="2"/>
      <c r="Y55" s="2"/>
      <c r="Z55" s="35"/>
    </row>
    <row r="56" spans="2:29">
      <c r="T56" s="70" t="s">
        <v>67</v>
      </c>
      <c r="U56" s="2">
        <v>30000</v>
      </c>
      <c r="V56" s="2"/>
      <c r="W56" s="2"/>
      <c r="X56" s="2"/>
      <c r="Y56" s="2"/>
      <c r="Z56" s="35"/>
    </row>
    <row r="57" spans="2:29">
      <c r="T57" s="70" t="s">
        <v>70</v>
      </c>
      <c r="U57" s="16">
        <v>1.95E-2</v>
      </c>
      <c r="V57" s="2"/>
      <c r="W57" s="2"/>
      <c r="X57" s="2"/>
      <c r="Y57" s="2"/>
      <c r="Z57" s="35"/>
    </row>
    <row r="58" spans="2:29" ht="15.75" thickBot="1">
      <c r="T58" s="70" t="s">
        <v>74</v>
      </c>
      <c r="U58" s="2">
        <v>24</v>
      </c>
      <c r="V58" s="2"/>
      <c r="W58" s="2"/>
      <c r="X58" s="2"/>
      <c r="Y58" s="2"/>
      <c r="Z58" s="35"/>
    </row>
    <row r="59" spans="2:29">
      <c r="F59" s="137" t="s">
        <v>59</v>
      </c>
      <c r="G59" s="138"/>
      <c r="H59" s="138"/>
      <c r="I59" s="138"/>
      <c r="J59" s="139"/>
      <c r="T59" s="70" t="s">
        <v>76</v>
      </c>
      <c r="U59" s="99">
        <f>U57/12</f>
        <v>1.6249999999999999E-3</v>
      </c>
      <c r="V59" s="2"/>
      <c r="W59" s="2"/>
      <c r="X59" s="2"/>
      <c r="Y59" s="2"/>
      <c r="Z59" s="35"/>
    </row>
    <row r="60" spans="2:29">
      <c r="F60" s="34"/>
      <c r="G60" s="2"/>
      <c r="H60" s="2"/>
      <c r="I60" s="2"/>
      <c r="J60" s="35"/>
      <c r="T60" s="34"/>
      <c r="U60" s="2"/>
      <c r="V60" s="103"/>
      <c r="W60" s="103"/>
      <c r="X60" s="103"/>
      <c r="Y60" s="104"/>
      <c r="Z60" s="35"/>
    </row>
    <row r="61" spans="2:29" ht="15.75" thickBot="1">
      <c r="F61" s="70" t="s">
        <v>2</v>
      </c>
      <c r="G61" s="2">
        <v>15000</v>
      </c>
      <c r="H61" s="2"/>
      <c r="I61" s="2"/>
      <c r="J61" s="35"/>
      <c r="T61" s="34"/>
      <c r="U61" s="2"/>
      <c r="V61" s="2"/>
      <c r="W61" s="2"/>
      <c r="X61" s="2"/>
      <c r="Y61" s="3"/>
      <c r="Z61" s="35"/>
    </row>
    <row r="62" spans="2:29" ht="15" customHeight="1" thickBot="1">
      <c r="F62" s="69" t="s">
        <v>14</v>
      </c>
      <c r="G62" s="47">
        <v>0.1</v>
      </c>
      <c r="H62" s="48"/>
      <c r="I62" s="48"/>
      <c r="J62" s="54"/>
      <c r="T62" s="100" t="s">
        <v>81</v>
      </c>
      <c r="U62" s="29" t="s">
        <v>82</v>
      </c>
      <c r="V62" s="29" t="s">
        <v>83</v>
      </c>
      <c r="W62" s="29" t="s">
        <v>84</v>
      </c>
      <c r="X62" s="29" t="s">
        <v>85</v>
      </c>
      <c r="Y62" s="30" t="s">
        <v>86</v>
      </c>
      <c r="Z62" s="35"/>
      <c r="AB62" s="107"/>
      <c r="AC62" s="108"/>
    </row>
    <row r="63" spans="2:29">
      <c r="F63" s="34"/>
      <c r="G63" s="2"/>
      <c r="H63" s="2"/>
      <c r="I63" s="2"/>
      <c r="J63" s="35"/>
      <c r="T63" s="92">
        <v>0</v>
      </c>
      <c r="U63" s="31"/>
      <c r="V63" s="31"/>
      <c r="W63" s="31"/>
      <c r="X63" s="31"/>
      <c r="Y63" s="32">
        <f>U56</f>
        <v>30000</v>
      </c>
      <c r="Z63" s="35"/>
    </row>
    <row r="64" spans="2:29">
      <c r="F64" s="201" t="s">
        <v>64</v>
      </c>
      <c r="G64" s="202"/>
      <c r="H64" s="202"/>
      <c r="I64" s="202"/>
      <c r="J64" s="35"/>
      <c r="T64" s="92">
        <v>1</v>
      </c>
      <c r="U64" s="28">
        <f>Y63</f>
        <v>30000</v>
      </c>
      <c r="V64" s="28">
        <f>IPMT($U$59,T64,$U$58,-$Y$63)</f>
        <v>48.75</v>
      </c>
      <c r="W64" s="28">
        <f>PPMT($U$59,T64,$U$58,-$Y$63)</f>
        <v>1226.7986550605017</v>
      </c>
      <c r="X64" s="28">
        <f>PMT($U$59,$U$58,-$U$56)</f>
        <v>1275.5486550605017</v>
      </c>
      <c r="Y64" s="32">
        <f>U64-W64</f>
        <v>28773.201344939498</v>
      </c>
      <c r="Z64" s="35"/>
    </row>
    <row r="65" spans="6:44">
      <c r="F65" s="122" t="s">
        <v>69</v>
      </c>
      <c r="G65" s="55" t="s">
        <v>28</v>
      </c>
      <c r="H65" s="55"/>
      <c r="I65" s="55"/>
      <c r="J65" s="35"/>
      <c r="T65" s="92">
        <v>2</v>
      </c>
      <c r="U65" s="28">
        <f>Y64</f>
        <v>28773.201344939498</v>
      </c>
      <c r="V65" s="28">
        <f>IPMT($U$59,T65,$U$58,-$Y$63)</f>
        <v>46.756452185526683</v>
      </c>
      <c r="W65" s="28">
        <f t="shared" ref="W65:W87" si="3">PPMT($U$59,T65,$U$58,-$Y$63)</f>
        <v>1228.7922028749749</v>
      </c>
      <c r="X65" s="28">
        <f t="shared" ref="X65:X87" si="4">PMT($U$59,$U$58,-$U$56)</f>
        <v>1275.5486550605017</v>
      </c>
      <c r="Y65" s="32">
        <f t="shared" ref="Y65:Y87" si="5">U65-W65</f>
        <v>27544.409142064524</v>
      </c>
      <c r="Z65" s="35"/>
    </row>
    <row r="66" spans="6:44">
      <c r="F66" s="41" t="s">
        <v>72</v>
      </c>
      <c r="G66" s="5">
        <f>-G61</f>
        <v>-15000</v>
      </c>
      <c r="H66" s="189" t="s">
        <v>73</v>
      </c>
      <c r="I66" s="189"/>
      <c r="J66" s="35"/>
      <c r="T66" s="92">
        <v>3</v>
      </c>
      <c r="U66" s="28">
        <f t="shared" ref="U66:U87" si="6">Y65</f>
        <v>27544.409142064524</v>
      </c>
      <c r="V66" s="28">
        <f t="shared" ref="V66:V87" si="7">IPMT($U$59,T66,$U$58,-$Y$63)</f>
        <v>44.759664855854858</v>
      </c>
      <c r="W66" s="28">
        <f t="shared" si="3"/>
        <v>1230.7889902046468</v>
      </c>
      <c r="X66" s="28">
        <f t="shared" si="4"/>
        <v>1275.5486550605017</v>
      </c>
      <c r="Y66" s="32">
        <f t="shared" si="5"/>
        <v>26313.620151859875</v>
      </c>
      <c r="Z66" s="35"/>
      <c r="AO66" s="26"/>
      <c r="AP66" s="12"/>
      <c r="AQ66" s="12"/>
      <c r="AR66" s="12"/>
    </row>
    <row r="67" spans="6:44">
      <c r="F67" s="41" t="s">
        <v>75</v>
      </c>
      <c r="G67" s="5">
        <v>14000</v>
      </c>
      <c r="H67" s="5"/>
      <c r="I67" s="5"/>
      <c r="J67" s="35"/>
      <c r="T67" s="92">
        <v>4</v>
      </c>
      <c r="U67" s="28">
        <f t="shared" si="6"/>
        <v>26313.620151859875</v>
      </c>
      <c r="V67" s="28">
        <f>IPMT($U$59,T67,$U$58,-$Y$63)</f>
        <v>42.75963274677229</v>
      </c>
      <c r="W67" s="28">
        <f t="shared" si="3"/>
        <v>1232.7890223137294</v>
      </c>
      <c r="X67" s="28">
        <f>PMT($U$59,$U$58,-$U$56)</f>
        <v>1275.5486550605017</v>
      </c>
      <c r="Y67" s="32">
        <f t="shared" si="5"/>
        <v>25080.831129546146</v>
      </c>
      <c r="Z67" s="35"/>
      <c r="AO67" s="26"/>
      <c r="AP67" s="12"/>
      <c r="AQ67" s="12"/>
      <c r="AR67" s="12"/>
    </row>
    <row r="68" spans="6:44">
      <c r="F68" s="41" t="s">
        <v>77</v>
      </c>
      <c r="G68" s="5">
        <v>13880</v>
      </c>
      <c r="H68" s="5"/>
      <c r="I68" s="5"/>
      <c r="J68" s="35"/>
      <c r="T68" s="92">
        <v>5</v>
      </c>
      <c r="U68" s="28">
        <f t="shared" si="6"/>
        <v>25080.831129546146</v>
      </c>
      <c r="V68" s="28">
        <f>IPMT($U$59,T68,$U$58,-$Y$63)</f>
        <v>40.756350585512486</v>
      </c>
      <c r="W68" s="28">
        <f>PPMT($U$59,T68,$U$58,-$Y$63)</f>
        <v>1234.7923044749891</v>
      </c>
      <c r="X68" s="28">
        <f t="shared" si="4"/>
        <v>1275.5486550605017</v>
      </c>
      <c r="Y68" s="32">
        <f t="shared" si="5"/>
        <v>23846.038825071158</v>
      </c>
      <c r="Z68" s="35"/>
      <c r="AO68" s="26"/>
      <c r="AP68" s="12"/>
      <c r="AQ68" s="12"/>
      <c r="AR68" s="12"/>
    </row>
    <row r="69" spans="6:44">
      <c r="F69" s="41" t="s">
        <v>79</v>
      </c>
      <c r="G69" s="5">
        <v>14202</v>
      </c>
      <c r="H69" s="5"/>
      <c r="I69" s="5"/>
      <c r="J69" s="35"/>
      <c r="T69" s="92">
        <v>6</v>
      </c>
      <c r="U69" s="28">
        <f t="shared" si="6"/>
        <v>23846.038825071158</v>
      </c>
      <c r="V69" s="28">
        <f>IPMT($U$59,T69,$U$58,-$Y$63)</f>
        <v>38.749813090740631</v>
      </c>
      <c r="W69" s="28">
        <f t="shared" si="3"/>
        <v>1236.798841969761</v>
      </c>
      <c r="X69" s="28">
        <f t="shared" si="4"/>
        <v>1275.5486550605017</v>
      </c>
      <c r="Y69" s="32">
        <f t="shared" si="5"/>
        <v>22609.239983101397</v>
      </c>
      <c r="Z69" s="35"/>
      <c r="AO69" s="26"/>
      <c r="AP69" s="12"/>
      <c r="AQ69" s="12"/>
      <c r="AR69" s="12"/>
    </row>
    <row r="70" spans="6:44">
      <c r="F70" s="41" t="s">
        <v>80</v>
      </c>
      <c r="G70" s="5">
        <v>14120</v>
      </c>
      <c r="H70" s="5"/>
      <c r="I70" s="5"/>
      <c r="J70" s="35"/>
      <c r="T70" s="92">
        <v>7</v>
      </c>
      <c r="U70" s="28">
        <f t="shared" si="6"/>
        <v>22609.239983101397</v>
      </c>
      <c r="V70" s="28">
        <f t="shared" si="7"/>
        <v>36.740014972539768</v>
      </c>
      <c r="W70" s="28">
        <f t="shared" si="3"/>
        <v>1238.808640087962</v>
      </c>
      <c r="X70" s="28">
        <f t="shared" si="4"/>
        <v>1275.5486550605017</v>
      </c>
      <c r="Y70" s="32">
        <f t="shared" si="5"/>
        <v>21370.431343013435</v>
      </c>
      <c r="Z70" s="35"/>
      <c r="AO70" s="26"/>
      <c r="AP70" s="12"/>
      <c r="AQ70" s="12"/>
      <c r="AR70" s="12"/>
    </row>
    <row r="71" spans="6:44">
      <c r="F71" s="41" t="s">
        <v>87</v>
      </c>
      <c r="G71" s="5">
        <v>15000</v>
      </c>
      <c r="H71" s="5"/>
      <c r="I71" s="5"/>
      <c r="J71" s="35"/>
      <c r="T71" s="92">
        <v>8</v>
      </c>
      <c r="U71" s="28">
        <f t="shared" si="6"/>
        <v>21370.431343013435</v>
      </c>
      <c r="V71" s="28">
        <f t="shared" si="7"/>
        <v>34.726950932396825</v>
      </c>
      <c r="W71" s="28">
        <f t="shared" si="3"/>
        <v>1240.8217041281048</v>
      </c>
      <c r="X71" s="28">
        <f t="shared" si="4"/>
        <v>1275.5486550605017</v>
      </c>
      <c r="Y71" s="32">
        <f t="shared" si="5"/>
        <v>20129.609638885329</v>
      </c>
      <c r="Z71" s="35"/>
    </row>
    <row r="72" spans="6:44">
      <c r="F72" s="41" t="s">
        <v>88</v>
      </c>
      <c r="G72" s="5">
        <v>12500</v>
      </c>
      <c r="H72" s="5"/>
      <c r="I72" s="5"/>
      <c r="J72" s="35"/>
      <c r="T72" s="92">
        <v>9</v>
      </c>
      <c r="U72" s="28">
        <f t="shared" si="6"/>
        <v>20129.609638885329</v>
      </c>
      <c r="V72" s="28">
        <f t="shared" si="7"/>
        <v>32.710615663188662</v>
      </c>
      <c r="W72" s="28">
        <f t="shared" si="3"/>
        <v>1242.8380393973132</v>
      </c>
      <c r="X72" s="28">
        <f t="shared" si="4"/>
        <v>1275.5486550605017</v>
      </c>
      <c r="Y72" s="32">
        <f t="shared" si="5"/>
        <v>18886.771599488016</v>
      </c>
      <c r="Z72" s="35"/>
    </row>
    <row r="73" spans="6:44">
      <c r="F73" s="41" t="s">
        <v>89</v>
      </c>
      <c r="G73" s="5">
        <v>15100</v>
      </c>
      <c r="H73" s="5"/>
      <c r="I73" s="5"/>
      <c r="J73" s="35"/>
      <c r="T73" s="92">
        <v>10</v>
      </c>
      <c r="U73" s="28">
        <f t="shared" si="6"/>
        <v>18886.771599488016</v>
      </c>
      <c r="V73" s="28">
        <f t="shared" si="7"/>
        <v>30.69100384916803</v>
      </c>
      <c r="W73" s="28">
        <f t="shared" si="3"/>
        <v>1244.8576512113336</v>
      </c>
      <c r="X73" s="28">
        <f t="shared" si="4"/>
        <v>1275.5486550605017</v>
      </c>
      <c r="Y73" s="32">
        <f t="shared" si="5"/>
        <v>17641.913948276684</v>
      </c>
      <c r="Z73" s="35"/>
    </row>
    <row r="74" spans="6:44">
      <c r="F74" s="41" t="s">
        <v>91</v>
      </c>
      <c r="G74" s="5">
        <v>16200</v>
      </c>
      <c r="H74" s="5"/>
      <c r="I74" s="5"/>
      <c r="J74" s="35"/>
      <c r="T74" s="92">
        <v>11</v>
      </c>
      <c r="U74" s="28">
        <f t="shared" si="6"/>
        <v>17641.913948276684</v>
      </c>
      <c r="V74" s="28">
        <f t="shared" si="7"/>
        <v>28.66811016594961</v>
      </c>
      <c r="W74" s="28">
        <f t="shared" si="3"/>
        <v>1246.880544894552</v>
      </c>
      <c r="X74" s="28">
        <f t="shared" si="4"/>
        <v>1275.5486550605017</v>
      </c>
      <c r="Y74" s="32">
        <f t="shared" si="5"/>
        <v>16395.033403382131</v>
      </c>
      <c r="Z74" s="35"/>
    </row>
    <row r="75" spans="6:44">
      <c r="F75" s="34"/>
      <c r="G75" s="2"/>
      <c r="H75" s="2"/>
      <c r="I75" s="2"/>
      <c r="J75" s="35"/>
      <c r="T75" s="101">
        <v>12</v>
      </c>
      <c r="U75" s="28">
        <f t="shared" si="6"/>
        <v>16395.033403382131</v>
      </c>
      <c r="V75" s="28">
        <f t="shared" si="7"/>
        <v>26.641929280495962</v>
      </c>
      <c r="W75" s="28">
        <f t="shared" si="3"/>
        <v>1248.9067257800057</v>
      </c>
      <c r="X75" s="28">
        <f t="shared" si="4"/>
        <v>1275.5486550605017</v>
      </c>
      <c r="Y75" s="32">
        <f t="shared" si="5"/>
        <v>15146.126677602126</v>
      </c>
      <c r="Z75" s="35"/>
    </row>
    <row r="76" spans="6:44">
      <c r="F76" s="34"/>
      <c r="G76" s="2"/>
      <c r="H76" s="2"/>
      <c r="I76" s="2"/>
      <c r="J76" s="35"/>
      <c r="T76" s="92">
        <v>13</v>
      </c>
      <c r="U76" s="28">
        <f t="shared" si="6"/>
        <v>15146.126677602126</v>
      </c>
      <c r="V76" s="28">
        <f t="shared" si="7"/>
        <v>24.612455851103451</v>
      </c>
      <c r="W76" s="28">
        <f t="shared" si="3"/>
        <v>1250.9361992093982</v>
      </c>
      <c r="X76" s="28">
        <f t="shared" si="4"/>
        <v>1275.5486550605017</v>
      </c>
      <c r="Y76" s="32">
        <f t="shared" si="5"/>
        <v>13895.190478392728</v>
      </c>
      <c r="Z76" s="35"/>
    </row>
    <row r="77" spans="6:44">
      <c r="F77" s="70" t="s">
        <v>96</v>
      </c>
      <c r="G77" s="2"/>
      <c r="H77" s="6" t="e">
        <f>XNPV(G62,G67:G74,F67:F74)</f>
        <v>#VALUE!</v>
      </c>
      <c r="I77" s="2"/>
      <c r="J77" s="35"/>
      <c r="T77" s="92">
        <v>14</v>
      </c>
      <c r="U77" s="28">
        <f t="shared" si="6"/>
        <v>13895.190478392728</v>
      </c>
      <c r="V77" s="28">
        <f t="shared" si="7"/>
        <v>22.579684527388185</v>
      </c>
      <c r="W77" s="28">
        <f t="shared" si="3"/>
        <v>1252.9689705331134</v>
      </c>
      <c r="X77" s="28">
        <f t="shared" si="4"/>
        <v>1275.5486550605017</v>
      </c>
      <c r="Y77" s="32">
        <f t="shared" si="5"/>
        <v>12642.221507859615</v>
      </c>
      <c r="Z77" s="35"/>
    </row>
    <row r="78" spans="6:44">
      <c r="F78" s="70"/>
      <c r="G78" s="2"/>
      <c r="H78" s="2"/>
      <c r="I78" s="2"/>
      <c r="J78" s="35"/>
      <c r="T78" s="92">
        <v>15</v>
      </c>
      <c r="U78" s="28">
        <f t="shared" si="6"/>
        <v>12642.221507859615</v>
      </c>
      <c r="V78" s="28">
        <f t="shared" si="7"/>
        <v>20.543609950271872</v>
      </c>
      <c r="W78" s="28">
        <f t="shared" si="3"/>
        <v>1255.0050451102297</v>
      </c>
      <c r="X78" s="28">
        <f t="shared" si="4"/>
        <v>1275.5486550605017</v>
      </c>
      <c r="Y78" s="32">
        <f t="shared" si="5"/>
        <v>11387.216462749384</v>
      </c>
      <c r="Z78" s="35"/>
    </row>
    <row r="79" spans="6:44" ht="15.75" thickBot="1">
      <c r="F79" s="69" t="s">
        <v>98</v>
      </c>
      <c r="G79" s="48"/>
      <c r="H79" s="123">
        <f>XIRR(G66:G74,F66:F74)</f>
        <v>68.475326919555641</v>
      </c>
      <c r="I79" s="48"/>
      <c r="J79" s="54"/>
      <c r="T79" s="92">
        <v>16</v>
      </c>
      <c r="U79" s="28">
        <f t="shared" si="6"/>
        <v>11387.216462749384</v>
      </c>
      <c r="V79" s="28">
        <f t="shared" si="7"/>
        <v>18.504226751967749</v>
      </c>
      <c r="W79" s="28">
        <f t="shared" si="3"/>
        <v>1257.044428308534</v>
      </c>
      <c r="X79" s="28">
        <f t="shared" si="4"/>
        <v>1275.5486550605017</v>
      </c>
      <c r="Y79" s="32">
        <f t="shared" si="5"/>
        <v>10130.17203444085</v>
      </c>
      <c r="Z79" s="35"/>
      <c r="AO79" s="2"/>
      <c r="AP79" s="2"/>
      <c r="AQ79" s="2"/>
      <c r="AR79" s="33"/>
    </row>
    <row r="80" spans="6:44">
      <c r="T80" s="92">
        <v>17</v>
      </c>
      <c r="U80" s="28">
        <f t="shared" si="6"/>
        <v>10130.17203444085</v>
      </c>
      <c r="V80" s="28">
        <f t="shared" si="7"/>
        <v>16.461529555966379</v>
      </c>
      <c r="W80" s="28">
        <f t="shared" si="3"/>
        <v>1259.0871255045352</v>
      </c>
      <c r="X80" s="28">
        <f t="shared" si="4"/>
        <v>1275.5486550605017</v>
      </c>
      <c r="Y80" s="32">
        <f t="shared" si="5"/>
        <v>8871.0849089363146</v>
      </c>
      <c r="Z80" s="35"/>
    </row>
    <row r="81" spans="20:26">
      <c r="T81" s="92">
        <v>18</v>
      </c>
      <c r="U81" s="28">
        <f t="shared" si="6"/>
        <v>8871.0849089363146</v>
      </c>
      <c r="V81" s="28">
        <f t="shared" si="7"/>
        <v>14.415512977021514</v>
      </c>
      <c r="W81" s="28">
        <f t="shared" si="3"/>
        <v>1261.1331420834802</v>
      </c>
      <c r="X81" s="28">
        <f t="shared" si="4"/>
        <v>1275.5486550605017</v>
      </c>
      <c r="Y81" s="32">
        <f t="shared" si="5"/>
        <v>7609.9517668528342</v>
      </c>
      <c r="Z81" s="35"/>
    </row>
    <row r="82" spans="20:26">
      <c r="T82" s="92">
        <v>19</v>
      </c>
      <c r="U82" s="28">
        <f t="shared" si="6"/>
        <v>7609.9517668528342</v>
      </c>
      <c r="V82" s="28">
        <f t="shared" si="7"/>
        <v>12.366171621135857</v>
      </c>
      <c r="W82" s="28">
        <f t="shared" si="3"/>
        <v>1263.1824834393658</v>
      </c>
      <c r="X82" s="28">
        <f t="shared" si="4"/>
        <v>1275.5486550605017</v>
      </c>
      <c r="Y82" s="32">
        <f t="shared" si="5"/>
        <v>6346.7692834134687</v>
      </c>
      <c r="Z82" s="35"/>
    </row>
    <row r="83" spans="20:26">
      <c r="T83" s="92">
        <v>20</v>
      </c>
      <c r="U83" s="28">
        <f t="shared" si="6"/>
        <v>6346.7692834134687</v>
      </c>
      <c r="V83" s="28">
        <f t="shared" si="7"/>
        <v>10.313500085546888</v>
      </c>
      <c r="W83" s="28">
        <f t="shared" si="3"/>
        <v>1265.2351549749549</v>
      </c>
      <c r="X83" s="28">
        <f t="shared" si="4"/>
        <v>1275.5486550605017</v>
      </c>
      <c r="Y83" s="32">
        <f t="shared" si="5"/>
        <v>5081.534128438514</v>
      </c>
      <c r="Z83" s="35"/>
    </row>
    <row r="84" spans="20:26">
      <c r="T84" s="92">
        <v>21</v>
      </c>
      <c r="U84" s="28">
        <f t="shared" si="6"/>
        <v>5081.534128438514</v>
      </c>
      <c r="V84" s="28">
        <f t="shared" si="7"/>
        <v>8.2574929587125858</v>
      </c>
      <c r="W84" s="28">
        <f t="shared" si="3"/>
        <v>1267.291162101789</v>
      </c>
      <c r="X84" s="28">
        <f t="shared" si="4"/>
        <v>1275.5486550605017</v>
      </c>
      <c r="Y84" s="32">
        <f t="shared" si="5"/>
        <v>3814.2429663367247</v>
      </c>
      <c r="Z84" s="35"/>
    </row>
    <row r="85" spans="20:26">
      <c r="T85" s="92">
        <v>22</v>
      </c>
      <c r="U85" s="28">
        <f t="shared" si="6"/>
        <v>3814.2429663367247</v>
      </c>
      <c r="V85" s="28">
        <f t="shared" si="7"/>
        <v>6.1981448202971787</v>
      </c>
      <c r="W85" s="28">
        <f t="shared" si="3"/>
        <v>1269.3505102402044</v>
      </c>
      <c r="X85" s="28">
        <f t="shared" si="4"/>
        <v>1275.5486550605017</v>
      </c>
      <c r="Y85" s="32">
        <f t="shared" si="5"/>
        <v>2544.8924560965206</v>
      </c>
      <c r="Z85" s="35"/>
    </row>
    <row r="86" spans="20:26">
      <c r="T86" s="92">
        <v>23</v>
      </c>
      <c r="U86" s="28">
        <f t="shared" si="6"/>
        <v>2544.8924560965206</v>
      </c>
      <c r="V86" s="28">
        <f t="shared" si="7"/>
        <v>4.1354502411568461</v>
      </c>
      <c r="W86" s="28">
        <f t="shared" si="3"/>
        <v>1271.4132048193446</v>
      </c>
      <c r="X86" s="28">
        <f t="shared" si="4"/>
        <v>1275.5486550605017</v>
      </c>
      <c r="Y86" s="32">
        <f t="shared" si="5"/>
        <v>1273.479251277176</v>
      </c>
      <c r="Z86" s="35"/>
    </row>
    <row r="87" spans="20:26" ht="15.75" thickBot="1">
      <c r="T87" s="94">
        <v>24</v>
      </c>
      <c r="U87" s="95">
        <f t="shared" si="6"/>
        <v>1273.479251277176</v>
      </c>
      <c r="V87" s="95">
        <f t="shared" si="7"/>
        <v>2.0694037833254115</v>
      </c>
      <c r="W87" s="95">
        <f t="shared" si="3"/>
        <v>1273.4792512771762</v>
      </c>
      <c r="X87" s="95">
        <f t="shared" si="4"/>
        <v>1275.5486550605017</v>
      </c>
      <c r="Y87" s="102">
        <f t="shared" si="5"/>
        <v>0</v>
      </c>
      <c r="Z87" s="54"/>
    </row>
    <row r="89" spans="20:26" ht="15.75" thickBot="1"/>
    <row r="90" spans="20:26">
      <c r="T90" s="140" t="s">
        <v>63</v>
      </c>
      <c r="U90" s="141"/>
      <c r="V90" s="141"/>
      <c r="W90" s="142"/>
    </row>
    <row r="91" spans="20:26">
      <c r="T91" s="70" t="s">
        <v>68</v>
      </c>
      <c r="U91" s="2">
        <v>30000</v>
      </c>
      <c r="V91" s="2"/>
      <c r="W91" s="35"/>
    </row>
    <row r="92" spans="20:26">
      <c r="T92" s="70" t="s">
        <v>71</v>
      </c>
      <c r="U92" s="2">
        <v>3000</v>
      </c>
      <c r="V92" s="2"/>
      <c r="W92" s="35"/>
    </row>
    <row r="93" spans="20:26">
      <c r="T93" s="70" t="s">
        <v>29</v>
      </c>
      <c r="U93" s="2">
        <v>10</v>
      </c>
      <c r="V93" s="2"/>
      <c r="W93" s="35"/>
    </row>
    <row r="94" spans="20:26">
      <c r="T94" s="206" t="s">
        <v>114</v>
      </c>
      <c r="U94" s="207"/>
      <c r="V94" s="2"/>
      <c r="W94" s="35"/>
    </row>
    <row r="95" spans="20:26">
      <c r="T95" s="206"/>
      <c r="U95" s="207"/>
      <c r="V95" s="2"/>
      <c r="W95" s="35"/>
    </row>
    <row r="96" spans="20:26" ht="15.75" thickBot="1">
      <c r="T96" s="208"/>
      <c r="U96" s="209"/>
      <c r="V96" s="12"/>
      <c r="W96" s="35"/>
    </row>
    <row r="97" spans="20:23">
      <c r="T97" s="100" t="s">
        <v>81</v>
      </c>
      <c r="U97" s="29" t="s">
        <v>82</v>
      </c>
      <c r="V97" s="106" t="s">
        <v>84</v>
      </c>
      <c r="W97" s="105"/>
    </row>
    <row r="98" spans="20:23">
      <c r="T98" s="92">
        <v>0</v>
      </c>
      <c r="U98" s="203">
        <v>30000</v>
      </c>
      <c r="V98" s="28"/>
      <c r="W98" s="93"/>
    </row>
    <row r="99" spans="20:23">
      <c r="T99" s="92">
        <v>1</v>
      </c>
      <c r="U99" s="203"/>
      <c r="V99" s="28">
        <f t="shared" ref="V99:V108" si="8">SYD($U$91,$U$92,$U$93,T99)</f>
        <v>4909.090909090909</v>
      </c>
      <c r="W99" s="93"/>
    </row>
    <row r="100" spans="20:23">
      <c r="T100" s="92">
        <v>2</v>
      </c>
      <c r="U100" s="203"/>
      <c r="V100" s="28">
        <f t="shared" si="8"/>
        <v>4418.181818181818</v>
      </c>
      <c r="W100" s="93"/>
    </row>
    <row r="101" spans="20:23">
      <c r="T101" s="92">
        <v>3</v>
      </c>
      <c r="U101" s="203"/>
      <c r="V101" s="28">
        <f t="shared" si="8"/>
        <v>3927.2727272727275</v>
      </c>
      <c r="W101" s="93"/>
    </row>
    <row r="102" spans="20:23">
      <c r="T102" s="92">
        <v>4</v>
      </c>
      <c r="U102" s="203"/>
      <c r="V102" s="28">
        <f t="shared" si="8"/>
        <v>3436.3636363636365</v>
      </c>
      <c r="W102" s="93"/>
    </row>
    <row r="103" spans="20:23">
      <c r="T103" s="92">
        <v>5</v>
      </c>
      <c r="U103" s="203"/>
      <c r="V103" s="28">
        <f t="shared" si="8"/>
        <v>2945.4545454545455</v>
      </c>
      <c r="W103" s="93"/>
    </row>
    <row r="104" spans="20:23">
      <c r="T104" s="92">
        <v>6</v>
      </c>
      <c r="U104" s="203"/>
      <c r="V104" s="28">
        <f t="shared" si="8"/>
        <v>2454.5454545454545</v>
      </c>
      <c r="W104" s="93"/>
    </row>
    <row r="105" spans="20:23">
      <c r="T105" s="92">
        <v>7</v>
      </c>
      <c r="U105" s="203"/>
      <c r="V105" s="28">
        <f t="shared" si="8"/>
        <v>1963.6363636363637</v>
      </c>
      <c r="W105" s="93"/>
    </row>
    <row r="106" spans="20:23">
      <c r="T106" s="92">
        <v>8</v>
      </c>
      <c r="U106" s="203"/>
      <c r="V106" s="28">
        <f t="shared" si="8"/>
        <v>1472.7272727272727</v>
      </c>
      <c r="W106" s="93"/>
    </row>
    <row r="107" spans="20:23">
      <c r="T107" s="92">
        <v>9</v>
      </c>
      <c r="U107" s="203"/>
      <c r="V107" s="28">
        <f t="shared" si="8"/>
        <v>981.81818181818187</v>
      </c>
      <c r="W107" s="93"/>
    </row>
    <row r="108" spans="20:23">
      <c r="T108" s="92">
        <v>10</v>
      </c>
      <c r="U108" s="203"/>
      <c r="V108" s="28">
        <f t="shared" si="8"/>
        <v>490.90909090909093</v>
      </c>
      <c r="W108" s="93"/>
    </row>
    <row r="109" spans="20:23" ht="15.75" thickBot="1">
      <c r="T109" s="94"/>
      <c r="U109" s="204"/>
      <c r="V109" s="95"/>
      <c r="W109" s="96"/>
    </row>
  </sheetData>
  <mergeCells count="44">
    <mergeCell ref="U98:U109"/>
    <mergeCell ref="R11:S11"/>
    <mergeCell ref="R12:S12"/>
    <mergeCell ref="R13:S13"/>
    <mergeCell ref="T94:U96"/>
    <mergeCell ref="T90:W90"/>
    <mergeCell ref="S43:S50"/>
    <mergeCell ref="T43:T50"/>
    <mergeCell ref="T54:Z54"/>
    <mergeCell ref="H66:I66"/>
    <mergeCell ref="F54:G54"/>
    <mergeCell ref="F50:H50"/>
    <mergeCell ref="F49:H49"/>
    <mergeCell ref="K32:L32"/>
    <mergeCell ref="F47:O47"/>
    <mergeCell ref="F64:I64"/>
    <mergeCell ref="F59:J59"/>
    <mergeCell ref="B45:B52"/>
    <mergeCell ref="L18:O19"/>
    <mergeCell ref="K1:O1"/>
    <mergeCell ref="B19:I19"/>
    <mergeCell ref="M28:O29"/>
    <mergeCell ref="K28:L29"/>
    <mergeCell ref="K37:N37"/>
    <mergeCell ref="D28:G28"/>
    <mergeCell ref="D29:G29"/>
    <mergeCell ref="K31:L31"/>
    <mergeCell ref="K30:L30"/>
    <mergeCell ref="BA3:BC3"/>
    <mergeCell ref="B30:D30"/>
    <mergeCell ref="S34:U34"/>
    <mergeCell ref="R2:U2"/>
    <mergeCell ref="B5:H5"/>
    <mergeCell ref="B6:I6"/>
    <mergeCell ref="D22:H22"/>
    <mergeCell ref="D23:I24"/>
    <mergeCell ref="B2:E2"/>
    <mergeCell ref="K7:N7"/>
    <mergeCell ref="C14:E14"/>
    <mergeCell ref="B16:F16"/>
    <mergeCell ref="B26:I26"/>
    <mergeCell ref="S23:V23"/>
    <mergeCell ref="W16:X19"/>
    <mergeCell ref="R10:X10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A7" zoomScaleNormal="100" workbookViewId="0">
      <selection activeCell="G31" sqref="G31"/>
    </sheetView>
  </sheetViews>
  <sheetFormatPr baseColWidth="10" defaultColWidth="9.140625" defaultRowHeight="15"/>
  <cols>
    <col min="1" max="1" width="16.5703125" bestFit="1" customWidth="1"/>
    <col min="2" max="2" width="12.28515625" bestFit="1" customWidth="1"/>
    <col min="3" max="3" width="8.5703125"/>
    <col min="4" max="4" width="17.140625" customWidth="1"/>
    <col min="5" max="5" width="14.28515625" customWidth="1"/>
    <col min="6" max="6" width="8.5703125"/>
    <col min="7" max="7" width="19.140625" customWidth="1"/>
    <col min="8" max="8" width="13.140625" customWidth="1"/>
    <col min="9" max="9" width="8.5703125"/>
    <col min="10" max="10" width="17.28515625" customWidth="1"/>
    <col min="11" max="11" width="13.42578125" customWidth="1"/>
    <col min="12" max="12" width="11.42578125" customWidth="1"/>
    <col min="13" max="13" width="10.85546875" customWidth="1"/>
    <col min="14" max="14" width="11.5703125" customWidth="1"/>
    <col min="15" max="15" width="13.140625" customWidth="1"/>
    <col min="16" max="1025" width="8.5703125"/>
  </cols>
  <sheetData>
    <row r="1" spans="1:16">
      <c r="A1" s="216">
        <v>1</v>
      </c>
      <c r="B1" s="216"/>
      <c r="C1" s="223"/>
      <c r="D1" s="217">
        <v>5</v>
      </c>
      <c r="E1" s="217"/>
      <c r="F1" s="224"/>
      <c r="G1" s="218">
        <v>9</v>
      </c>
      <c r="H1" s="218"/>
      <c r="I1" s="224"/>
      <c r="J1" s="217">
        <v>12</v>
      </c>
      <c r="K1" s="217"/>
      <c r="L1" s="223"/>
      <c r="M1" s="223"/>
      <c r="N1" s="223"/>
      <c r="O1" s="223"/>
      <c r="P1" s="225"/>
    </row>
    <row r="2" spans="1:16">
      <c r="A2" s="226" t="s">
        <v>15</v>
      </c>
      <c r="B2" s="227">
        <v>1000</v>
      </c>
      <c r="C2" s="223"/>
      <c r="D2" s="228" t="s">
        <v>15</v>
      </c>
      <c r="E2" s="229">
        <v>20000</v>
      </c>
      <c r="F2" s="223"/>
      <c r="G2" s="228" t="s">
        <v>36</v>
      </c>
      <c r="H2" s="230">
        <v>1600</v>
      </c>
      <c r="I2" s="223"/>
      <c r="J2" s="228" t="s">
        <v>67</v>
      </c>
      <c r="K2" s="230">
        <v>20000</v>
      </c>
      <c r="L2" s="223"/>
      <c r="M2" s="223"/>
      <c r="N2" s="223"/>
      <c r="O2" s="223"/>
      <c r="P2" s="225"/>
    </row>
    <row r="3" spans="1:16">
      <c r="A3" s="226" t="s">
        <v>103</v>
      </c>
      <c r="B3" s="226">
        <v>9</v>
      </c>
      <c r="C3" s="223"/>
      <c r="D3" s="231" t="s">
        <v>103</v>
      </c>
      <c r="E3" s="232">
        <v>2.5</v>
      </c>
      <c r="F3" s="223"/>
      <c r="G3" s="231" t="s">
        <v>119</v>
      </c>
      <c r="H3" s="233">
        <v>0.28000000000000003</v>
      </c>
      <c r="I3" s="223"/>
      <c r="J3" s="231" t="s">
        <v>103</v>
      </c>
      <c r="K3" s="234">
        <v>12</v>
      </c>
      <c r="L3" s="223"/>
      <c r="M3" s="223"/>
      <c r="N3" s="223"/>
      <c r="O3" s="223"/>
      <c r="P3" s="225"/>
    </row>
    <row r="4" spans="1:16">
      <c r="A4" s="231" t="s">
        <v>115</v>
      </c>
      <c r="B4" s="233">
        <v>0.22</v>
      </c>
      <c r="C4" s="223"/>
      <c r="D4" s="231" t="s">
        <v>115</v>
      </c>
      <c r="E4" s="233">
        <v>0.3</v>
      </c>
      <c r="F4" s="223"/>
      <c r="G4" s="231" t="s">
        <v>103</v>
      </c>
      <c r="H4" s="234">
        <v>40</v>
      </c>
      <c r="I4" s="223"/>
      <c r="J4" s="231" t="s">
        <v>123</v>
      </c>
      <c r="K4" s="233">
        <v>0.08</v>
      </c>
      <c r="L4" s="223"/>
      <c r="M4" s="223"/>
      <c r="N4" s="223"/>
      <c r="O4" s="223"/>
      <c r="P4" s="225"/>
    </row>
    <row r="5" spans="1:16" ht="15.75" thickBot="1">
      <c r="A5" s="231" t="s">
        <v>76</v>
      </c>
      <c r="B5" s="235">
        <f>B4/12</f>
        <v>1.8333333333333333E-2</v>
      </c>
      <c r="C5" s="223"/>
      <c r="D5" s="231" t="s">
        <v>117</v>
      </c>
      <c r="E5" s="236">
        <f>E4/2</f>
        <v>0.15</v>
      </c>
      <c r="F5" s="223"/>
      <c r="G5" s="231" t="s">
        <v>76</v>
      </c>
      <c r="H5" s="236">
        <f>H3/12</f>
        <v>2.3333333333333334E-2</v>
      </c>
      <c r="I5" s="223"/>
      <c r="J5" s="237" t="s">
        <v>76</v>
      </c>
      <c r="K5" s="238">
        <f>K4/12</f>
        <v>6.6666666666666671E-3</v>
      </c>
      <c r="L5" s="223"/>
      <c r="M5" s="223"/>
      <c r="N5" s="223"/>
      <c r="O5" s="223"/>
      <c r="P5" s="225"/>
    </row>
    <row r="6" spans="1:16">
      <c r="A6" s="239" t="s">
        <v>104</v>
      </c>
      <c r="B6" s="240">
        <f>FV(B5,B3,-B2)</f>
        <v>9689.0241596536216</v>
      </c>
      <c r="C6" s="223"/>
      <c r="D6" s="239" t="s">
        <v>116</v>
      </c>
      <c r="E6" s="241">
        <f>FV(E5,E3,-E2)</f>
        <v>55763.100030998263</v>
      </c>
      <c r="F6" s="223"/>
      <c r="G6" s="239" t="s">
        <v>15</v>
      </c>
      <c r="H6" s="242">
        <f>PV(H5,H4,-H2)</f>
        <v>41315.664137256084</v>
      </c>
      <c r="I6" s="223"/>
      <c r="J6" s="219" t="s">
        <v>81</v>
      </c>
      <c r="K6" s="220" t="s">
        <v>82</v>
      </c>
      <c r="L6" s="220" t="s">
        <v>83</v>
      </c>
      <c r="M6" s="220" t="s">
        <v>84</v>
      </c>
      <c r="N6" s="220" t="s">
        <v>85</v>
      </c>
      <c r="O6" s="221" t="s">
        <v>86</v>
      </c>
      <c r="P6" s="225"/>
    </row>
    <row r="7" spans="1:16">
      <c r="A7" s="222">
        <v>2</v>
      </c>
      <c r="B7" s="222"/>
      <c r="C7" s="224"/>
      <c r="D7" s="218">
        <v>6</v>
      </c>
      <c r="E7" s="218"/>
      <c r="F7" s="224"/>
      <c r="G7" s="218">
        <v>10</v>
      </c>
      <c r="H7" s="218"/>
      <c r="I7" s="223"/>
      <c r="J7" s="226">
        <v>0</v>
      </c>
      <c r="K7" s="226"/>
      <c r="L7" s="226"/>
      <c r="M7" s="226"/>
      <c r="N7" s="226"/>
      <c r="O7" s="243">
        <f>K2</f>
        <v>20000</v>
      </c>
      <c r="P7" s="225"/>
    </row>
    <row r="8" spans="1:16">
      <c r="A8" s="231" t="s">
        <v>15</v>
      </c>
      <c r="B8" s="234">
        <v>100000</v>
      </c>
      <c r="C8" s="223"/>
      <c r="D8" s="228" t="s">
        <v>15</v>
      </c>
      <c r="E8" s="230">
        <v>40000</v>
      </c>
      <c r="F8" s="223"/>
      <c r="G8" s="228" t="s">
        <v>15</v>
      </c>
      <c r="H8" s="230">
        <v>2000</v>
      </c>
      <c r="I8" s="223"/>
      <c r="J8" s="226">
        <v>1</v>
      </c>
      <c r="K8" s="244">
        <f>O7</f>
        <v>20000</v>
      </c>
      <c r="L8" s="245">
        <f>IPMT(K5,J8,K3,-O7)</f>
        <v>133.33333333333334</v>
      </c>
      <c r="M8" s="245">
        <f>PPMT(K5,J8,K3,-O7)</f>
        <v>1606.4352483750879</v>
      </c>
      <c r="N8" s="245">
        <f>PMT(K5,K3,-K2)</f>
        <v>1739.7685817084212</v>
      </c>
      <c r="O8" s="244">
        <f t="shared" ref="O8:O19" si="0">K8-M8</f>
        <v>18393.564751624912</v>
      </c>
      <c r="P8" s="225"/>
    </row>
    <row r="9" spans="1:16">
      <c r="A9" s="231" t="s">
        <v>103</v>
      </c>
      <c r="B9" s="234">
        <v>6</v>
      </c>
      <c r="C9" s="223"/>
      <c r="D9" s="231" t="s">
        <v>103</v>
      </c>
      <c r="E9" s="234">
        <v>10</v>
      </c>
      <c r="F9" s="223"/>
      <c r="G9" s="231" t="s">
        <v>103</v>
      </c>
      <c r="H9" s="234">
        <v>12</v>
      </c>
      <c r="I9" s="223"/>
      <c r="J9" s="226">
        <v>2</v>
      </c>
      <c r="K9" s="244">
        <f>O8</f>
        <v>18393.564751624912</v>
      </c>
      <c r="L9" s="245">
        <f>IPMT(K5,J9,K3,-O7)</f>
        <v>122.62376501083276</v>
      </c>
      <c r="M9" s="245">
        <f>PPMT(K5,J9,K3,-O7)</f>
        <v>1617.1448166975883</v>
      </c>
      <c r="N9" s="245">
        <f>PMT(K5,K3,-K2)</f>
        <v>1739.7685817084212</v>
      </c>
      <c r="O9" s="244">
        <f t="shared" si="0"/>
        <v>16776.419934927322</v>
      </c>
      <c r="P9" s="225"/>
    </row>
    <row r="10" spans="1:16">
      <c r="A10" s="231" t="s">
        <v>115</v>
      </c>
      <c r="B10" s="233">
        <v>0.24</v>
      </c>
      <c r="C10" s="223"/>
      <c r="D10" s="231" t="s">
        <v>76</v>
      </c>
      <c r="E10" s="233">
        <v>0.24</v>
      </c>
      <c r="F10" s="223"/>
      <c r="G10" s="231" t="s">
        <v>115</v>
      </c>
      <c r="H10" s="233">
        <v>0.3</v>
      </c>
      <c r="I10" s="223"/>
      <c r="J10" s="226">
        <v>3</v>
      </c>
      <c r="K10" s="244">
        <f>O9</f>
        <v>16776.419934927322</v>
      </c>
      <c r="L10" s="245">
        <f>IPMT(K5,J10,K3,-O7)</f>
        <v>111.84279956618215</v>
      </c>
      <c r="M10" s="245">
        <f>PPMT(K5,J10,K3,-O7)</f>
        <v>1627.9257821422389</v>
      </c>
      <c r="N10" s="245">
        <f>PMT(K5,K3,-K2)</f>
        <v>1739.7685817084212</v>
      </c>
      <c r="O10" s="244">
        <f t="shared" si="0"/>
        <v>15148.494152785082</v>
      </c>
      <c r="P10" s="225"/>
    </row>
    <row r="11" spans="1:16">
      <c r="A11" s="231" t="s">
        <v>105</v>
      </c>
      <c r="B11" s="235">
        <f>B10/4</f>
        <v>0.06</v>
      </c>
      <c r="C11" s="223"/>
      <c r="D11" s="239" t="s">
        <v>12</v>
      </c>
      <c r="E11" s="242">
        <f>PMT(E10/12,E9,-E8)</f>
        <v>4453.0611146126585</v>
      </c>
      <c r="F11" s="223"/>
      <c r="G11" s="231" t="s">
        <v>76</v>
      </c>
      <c r="H11" s="236">
        <f>H10/12</f>
        <v>2.4999999999999998E-2</v>
      </c>
      <c r="I11" s="223"/>
      <c r="J11" s="226">
        <v>4</v>
      </c>
      <c r="K11" s="244">
        <f t="shared" ref="K11:K19" si="1">O10</f>
        <v>15148.494152785082</v>
      </c>
      <c r="L11" s="245">
        <f>IPMT(K5,J11,K3,-O7)</f>
        <v>100.98996101856723</v>
      </c>
      <c r="M11" s="245">
        <f>PPMT(K5,J11,K3,-O7)</f>
        <v>1638.7786206898538</v>
      </c>
      <c r="N11" s="245">
        <f>PMT(K5,K3,-K2)</f>
        <v>1739.7685817084212</v>
      </c>
      <c r="O11" s="244">
        <f t="shared" si="0"/>
        <v>13509.715532095228</v>
      </c>
      <c r="P11" s="225"/>
    </row>
    <row r="12" spans="1:16">
      <c r="A12" s="239" t="s">
        <v>106</v>
      </c>
      <c r="B12" s="240">
        <f>FV(B11,B9,-B8)</f>
        <v>697531.8537600009</v>
      </c>
      <c r="C12" s="223"/>
      <c r="D12" s="218">
        <v>7</v>
      </c>
      <c r="E12" s="218"/>
      <c r="F12" s="223"/>
      <c r="G12" s="231" t="s">
        <v>120</v>
      </c>
      <c r="H12" s="246">
        <f>FV(H11,H9,-H8)</f>
        <v>27591.105939703804</v>
      </c>
      <c r="I12" s="223"/>
      <c r="J12" s="226">
        <v>5</v>
      </c>
      <c r="K12" s="244">
        <f t="shared" si="1"/>
        <v>13509.715532095228</v>
      </c>
      <c r="L12" s="245">
        <f>IPMT(K5,J12,K3,-O7)</f>
        <v>90.064770213968188</v>
      </c>
      <c r="M12" s="245">
        <f>PPMT(K5,J12,K3,-O7)</f>
        <v>1649.703811494453</v>
      </c>
      <c r="N12" s="245">
        <f>PMT(K5,K3,-K2)</f>
        <v>1739.7685817084212</v>
      </c>
      <c r="O12" s="244">
        <f t="shared" si="0"/>
        <v>11860.011720600774</v>
      </c>
      <c r="P12" s="225"/>
    </row>
    <row r="13" spans="1:16">
      <c r="A13" s="218">
        <v>3</v>
      </c>
      <c r="B13" s="218"/>
      <c r="C13" s="224"/>
      <c r="D13" s="228" t="s">
        <v>15</v>
      </c>
      <c r="E13" s="230">
        <v>80000</v>
      </c>
      <c r="F13" s="223"/>
      <c r="G13" s="231" t="s">
        <v>121</v>
      </c>
      <c r="H13" s="233">
        <f>EFFECT(H10,H9)</f>
        <v>0.34488882424629752</v>
      </c>
      <c r="I13" s="223"/>
      <c r="J13" s="226">
        <v>6</v>
      </c>
      <c r="K13" s="244">
        <f t="shared" si="1"/>
        <v>11860.011720600774</v>
      </c>
      <c r="L13" s="245">
        <f>IPMT(K5,J13,K3,-O7)</f>
        <v>79.066744804005182</v>
      </c>
      <c r="M13" s="245">
        <f>PPMT(K5,J13,K3,-O7)</f>
        <v>1660.701836904416</v>
      </c>
      <c r="N13" s="245">
        <f>PMT(K5,K3,-K2)</f>
        <v>1739.7685817084212</v>
      </c>
      <c r="O13" s="244">
        <f t="shared" si="0"/>
        <v>10199.309883696358</v>
      </c>
      <c r="P13" s="225"/>
    </row>
    <row r="14" spans="1:16">
      <c r="A14" s="228" t="s">
        <v>15</v>
      </c>
      <c r="B14" s="230">
        <v>40000</v>
      </c>
      <c r="C14" s="223"/>
      <c r="D14" s="231" t="s">
        <v>103</v>
      </c>
      <c r="E14" s="234">
        <v>8</v>
      </c>
      <c r="F14" s="223"/>
      <c r="G14" s="239" t="s">
        <v>122</v>
      </c>
      <c r="H14" s="242">
        <f>FV(H13,H9,-H8)</f>
        <v>197243.78146838144</v>
      </c>
      <c r="I14" s="223"/>
      <c r="J14" s="226">
        <v>7</v>
      </c>
      <c r="K14" s="244">
        <f t="shared" si="1"/>
        <v>10199.309883696358</v>
      </c>
      <c r="L14" s="245">
        <f>IPMT(K5,J14,K3,-O7)</f>
        <v>67.995399224642398</v>
      </c>
      <c r="M14" s="245">
        <f>PPMT(K5,J14,K3,-O7)</f>
        <v>1671.773182483779</v>
      </c>
      <c r="N14" s="245">
        <f>PMT(K5,K3,-K2)</f>
        <v>1739.7685817084212</v>
      </c>
      <c r="O14" s="244">
        <f t="shared" si="0"/>
        <v>8527.5367012125789</v>
      </c>
      <c r="P14" s="225"/>
    </row>
    <row r="15" spans="1:16">
      <c r="A15" s="231" t="s">
        <v>103</v>
      </c>
      <c r="B15" s="234">
        <v>6</v>
      </c>
      <c r="C15" s="223"/>
      <c r="D15" s="231" t="s">
        <v>76</v>
      </c>
      <c r="E15" s="233">
        <v>0.3</v>
      </c>
      <c r="F15" s="223"/>
      <c r="G15" s="218">
        <v>11</v>
      </c>
      <c r="H15" s="218"/>
      <c r="I15" s="223"/>
      <c r="J15" s="226">
        <v>8</v>
      </c>
      <c r="K15" s="244">
        <f t="shared" si="1"/>
        <v>8527.5367012125789</v>
      </c>
      <c r="L15" s="245">
        <f>IPMT(K5,J15,K3,-O7)</f>
        <v>56.850244674750556</v>
      </c>
      <c r="M15" s="245">
        <f>PPMT(K5,J15,K3,-O7)</f>
        <v>1682.9183370336707</v>
      </c>
      <c r="N15" s="245">
        <f>PMT(K5,K3,-K2)</f>
        <v>1739.7685817084212</v>
      </c>
      <c r="O15" s="244">
        <f t="shared" si="0"/>
        <v>6844.6183641789085</v>
      </c>
      <c r="P15" s="225"/>
    </row>
    <row r="16" spans="1:16">
      <c r="A16" s="231" t="s">
        <v>115</v>
      </c>
      <c r="B16" s="233">
        <v>0.36</v>
      </c>
      <c r="C16" s="223"/>
      <c r="D16" s="239" t="s">
        <v>12</v>
      </c>
      <c r="E16" s="242">
        <f>PMT(E15/12,E14,-E13)</f>
        <v>11157.387666567814</v>
      </c>
      <c r="F16" s="223"/>
      <c r="G16" s="247" t="s">
        <v>123</v>
      </c>
      <c r="H16" s="248">
        <v>0.02</v>
      </c>
      <c r="I16" s="223"/>
      <c r="J16" s="226">
        <v>9</v>
      </c>
      <c r="K16" s="244">
        <f t="shared" si="1"/>
        <v>6844.6183641789085</v>
      </c>
      <c r="L16" s="245">
        <f>IPMT(K5,J16,K3,-O7)</f>
        <v>45.630789094526079</v>
      </c>
      <c r="M16" s="245">
        <f>PPMT(K5,J16,K3,-O7)</f>
        <v>1694.1377926138953</v>
      </c>
      <c r="N16" s="245">
        <f>PMT(K5,K3,-O7)</f>
        <v>1739.7685817084212</v>
      </c>
      <c r="O16" s="244">
        <f t="shared" si="0"/>
        <v>5150.4805715650127</v>
      </c>
      <c r="P16" s="225"/>
    </row>
    <row r="17" spans="1:16">
      <c r="A17" s="231" t="s">
        <v>105</v>
      </c>
      <c r="B17" s="236">
        <f>B16/4</f>
        <v>0.09</v>
      </c>
      <c r="C17" s="223"/>
      <c r="D17" s="218">
        <v>8</v>
      </c>
      <c r="E17" s="218"/>
      <c r="F17" s="223"/>
      <c r="G17" s="226" t="s">
        <v>124</v>
      </c>
      <c r="H17" s="226">
        <v>36</v>
      </c>
      <c r="I17" s="223"/>
      <c r="J17" s="226">
        <v>10</v>
      </c>
      <c r="K17" s="244">
        <f t="shared" si="1"/>
        <v>5150.4805715650127</v>
      </c>
      <c r="L17" s="245">
        <f>IPMT(K5,J17,K3,-O7)</f>
        <v>34.336537143766769</v>
      </c>
      <c r="M17" s="245">
        <f>PPMT(K5,J17,K3,-O7)</f>
        <v>1705.4320445646545</v>
      </c>
      <c r="N17" s="245">
        <f>PMT(K5,K3,-K2)</f>
        <v>1739.7685817084212</v>
      </c>
      <c r="O17" s="244">
        <f t="shared" si="0"/>
        <v>3445.0485270003583</v>
      </c>
      <c r="P17" s="225"/>
    </row>
    <row r="18" spans="1:16">
      <c r="A18" s="239" t="s">
        <v>116</v>
      </c>
      <c r="B18" s="242">
        <f>FV(B17,B15,-B14)</f>
        <v>300933.38259600027</v>
      </c>
      <c r="C18" s="223"/>
      <c r="D18" s="228" t="s">
        <v>15</v>
      </c>
      <c r="E18" s="230">
        <v>2000</v>
      </c>
      <c r="F18" s="223"/>
      <c r="G18" s="249" t="s">
        <v>125</v>
      </c>
      <c r="H18" s="250">
        <f>NOMINAL(H16,H17)</f>
        <v>1.9808074740070403E-2</v>
      </c>
      <c r="I18" s="223"/>
      <c r="J18" s="226">
        <v>11</v>
      </c>
      <c r="K18" s="244">
        <f t="shared" si="1"/>
        <v>3445.0485270003583</v>
      </c>
      <c r="L18" s="245">
        <f>IPMT(K5,J18,K3,-O7)</f>
        <v>22.966990180002405</v>
      </c>
      <c r="M18" s="245">
        <f>PPMT(K5,J18,K3,-O7)</f>
        <v>1716.8015915284188</v>
      </c>
      <c r="N18" s="245">
        <f>PMT(K5,K3,-K2)</f>
        <v>1739.7685817084212</v>
      </c>
      <c r="O18" s="244">
        <f t="shared" si="0"/>
        <v>1728.2469354719394</v>
      </c>
      <c r="P18" s="225"/>
    </row>
    <row r="19" spans="1:16">
      <c r="A19" s="218">
        <v>4</v>
      </c>
      <c r="B19" s="218"/>
      <c r="C19" s="223"/>
      <c r="D19" s="231" t="s">
        <v>23</v>
      </c>
      <c r="E19" s="234">
        <v>2699.38</v>
      </c>
      <c r="F19" s="223"/>
      <c r="G19" s="226" t="s">
        <v>123</v>
      </c>
      <c r="H19" s="251">
        <v>2.5000000000000001E-2</v>
      </c>
      <c r="I19" s="223"/>
      <c r="J19" s="226">
        <v>12</v>
      </c>
      <c r="K19" s="244">
        <f t="shared" si="1"/>
        <v>1728.2469354719394</v>
      </c>
      <c r="L19" s="245">
        <f>IPMT(K5,J19,K3,-O7)</f>
        <v>11.52164623647961</v>
      </c>
      <c r="M19" s="245">
        <f>PPMT(K5,J19,K3,-O7)</f>
        <v>1728.2469354719415</v>
      </c>
      <c r="N19" s="245">
        <f>PMT(K5,K3,-K2)</f>
        <v>1739.7685817084212</v>
      </c>
      <c r="O19" s="244">
        <f t="shared" si="0"/>
        <v>-2.0463630789890885E-12</v>
      </c>
      <c r="P19" s="225"/>
    </row>
    <row r="20" spans="1:16">
      <c r="A20" s="228" t="s">
        <v>15</v>
      </c>
      <c r="B20" s="230">
        <v>2000</v>
      </c>
      <c r="C20" s="223"/>
      <c r="D20" s="231" t="s">
        <v>103</v>
      </c>
      <c r="E20" s="234">
        <v>1</v>
      </c>
      <c r="F20" s="223"/>
      <c r="G20" s="226" t="s">
        <v>124</v>
      </c>
      <c r="H20" s="226">
        <v>28</v>
      </c>
      <c r="I20" s="225"/>
      <c r="J20" s="225"/>
      <c r="K20" s="225"/>
      <c r="L20" s="225"/>
      <c r="M20" s="225"/>
      <c r="N20" s="225"/>
      <c r="O20" s="225"/>
      <c r="P20" s="225"/>
    </row>
    <row r="21" spans="1:16">
      <c r="A21" s="231" t="s">
        <v>103</v>
      </c>
      <c r="B21" s="234">
        <v>60</v>
      </c>
      <c r="C21" s="223"/>
      <c r="D21" s="231" t="s">
        <v>12</v>
      </c>
      <c r="E21" s="233"/>
      <c r="F21" s="223"/>
      <c r="G21" s="226" t="s">
        <v>125</v>
      </c>
      <c r="H21" s="252">
        <f>NOMINAL(H19,H20)</f>
        <v>2.4703503740206578E-2</v>
      </c>
      <c r="I21" s="225"/>
      <c r="J21" s="225"/>
      <c r="K21" s="225"/>
      <c r="L21" s="225"/>
      <c r="M21" s="225"/>
      <c r="N21" s="225"/>
      <c r="O21" s="225"/>
      <c r="P21" s="225"/>
    </row>
    <row r="22" spans="1:16" ht="15.75" thickBot="1">
      <c r="A22" s="239" t="s">
        <v>115</v>
      </c>
      <c r="B22" s="253">
        <v>0.48</v>
      </c>
      <c r="C22" s="223"/>
      <c r="D22" s="237" t="s">
        <v>34</v>
      </c>
      <c r="E22" s="254">
        <f>RATE(E20,,-E18,E19)</f>
        <v>0.34969000000000006</v>
      </c>
      <c r="F22" s="223"/>
      <c r="G22" s="255"/>
      <c r="H22" s="223"/>
      <c r="I22" s="225"/>
      <c r="J22" s="225"/>
      <c r="K22" s="225"/>
      <c r="L22" s="225"/>
      <c r="M22" s="225"/>
      <c r="N22" s="225"/>
      <c r="O22" s="225"/>
      <c r="P22" s="225"/>
    </row>
    <row r="23" spans="1:16">
      <c r="A23" s="231" t="s">
        <v>76</v>
      </c>
      <c r="B23" s="236">
        <f>B22/12</f>
        <v>0.04</v>
      </c>
      <c r="C23" s="223"/>
      <c r="D23" s="223"/>
      <c r="E23" s="223"/>
      <c r="F23" s="223"/>
      <c r="G23" s="223"/>
      <c r="H23" s="223"/>
      <c r="I23" s="225"/>
      <c r="J23" s="225"/>
      <c r="K23" s="225"/>
      <c r="L23" s="225"/>
      <c r="M23" s="225"/>
      <c r="N23" s="225"/>
      <c r="O23" s="225"/>
      <c r="P23" s="225"/>
    </row>
    <row r="24" spans="1:16" ht="15.75" thickBot="1">
      <c r="A24" s="237" t="s">
        <v>118</v>
      </c>
      <c r="B24" s="256">
        <f>FV(B23,B21,-B20)</f>
        <v>475981.37040264322</v>
      </c>
      <c r="C24" s="223"/>
      <c r="D24" s="223"/>
      <c r="E24" s="223"/>
      <c r="F24" s="223"/>
      <c r="G24" s="223"/>
      <c r="H24" s="223"/>
      <c r="I24" s="225"/>
      <c r="J24" s="225"/>
      <c r="K24" s="225"/>
      <c r="L24" s="225"/>
      <c r="M24" s="225"/>
      <c r="N24" s="225"/>
      <c r="O24" s="225"/>
      <c r="P24" s="225"/>
    </row>
    <row r="25" spans="1:16">
      <c r="A25" s="225"/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</row>
    <row r="26" spans="1:16">
      <c r="B26" s="135"/>
    </row>
  </sheetData>
  <mergeCells count="12">
    <mergeCell ref="G1:H1"/>
    <mergeCell ref="G7:H7"/>
    <mergeCell ref="G15:H15"/>
    <mergeCell ref="J1:K1"/>
    <mergeCell ref="A1:B1"/>
    <mergeCell ref="A7:B7"/>
    <mergeCell ref="A13:B13"/>
    <mergeCell ref="A19:B19"/>
    <mergeCell ref="D1:E1"/>
    <mergeCell ref="D7:E7"/>
    <mergeCell ref="D12:E12"/>
    <mergeCell ref="D17:E17"/>
  </mergeCell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clase</vt:lpstr>
      <vt:lpstr>practica</vt:lpstr>
      <vt:lpstr>Hoja3</vt:lpstr>
      <vt:lpstr>suma</vt:lpstr>
      <vt:lpstr>tasa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Laboratorio 4</cp:lastModifiedBy>
  <cp:revision>0</cp:revision>
  <dcterms:created xsi:type="dcterms:W3CDTF">2006-09-16T00:00:00Z</dcterms:created>
  <dcterms:modified xsi:type="dcterms:W3CDTF">2015-08-18T16:40:01Z</dcterms:modified>
  <dc:language>es-EC</dc:language>
</cp:coreProperties>
</file>