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ana.munoz\Downloads\"/>
    </mc:Choice>
  </mc:AlternateContent>
  <xr:revisionPtr revIDLastSave="0" documentId="8_{475E0B60-17BF-4A78-BBC1-89AE5D622C83}" xr6:coauthVersionLast="47" xr6:coauthVersionMax="47" xr10:uidLastSave="{00000000-0000-0000-0000-000000000000}"/>
  <bookViews>
    <workbookView xWindow="-110" yWindow="-110" windowWidth="19420" windowHeight="10420" tabRatio="500" firstSheet="5" activeTab="6" xr2:uid="{00000000-000D-0000-FFFF-FFFF00000000}"/>
  </bookViews>
  <sheets>
    <sheet name="crecimientos" sheetId="12" r:id="rId1"/>
    <sheet name="afil" sheetId="11" r:id="rId2"/>
    <sheet name="2025" sheetId="9" r:id="rId3"/>
    <sheet name="may-ago" sheetId="13" r:id="rId4"/>
    <sheet name="BD MD" sheetId="1" r:id="rId5"/>
    <sheet name="Hoja1" sheetId="14" r:id="rId6"/>
    <sheet name="BD MF" sheetId="2" r:id="rId7"/>
    <sheet name="Dashboard MD" sheetId="3" state="hidden" r:id="rId8"/>
    <sheet name="Dashboard MF" sheetId="4" r:id="rId9"/>
    <sheet name="Metas 2026" sheetId="5" r:id="rId10"/>
    <sheet name="JULIO" sheetId="6" r:id="rId11"/>
    <sheet name="Semana Santa" sheetId="7" r:id="rId12"/>
    <sheet name="Hot Sale" sheetId="8" r:id="rId13"/>
  </sheets>
  <definedNames>
    <definedName name="_xlnm._FilterDatabase" localSheetId="4" hidden="1">'BD MD'!$A$3:$A$368</definedName>
    <definedName name="_xlnm._FilterDatabase" localSheetId="6" hidden="1">'BD MF'!$A$3:$A$368</definedName>
    <definedName name="_xlnm._FilterDatabase" localSheetId="0" hidden="1">crecimientos!$A$2:$BE$245</definedName>
  </definedNames>
  <calcPr calcId="191028"/>
  <pivotCaches>
    <pivotCache cacheId="34" r:id="rId14"/>
    <pivotCache cacheId="37" r:id="rId15"/>
    <pivotCache cacheId="36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47" i="5" l="1"/>
  <c r="AD2" i="1"/>
  <c r="AB2" i="1"/>
  <c r="Z2" i="1"/>
  <c r="X2" i="1"/>
  <c r="V2" i="1"/>
  <c r="T2" i="1"/>
  <c r="R2" i="1"/>
  <c r="P2" i="1"/>
  <c r="N2" i="1"/>
  <c r="L2" i="1"/>
  <c r="B2" i="1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E2" i="2"/>
  <c r="R1" i="2"/>
  <c r="N1" i="2"/>
  <c r="O1" i="2" l="1"/>
  <c r="Q1" i="2"/>
  <c r="AE385" i="2" l="1"/>
  <c r="AD385" i="2"/>
  <c r="AC385" i="2"/>
  <c r="AB385" i="2"/>
  <c r="AA385" i="2"/>
  <c r="Z385" i="2"/>
  <c r="Y385" i="2"/>
  <c r="X385" i="2"/>
  <c r="W385" i="2"/>
  <c r="V385" i="2"/>
  <c r="U385" i="2"/>
  <c r="T385" i="2"/>
  <c r="E376" i="2"/>
  <c r="K376" i="2"/>
  <c r="AW276" i="1"/>
  <c r="AV276" i="1"/>
  <c r="AQ276" i="1"/>
  <c r="AP276" i="1"/>
  <c r="AO276" i="1"/>
  <c r="AW275" i="1"/>
  <c r="AV275" i="1"/>
  <c r="AQ275" i="1"/>
  <c r="AP275" i="1"/>
  <c r="AO275" i="1"/>
  <c r="AW274" i="1"/>
  <c r="AV274" i="1"/>
  <c r="AQ274" i="1"/>
  <c r="AP274" i="1"/>
  <c r="AO274" i="1"/>
  <c r="AW273" i="1"/>
  <c r="AV273" i="1"/>
  <c r="AQ273" i="1"/>
  <c r="AP273" i="1"/>
  <c r="AO273" i="1"/>
  <c r="AW272" i="1"/>
  <c r="AV272" i="1"/>
  <c r="AQ272" i="1"/>
  <c r="AP272" i="1"/>
  <c r="AO272" i="1"/>
  <c r="AW271" i="1"/>
  <c r="AV271" i="1"/>
  <c r="AQ271" i="1"/>
  <c r="AP271" i="1"/>
  <c r="AO271" i="1"/>
  <c r="AW270" i="1"/>
  <c r="AV270" i="1"/>
  <c r="AQ270" i="1"/>
  <c r="AP270" i="1"/>
  <c r="AO270" i="1"/>
  <c r="AW269" i="1"/>
  <c r="AV269" i="1"/>
  <c r="AQ269" i="1"/>
  <c r="AP269" i="1"/>
  <c r="AO269" i="1"/>
  <c r="AW268" i="1"/>
  <c r="AV268" i="1"/>
  <c r="AQ268" i="1"/>
  <c r="AP268" i="1"/>
  <c r="AO268" i="1"/>
  <c r="AW267" i="1"/>
  <c r="AV267" i="1"/>
  <c r="AQ267" i="1"/>
  <c r="AP267" i="1"/>
  <c r="AO267" i="1"/>
  <c r="AW266" i="1"/>
  <c r="AV266" i="1"/>
  <c r="AQ266" i="1"/>
  <c r="AP266" i="1"/>
  <c r="AO266" i="1"/>
  <c r="AW265" i="1"/>
  <c r="AV265" i="1"/>
  <c r="AQ265" i="1"/>
  <c r="AP265" i="1"/>
  <c r="AO265" i="1"/>
  <c r="AW264" i="1"/>
  <c r="AV264" i="1"/>
  <c r="AQ264" i="1"/>
  <c r="AP264" i="1"/>
  <c r="AO264" i="1"/>
  <c r="AW263" i="1"/>
  <c r="AV263" i="1"/>
  <c r="AQ263" i="1"/>
  <c r="AP263" i="1"/>
  <c r="AO263" i="1"/>
  <c r="AW262" i="1"/>
  <c r="AV262" i="1"/>
  <c r="AQ262" i="1"/>
  <c r="AP262" i="1"/>
  <c r="AO262" i="1"/>
  <c r="AW261" i="1"/>
  <c r="AV261" i="1"/>
  <c r="AQ261" i="1"/>
  <c r="AP261" i="1"/>
  <c r="AO261" i="1"/>
  <c r="AW260" i="1"/>
  <c r="AV260" i="1"/>
  <c r="AQ260" i="1"/>
  <c r="AP260" i="1"/>
  <c r="AO260" i="1"/>
  <c r="AW259" i="1"/>
  <c r="AV259" i="1"/>
  <c r="AQ259" i="1"/>
  <c r="AP259" i="1"/>
  <c r="AO259" i="1"/>
  <c r="AW258" i="1"/>
  <c r="AV258" i="1"/>
  <c r="AQ258" i="1"/>
  <c r="AP258" i="1"/>
  <c r="AO258" i="1"/>
  <c r="AW257" i="1"/>
  <c r="AV257" i="1"/>
  <c r="AQ257" i="1"/>
  <c r="AP257" i="1"/>
  <c r="AO257" i="1"/>
  <c r="AW256" i="1"/>
  <c r="AV256" i="1"/>
  <c r="AQ256" i="1"/>
  <c r="AP256" i="1"/>
  <c r="AO256" i="1"/>
  <c r="AW255" i="1"/>
  <c r="AV255" i="1"/>
  <c r="AQ255" i="1"/>
  <c r="AP255" i="1"/>
  <c r="AO255" i="1"/>
  <c r="AW254" i="1"/>
  <c r="AV254" i="1"/>
  <c r="AQ254" i="1"/>
  <c r="AP254" i="1"/>
  <c r="AO254" i="1"/>
  <c r="AW253" i="1"/>
  <c r="AV253" i="1"/>
  <c r="AQ253" i="1"/>
  <c r="AP253" i="1"/>
  <c r="AO253" i="1"/>
  <c r="AW252" i="1"/>
  <c r="AV252" i="1"/>
  <c r="AQ252" i="1"/>
  <c r="AP252" i="1"/>
  <c r="AO252" i="1"/>
  <c r="AW251" i="1"/>
  <c r="AV251" i="1"/>
  <c r="AQ251" i="1"/>
  <c r="AP251" i="1"/>
  <c r="AO251" i="1"/>
  <c r="AW250" i="1"/>
  <c r="AV250" i="1"/>
  <c r="AQ250" i="1"/>
  <c r="AP250" i="1"/>
  <c r="AO250" i="1"/>
  <c r="AW249" i="1"/>
  <c r="AV249" i="1"/>
  <c r="AQ249" i="1"/>
  <c r="AP249" i="1"/>
  <c r="AO249" i="1"/>
  <c r="AW248" i="1"/>
  <c r="AV248" i="1"/>
  <c r="AQ248" i="1"/>
  <c r="AP248" i="1"/>
  <c r="AO248" i="1"/>
  <c r="AW247" i="1"/>
  <c r="AV247" i="1"/>
  <c r="AQ247" i="1"/>
  <c r="AP247" i="1"/>
  <c r="AO247" i="1"/>
  <c r="AB380" i="2"/>
  <c r="U389" i="2" l="1"/>
  <c r="V389" i="2"/>
  <c r="W389" i="2" s="1"/>
  <c r="T386" i="2"/>
  <c r="U386" i="2"/>
  <c r="U387" i="2" s="1"/>
  <c r="G20" i="9"/>
  <c r="T29" i="5"/>
  <c r="S29" i="5"/>
  <c r="S26" i="5"/>
  <c r="S25" i="5"/>
  <c r="J27" i="9"/>
  <c r="J26" i="9"/>
  <c r="J25" i="9"/>
  <c r="K27" i="9"/>
  <c r="K26" i="9"/>
  <c r="K25" i="9"/>
  <c r="G31" i="9" l="1"/>
  <c r="G30" i="9"/>
  <c r="G29" i="9"/>
  <c r="G28" i="9"/>
  <c r="H31" i="9"/>
  <c r="H30" i="9"/>
  <c r="H29" i="9"/>
  <c r="H28" i="9"/>
  <c r="H27" i="9"/>
  <c r="G27" i="9"/>
  <c r="H26" i="9"/>
  <c r="G26" i="9"/>
  <c r="H25" i="9"/>
  <c r="G25" i="9"/>
  <c r="H24" i="9"/>
  <c r="G24" i="9"/>
  <c r="H23" i="9"/>
  <c r="G23" i="9"/>
  <c r="H22" i="9"/>
  <c r="G22" i="9"/>
  <c r="H21" i="9"/>
  <c r="G21" i="9"/>
  <c r="H20" i="9"/>
  <c r="G32" i="9" l="1"/>
  <c r="I21" i="9"/>
  <c r="I25" i="9"/>
  <c r="I20" i="9"/>
  <c r="I26" i="9"/>
  <c r="I24" i="9"/>
  <c r="I22" i="9"/>
  <c r="I23" i="9"/>
  <c r="I27" i="9"/>
  <c r="H32" i="9"/>
  <c r="P131" i="13"/>
  <c r="O131" i="13"/>
  <c r="P130" i="13"/>
  <c r="O130" i="13"/>
  <c r="P129" i="13"/>
  <c r="O129" i="13"/>
  <c r="P128" i="13"/>
  <c r="O128" i="13"/>
  <c r="P127" i="13"/>
  <c r="O127" i="13"/>
  <c r="P126" i="13"/>
  <c r="O126" i="13"/>
  <c r="P125" i="13"/>
  <c r="O125" i="13"/>
  <c r="P124" i="13"/>
  <c r="O124" i="13"/>
  <c r="P123" i="13"/>
  <c r="O123" i="13"/>
  <c r="P122" i="13"/>
  <c r="O122" i="13"/>
  <c r="P121" i="13"/>
  <c r="O121" i="13"/>
  <c r="P120" i="13"/>
  <c r="O120" i="13"/>
  <c r="P119" i="13"/>
  <c r="O119" i="13"/>
  <c r="P118" i="13"/>
  <c r="O118" i="13"/>
  <c r="P117" i="13"/>
  <c r="O117" i="13"/>
  <c r="P116" i="13"/>
  <c r="O116" i="13"/>
  <c r="P115" i="13"/>
  <c r="O115" i="13"/>
  <c r="P114" i="13"/>
  <c r="O114" i="13"/>
  <c r="P113" i="13"/>
  <c r="O113" i="13"/>
  <c r="P112" i="13"/>
  <c r="O112" i="13"/>
  <c r="P111" i="13"/>
  <c r="O111" i="13"/>
  <c r="P110" i="13"/>
  <c r="O110" i="13"/>
  <c r="P109" i="13"/>
  <c r="O109" i="13"/>
  <c r="P108" i="13"/>
  <c r="O108" i="13"/>
  <c r="P107" i="13"/>
  <c r="O107" i="13"/>
  <c r="P106" i="13"/>
  <c r="O106" i="13"/>
  <c r="P105" i="13"/>
  <c r="O105" i="13"/>
  <c r="P104" i="13"/>
  <c r="O104" i="13"/>
  <c r="P103" i="13"/>
  <c r="O103" i="13"/>
  <c r="P102" i="13"/>
  <c r="O102" i="13"/>
  <c r="P101" i="13"/>
  <c r="O101" i="13"/>
  <c r="P100" i="13"/>
  <c r="O100" i="13"/>
  <c r="P99" i="13"/>
  <c r="O99" i="13"/>
  <c r="P98" i="13"/>
  <c r="O98" i="13"/>
  <c r="P97" i="13"/>
  <c r="O97" i="13"/>
  <c r="P96" i="13"/>
  <c r="O96" i="13"/>
  <c r="P95" i="13"/>
  <c r="O95" i="13"/>
  <c r="P94" i="13"/>
  <c r="O94" i="13"/>
  <c r="P93" i="13"/>
  <c r="O93" i="13"/>
  <c r="P92" i="13"/>
  <c r="O92" i="13"/>
  <c r="P91" i="13"/>
  <c r="O91" i="13"/>
  <c r="P90" i="13"/>
  <c r="O90" i="13"/>
  <c r="P89" i="13"/>
  <c r="O89" i="13"/>
  <c r="P88" i="13"/>
  <c r="O88" i="13"/>
  <c r="P87" i="13"/>
  <c r="O87" i="13"/>
  <c r="P86" i="13"/>
  <c r="O86" i="13"/>
  <c r="P85" i="13"/>
  <c r="O85" i="13"/>
  <c r="P84" i="13"/>
  <c r="O84" i="13"/>
  <c r="P83" i="13"/>
  <c r="O83" i="13"/>
  <c r="P82" i="13"/>
  <c r="O82" i="13"/>
  <c r="P81" i="13"/>
  <c r="O81" i="13"/>
  <c r="P80" i="13"/>
  <c r="O80" i="13"/>
  <c r="P79" i="13"/>
  <c r="O79" i="13"/>
  <c r="P78" i="13"/>
  <c r="O78" i="13"/>
  <c r="P77" i="13"/>
  <c r="O77" i="13"/>
  <c r="P76" i="13"/>
  <c r="O76" i="13"/>
  <c r="P75" i="13"/>
  <c r="O75" i="13"/>
  <c r="P74" i="13"/>
  <c r="O74" i="13"/>
  <c r="P73" i="13"/>
  <c r="O73" i="13"/>
  <c r="P72" i="13"/>
  <c r="O72" i="13"/>
  <c r="P71" i="13"/>
  <c r="O71" i="13"/>
  <c r="P70" i="13"/>
  <c r="O70" i="13"/>
  <c r="P69" i="13"/>
  <c r="O69" i="13"/>
  <c r="P68" i="13"/>
  <c r="O68" i="13"/>
  <c r="P67" i="13"/>
  <c r="O67" i="13"/>
  <c r="P66" i="13"/>
  <c r="O66" i="13"/>
  <c r="P65" i="13"/>
  <c r="O65" i="13"/>
  <c r="P64" i="13"/>
  <c r="O64" i="13"/>
  <c r="P63" i="13"/>
  <c r="O63" i="13"/>
  <c r="P62" i="13"/>
  <c r="O62" i="13"/>
  <c r="P61" i="13"/>
  <c r="O61" i="13"/>
  <c r="P60" i="13"/>
  <c r="O60" i="13"/>
  <c r="P59" i="13"/>
  <c r="O59" i="13"/>
  <c r="P58" i="13"/>
  <c r="O58" i="13"/>
  <c r="P57" i="13"/>
  <c r="O57" i="13"/>
  <c r="P56" i="13"/>
  <c r="O56" i="13"/>
  <c r="P55" i="13"/>
  <c r="O55" i="13"/>
  <c r="P54" i="13"/>
  <c r="O54" i="13"/>
  <c r="P53" i="13"/>
  <c r="O53" i="13"/>
  <c r="P52" i="13"/>
  <c r="O52" i="13"/>
  <c r="P51" i="13"/>
  <c r="O51" i="13"/>
  <c r="P50" i="13"/>
  <c r="O50" i="13"/>
  <c r="P49" i="13"/>
  <c r="O49" i="13"/>
  <c r="P48" i="13"/>
  <c r="O48" i="13"/>
  <c r="P47" i="13"/>
  <c r="O47" i="13"/>
  <c r="P46" i="13"/>
  <c r="O46" i="13"/>
  <c r="P45" i="13"/>
  <c r="O45" i="13"/>
  <c r="P44" i="13"/>
  <c r="O44" i="13"/>
  <c r="P43" i="13"/>
  <c r="O43" i="13"/>
  <c r="P42" i="13"/>
  <c r="O42" i="13"/>
  <c r="P41" i="13"/>
  <c r="O41" i="13"/>
  <c r="P40" i="13"/>
  <c r="O40" i="13"/>
  <c r="P39" i="13"/>
  <c r="O39" i="13"/>
  <c r="P38" i="13"/>
  <c r="O38" i="13"/>
  <c r="P37" i="13"/>
  <c r="O37" i="13"/>
  <c r="P36" i="13"/>
  <c r="O36" i="13"/>
  <c r="P35" i="13"/>
  <c r="O35" i="13"/>
  <c r="P34" i="13"/>
  <c r="O34" i="13"/>
  <c r="P33" i="13"/>
  <c r="O33" i="13"/>
  <c r="P32" i="13"/>
  <c r="O32" i="13"/>
  <c r="P31" i="13"/>
  <c r="O31" i="13"/>
  <c r="P30" i="13"/>
  <c r="O30" i="13"/>
  <c r="P29" i="13"/>
  <c r="O29" i="13"/>
  <c r="P28" i="13"/>
  <c r="O28" i="13"/>
  <c r="P27" i="13"/>
  <c r="O27" i="13"/>
  <c r="P26" i="13"/>
  <c r="O26" i="13"/>
  <c r="P25" i="13"/>
  <c r="O25" i="13"/>
  <c r="P24" i="13"/>
  <c r="O24" i="13"/>
  <c r="P23" i="13"/>
  <c r="O23" i="13"/>
  <c r="P22" i="13"/>
  <c r="O22" i="13"/>
  <c r="P21" i="13"/>
  <c r="O21" i="13"/>
  <c r="P20" i="13"/>
  <c r="O20" i="13"/>
  <c r="P19" i="13"/>
  <c r="O19" i="13"/>
  <c r="P18" i="13"/>
  <c r="O18" i="13"/>
  <c r="P17" i="13"/>
  <c r="O17" i="13"/>
  <c r="P16" i="13"/>
  <c r="O16" i="13"/>
  <c r="P15" i="13"/>
  <c r="O15" i="13"/>
  <c r="P14" i="13"/>
  <c r="O14" i="13"/>
  <c r="P13" i="13"/>
  <c r="O13" i="13"/>
  <c r="P12" i="13"/>
  <c r="O12" i="13"/>
  <c r="P11" i="13"/>
  <c r="O11" i="13"/>
  <c r="P10" i="13"/>
  <c r="O10" i="13"/>
  <c r="P9" i="13"/>
  <c r="O9" i="13"/>
  <c r="P8" i="13"/>
  <c r="O8" i="13"/>
  <c r="P7" i="13"/>
  <c r="O7" i="13"/>
  <c r="P6" i="13"/>
  <c r="O6" i="13"/>
  <c r="P5" i="13"/>
  <c r="O5" i="13"/>
  <c r="P4" i="13"/>
  <c r="O4" i="13"/>
  <c r="AQ246" i="1"/>
  <c r="AP246" i="1"/>
  <c r="AQ245" i="1"/>
  <c r="AP245" i="1"/>
  <c r="AQ244" i="1"/>
  <c r="AP244" i="1"/>
  <c r="AQ243" i="1"/>
  <c r="AP243" i="1"/>
  <c r="AQ242" i="1"/>
  <c r="AP242" i="1"/>
  <c r="AQ241" i="1"/>
  <c r="AP241" i="1"/>
  <c r="AQ240" i="1"/>
  <c r="AP240" i="1"/>
  <c r="AQ239" i="1"/>
  <c r="AP239" i="1"/>
  <c r="AQ238" i="1"/>
  <c r="AP238" i="1"/>
  <c r="AQ237" i="1"/>
  <c r="AP237" i="1"/>
  <c r="AQ236" i="1"/>
  <c r="AP236" i="1"/>
  <c r="AQ235" i="1"/>
  <c r="AP235" i="1"/>
  <c r="AQ234" i="1"/>
  <c r="AP234" i="1"/>
  <c r="AQ233" i="1"/>
  <c r="AP233" i="1"/>
  <c r="AQ232" i="1"/>
  <c r="AP232" i="1"/>
  <c r="AQ231" i="1"/>
  <c r="AP231" i="1"/>
  <c r="AQ230" i="1"/>
  <c r="AP230" i="1"/>
  <c r="AQ229" i="1"/>
  <c r="AP229" i="1"/>
  <c r="AQ228" i="1"/>
  <c r="AP228" i="1"/>
  <c r="AQ227" i="1"/>
  <c r="AP227" i="1"/>
  <c r="AQ226" i="1"/>
  <c r="AP226" i="1"/>
  <c r="AQ225" i="1"/>
  <c r="AP225" i="1"/>
  <c r="AQ224" i="1"/>
  <c r="AP224" i="1"/>
  <c r="AQ223" i="1"/>
  <c r="AP223" i="1"/>
  <c r="AQ222" i="1"/>
  <c r="AP222" i="1"/>
  <c r="AQ221" i="1"/>
  <c r="AP221" i="1"/>
  <c r="AQ220" i="1"/>
  <c r="AP220" i="1"/>
  <c r="AQ219" i="1"/>
  <c r="AP219" i="1"/>
  <c r="AQ218" i="1"/>
  <c r="AP218" i="1"/>
  <c r="AQ217" i="1"/>
  <c r="AP217" i="1"/>
  <c r="AQ216" i="1"/>
  <c r="AP216" i="1"/>
  <c r="AQ215" i="1"/>
  <c r="AP215" i="1"/>
  <c r="AQ214" i="1"/>
  <c r="AP214" i="1"/>
  <c r="AQ213" i="1"/>
  <c r="AP213" i="1"/>
  <c r="AQ212" i="1"/>
  <c r="AP212" i="1"/>
  <c r="AQ211" i="1"/>
  <c r="AP211" i="1"/>
  <c r="AQ210" i="1"/>
  <c r="AP210" i="1"/>
  <c r="AQ209" i="1"/>
  <c r="AP209" i="1"/>
  <c r="AQ208" i="1"/>
  <c r="AP208" i="1"/>
  <c r="AQ207" i="1"/>
  <c r="AP207" i="1"/>
  <c r="AQ206" i="1"/>
  <c r="AP206" i="1"/>
  <c r="AQ205" i="1"/>
  <c r="AP205" i="1"/>
  <c r="AQ204" i="1"/>
  <c r="AP204" i="1"/>
  <c r="AQ203" i="1"/>
  <c r="AP203" i="1"/>
  <c r="AQ202" i="1"/>
  <c r="AP202" i="1"/>
  <c r="AQ201" i="1"/>
  <c r="AP201" i="1"/>
  <c r="AQ200" i="1"/>
  <c r="AP200" i="1"/>
  <c r="AQ199" i="1"/>
  <c r="AP199" i="1"/>
  <c r="AQ198" i="1"/>
  <c r="AP198" i="1"/>
  <c r="AQ197" i="1"/>
  <c r="AP197" i="1"/>
  <c r="AQ196" i="1"/>
  <c r="AP196" i="1"/>
  <c r="AQ195" i="1"/>
  <c r="AP195" i="1"/>
  <c r="AQ194" i="1"/>
  <c r="AP194" i="1"/>
  <c r="AQ193" i="1"/>
  <c r="AP193" i="1"/>
  <c r="AQ192" i="1"/>
  <c r="AP192" i="1"/>
  <c r="AQ191" i="1"/>
  <c r="AP191" i="1"/>
  <c r="AQ190" i="1"/>
  <c r="AP190" i="1"/>
  <c r="AQ189" i="1"/>
  <c r="AP189" i="1"/>
  <c r="AQ188" i="1"/>
  <c r="AP188" i="1"/>
  <c r="AQ187" i="1"/>
  <c r="AP187" i="1"/>
  <c r="AQ186" i="1"/>
  <c r="AP186" i="1"/>
  <c r="AQ185" i="1"/>
  <c r="AP185" i="1"/>
  <c r="AQ184" i="1"/>
  <c r="AP184" i="1"/>
  <c r="AQ183" i="1"/>
  <c r="AP183" i="1"/>
  <c r="AQ182" i="1"/>
  <c r="AP182" i="1"/>
  <c r="AQ181" i="1"/>
  <c r="AP181" i="1"/>
  <c r="AQ180" i="1"/>
  <c r="AP180" i="1"/>
  <c r="AQ179" i="1"/>
  <c r="AP179" i="1"/>
  <c r="AQ178" i="1"/>
  <c r="AP178" i="1"/>
  <c r="AQ177" i="1"/>
  <c r="AP177" i="1"/>
  <c r="AQ176" i="1"/>
  <c r="AP176" i="1"/>
  <c r="AQ175" i="1"/>
  <c r="AP175" i="1"/>
  <c r="AQ174" i="1"/>
  <c r="AP174" i="1"/>
  <c r="AQ173" i="1"/>
  <c r="AP173" i="1"/>
  <c r="AQ172" i="1"/>
  <c r="AP172" i="1"/>
  <c r="AQ171" i="1"/>
  <c r="AP171" i="1"/>
  <c r="AQ170" i="1"/>
  <c r="AP170" i="1"/>
  <c r="AQ169" i="1"/>
  <c r="AP169" i="1"/>
  <c r="AQ168" i="1"/>
  <c r="AP168" i="1"/>
  <c r="AQ167" i="1"/>
  <c r="AP167" i="1"/>
  <c r="AQ166" i="1"/>
  <c r="AP166" i="1"/>
  <c r="AQ165" i="1"/>
  <c r="AP165" i="1"/>
  <c r="AQ164" i="1"/>
  <c r="AP164" i="1"/>
  <c r="AQ163" i="1"/>
  <c r="AP163" i="1"/>
  <c r="AQ162" i="1"/>
  <c r="AP162" i="1"/>
  <c r="AQ161" i="1"/>
  <c r="AP161" i="1"/>
  <c r="AQ160" i="1"/>
  <c r="AP160" i="1"/>
  <c r="AQ159" i="1"/>
  <c r="AP159" i="1"/>
  <c r="AQ158" i="1"/>
  <c r="AP158" i="1"/>
  <c r="AQ157" i="1"/>
  <c r="AP157" i="1"/>
  <c r="AQ156" i="1"/>
  <c r="AP156" i="1"/>
  <c r="AQ155" i="1"/>
  <c r="AP155" i="1"/>
  <c r="AQ154" i="1"/>
  <c r="AP154" i="1"/>
  <c r="AQ153" i="1"/>
  <c r="AQ152" i="1"/>
  <c r="AQ151" i="1"/>
  <c r="AQ150" i="1"/>
  <c r="AQ149" i="1"/>
  <c r="AQ148" i="1"/>
  <c r="AQ147" i="1"/>
  <c r="AQ146" i="1"/>
  <c r="AQ145" i="1"/>
  <c r="AQ144" i="1"/>
  <c r="AQ143" i="1"/>
  <c r="AQ142" i="1"/>
  <c r="AQ141" i="1"/>
  <c r="AQ140" i="1"/>
  <c r="AQ139" i="1"/>
  <c r="AQ138" i="1"/>
  <c r="AQ137" i="1"/>
  <c r="AQ136" i="1"/>
  <c r="AQ135" i="1"/>
  <c r="AQ134" i="1"/>
  <c r="AQ133" i="1"/>
  <c r="AQ132" i="1"/>
  <c r="AQ131" i="1"/>
  <c r="AQ130" i="1"/>
  <c r="AQ129" i="1"/>
  <c r="AQ128" i="1"/>
  <c r="AQ127" i="1"/>
  <c r="AQ126" i="1"/>
  <c r="AQ125" i="1"/>
  <c r="AQ124" i="1"/>
  <c r="AQ123" i="1"/>
  <c r="AP123" i="1"/>
  <c r="AQ122" i="1"/>
  <c r="AP122" i="1"/>
  <c r="AQ121" i="1"/>
  <c r="AP121" i="1"/>
  <c r="AQ120" i="1"/>
  <c r="AP120" i="1"/>
  <c r="AQ119" i="1"/>
  <c r="AP119" i="1"/>
  <c r="AQ118" i="1"/>
  <c r="AP118" i="1"/>
  <c r="AQ117" i="1"/>
  <c r="AP117" i="1"/>
  <c r="AQ116" i="1"/>
  <c r="AP116" i="1"/>
  <c r="AQ115" i="1"/>
  <c r="AP115" i="1"/>
  <c r="AQ114" i="1"/>
  <c r="AP114" i="1"/>
  <c r="AQ113" i="1"/>
  <c r="AP113" i="1"/>
  <c r="AQ112" i="1"/>
  <c r="AP112" i="1"/>
  <c r="AQ111" i="1"/>
  <c r="AP111" i="1"/>
  <c r="AQ110" i="1"/>
  <c r="AP110" i="1"/>
  <c r="AQ109" i="1"/>
  <c r="AP109" i="1"/>
  <c r="AQ108" i="1"/>
  <c r="AP108" i="1"/>
  <c r="AQ107" i="1"/>
  <c r="AP107" i="1"/>
  <c r="AQ106" i="1"/>
  <c r="AP106" i="1"/>
  <c r="AQ105" i="1"/>
  <c r="AP105" i="1"/>
  <c r="AQ104" i="1"/>
  <c r="AP104" i="1"/>
  <c r="AQ103" i="1"/>
  <c r="AP103" i="1"/>
  <c r="AQ102" i="1"/>
  <c r="AP102" i="1"/>
  <c r="AQ101" i="1"/>
  <c r="AP101" i="1"/>
  <c r="AQ100" i="1"/>
  <c r="AP100" i="1"/>
  <c r="AQ99" i="1"/>
  <c r="AP99" i="1"/>
  <c r="AQ98" i="1"/>
  <c r="AP98" i="1"/>
  <c r="AQ97" i="1"/>
  <c r="AP97" i="1"/>
  <c r="AQ96" i="1"/>
  <c r="AP96" i="1"/>
  <c r="AQ95" i="1"/>
  <c r="AP95" i="1"/>
  <c r="AQ94" i="1"/>
  <c r="AP94" i="1"/>
  <c r="AQ93" i="1"/>
  <c r="AP93" i="1"/>
  <c r="AQ92" i="1"/>
  <c r="AP92" i="1"/>
  <c r="AQ91" i="1"/>
  <c r="AP91" i="1"/>
  <c r="AQ90" i="1"/>
  <c r="AP90" i="1"/>
  <c r="AQ89" i="1"/>
  <c r="AP89" i="1"/>
  <c r="AQ88" i="1"/>
  <c r="AP88" i="1"/>
  <c r="AQ87" i="1"/>
  <c r="AP87" i="1"/>
  <c r="AQ86" i="1"/>
  <c r="AP86" i="1"/>
  <c r="AQ85" i="1"/>
  <c r="AP85" i="1"/>
  <c r="AQ84" i="1"/>
  <c r="AP84" i="1"/>
  <c r="AQ83" i="1"/>
  <c r="AP83" i="1"/>
  <c r="AQ82" i="1"/>
  <c r="AP82" i="1"/>
  <c r="AS81" i="1"/>
  <c r="AR81" i="1"/>
  <c r="AQ81" i="1"/>
  <c r="AP81" i="1"/>
  <c r="AS80" i="1"/>
  <c r="AR80" i="1"/>
  <c r="AQ80" i="1"/>
  <c r="AP80" i="1"/>
  <c r="AS79" i="1"/>
  <c r="AR79" i="1"/>
  <c r="AQ79" i="1"/>
  <c r="AP79" i="1"/>
  <c r="AS78" i="1"/>
  <c r="AR78" i="1"/>
  <c r="AQ78" i="1"/>
  <c r="AP78" i="1"/>
  <c r="AS77" i="1"/>
  <c r="AR77" i="1"/>
  <c r="AQ77" i="1"/>
  <c r="AP77" i="1"/>
  <c r="AS76" i="1"/>
  <c r="AR76" i="1"/>
  <c r="AQ76" i="1"/>
  <c r="AP76" i="1"/>
  <c r="AS75" i="1"/>
  <c r="AR75" i="1"/>
  <c r="AQ75" i="1"/>
  <c r="AP75" i="1"/>
  <c r="AS74" i="1"/>
  <c r="AR74" i="1"/>
  <c r="AQ74" i="1"/>
  <c r="AP74" i="1"/>
  <c r="AS73" i="1"/>
  <c r="AR73" i="1"/>
  <c r="AQ73" i="1"/>
  <c r="AP73" i="1"/>
  <c r="AS72" i="1"/>
  <c r="AR72" i="1"/>
  <c r="AQ72" i="1"/>
  <c r="AP72" i="1"/>
  <c r="AS71" i="1"/>
  <c r="AR71" i="1"/>
  <c r="AQ71" i="1"/>
  <c r="AP71" i="1"/>
  <c r="AS70" i="1"/>
  <c r="AR70" i="1"/>
  <c r="AQ70" i="1"/>
  <c r="AP70" i="1"/>
  <c r="AS69" i="1"/>
  <c r="AR69" i="1"/>
  <c r="AQ69" i="1"/>
  <c r="AP69" i="1"/>
  <c r="AS68" i="1"/>
  <c r="AR68" i="1"/>
  <c r="AQ68" i="1"/>
  <c r="AP68" i="1"/>
  <c r="AS67" i="1"/>
  <c r="AR67" i="1"/>
  <c r="AQ67" i="1"/>
  <c r="AP67" i="1"/>
  <c r="AS66" i="1"/>
  <c r="AR66" i="1"/>
  <c r="AQ66" i="1"/>
  <c r="AP66" i="1"/>
  <c r="AS65" i="1"/>
  <c r="AR65" i="1"/>
  <c r="AQ65" i="1"/>
  <c r="AP65" i="1"/>
  <c r="AS64" i="1"/>
  <c r="AR64" i="1"/>
  <c r="AQ64" i="1"/>
  <c r="AP64" i="1"/>
  <c r="AS63" i="1"/>
  <c r="AR63" i="1"/>
  <c r="AQ63" i="1"/>
  <c r="AP63" i="1"/>
  <c r="AS62" i="1"/>
  <c r="AR62" i="1"/>
  <c r="AQ62" i="1"/>
  <c r="AP62" i="1"/>
  <c r="AS61" i="1"/>
  <c r="AR61" i="1"/>
  <c r="AQ61" i="1"/>
  <c r="AP61" i="1"/>
  <c r="AS60" i="1"/>
  <c r="AR60" i="1"/>
  <c r="AQ60" i="1"/>
  <c r="AP60" i="1"/>
  <c r="AS59" i="1"/>
  <c r="AR59" i="1"/>
  <c r="AQ59" i="1"/>
  <c r="AP59" i="1"/>
  <c r="AS58" i="1"/>
  <c r="AR58" i="1"/>
  <c r="AQ58" i="1"/>
  <c r="AP58" i="1"/>
  <c r="AS57" i="1"/>
  <c r="AR57" i="1"/>
  <c r="AQ57" i="1"/>
  <c r="AP57" i="1"/>
  <c r="AS56" i="1"/>
  <c r="AR56" i="1"/>
  <c r="AQ56" i="1"/>
  <c r="AP56" i="1"/>
  <c r="AS55" i="1"/>
  <c r="AR55" i="1"/>
  <c r="AQ55" i="1"/>
  <c r="AP55" i="1"/>
  <c r="AS54" i="1"/>
  <c r="AR54" i="1"/>
  <c r="AQ54" i="1"/>
  <c r="AP54" i="1"/>
  <c r="AS53" i="1"/>
  <c r="AR53" i="1"/>
  <c r="AQ53" i="1"/>
  <c r="AP53" i="1"/>
  <c r="AS52" i="1"/>
  <c r="AR52" i="1"/>
  <c r="AQ52" i="1"/>
  <c r="AP52" i="1"/>
  <c r="AS51" i="1"/>
  <c r="AR51" i="1"/>
  <c r="AQ51" i="1"/>
  <c r="AP51" i="1"/>
  <c r="AS50" i="1"/>
  <c r="AR50" i="1"/>
  <c r="AQ50" i="1"/>
  <c r="AP50" i="1"/>
  <c r="AS49" i="1"/>
  <c r="AR49" i="1"/>
  <c r="AQ49" i="1"/>
  <c r="AP49" i="1"/>
  <c r="AS48" i="1"/>
  <c r="AR48" i="1"/>
  <c r="AQ48" i="1"/>
  <c r="AP48" i="1"/>
  <c r="AS47" i="1"/>
  <c r="AR47" i="1"/>
  <c r="AQ47" i="1"/>
  <c r="AP47" i="1"/>
  <c r="AS46" i="1"/>
  <c r="AR46" i="1"/>
  <c r="AQ46" i="1"/>
  <c r="AP46" i="1"/>
  <c r="AS45" i="1"/>
  <c r="AR45" i="1"/>
  <c r="AQ45" i="1"/>
  <c r="AP45" i="1"/>
  <c r="AS44" i="1"/>
  <c r="AR44" i="1"/>
  <c r="AQ44" i="1"/>
  <c r="AP44" i="1"/>
  <c r="AS43" i="1"/>
  <c r="AR43" i="1"/>
  <c r="AQ43" i="1"/>
  <c r="AP43" i="1"/>
  <c r="AS42" i="1"/>
  <c r="AR42" i="1"/>
  <c r="AQ42" i="1"/>
  <c r="AP42" i="1"/>
  <c r="AS41" i="1"/>
  <c r="AR41" i="1"/>
  <c r="AQ41" i="1"/>
  <c r="AP41" i="1"/>
  <c r="AS40" i="1"/>
  <c r="AR40" i="1"/>
  <c r="AQ40" i="1"/>
  <c r="AP40" i="1"/>
  <c r="AS39" i="1"/>
  <c r="AR39" i="1"/>
  <c r="AQ39" i="1"/>
  <c r="AP39" i="1"/>
  <c r="AS38" i="1"/>
  <c r="AR38" i="1"/>
  <c r="AQ38" i="1"/>
  <c r="AP38" i="1"/>
  <c r="AS37" i="1"/>
  <c r="AR37" i="1"/>
  <c r="AQ37" i="1"/>
  <c r="AP37" i="1"/>
  <c r="AS36" i="1"/>
  <c r="AR36" i="1"/>
  <c r="AQ36" i="1"/>
  <c r="AP36" i="1"/>
  <c r="AS35" i="1"/>
  <c r="AR35" i="1"/>
  <c r="AQ35" i="1"/>
  <c r="AP35" i="1"/>
  <c r="AS34" i="1"/>
  <c r="AR34" i="1"/>
  <c r="AQ34" i="1"/>
  <c r="AP34" i="1"/>
  <c r="AS33" i="1"/>
  <c r="AR33" i="1"/>
  <c r="AQ33" i="1"/>
  <c r="AP33" i="1"/>
  <c r="AS32" i="1"/>
  <c r="AR32" i="1"/>
  <c r="AQ32" i="1"/>
  <c r="AP32" i="1"/>
  <c r="AS31" i="1"/>
  <c r="AR31" i="1"/>
  <c r="AQ31" i="1"/>
  <c r="AP31" i="1"/>
  <c r="AS30" i="1"/>
  <c r="AR30" i="1"/>
  <c r="AQ30" i="1"/>
  <c r="AP30" i="1"/>
  <c r="AS29" i="1"/>
  <c r="AR29" i="1"/>
  <c r="AQ29" i="1"/>
  <c r="AP29" i="1"/>
  <c r="AS28" i="1"/>
  <c r="AR28" i="1"/>
  <c r="AQ28" i="1"/>
  <c r="AP28" i="1"/>
  <c r="AS27" i="1"/>
  <c r="AR27" i="1"/>
  <c r="AQ27" i="1"/>
  <c r="AP27" i="1"/>
  <c r="AS26" i="1"/>
  <c r="AR26" i="1"/>
  <c r="AQ26" i="1"/>
  <c r="AP26" i="1"/>
  <c r="AS25" i="1"/>
  <c r="AR25" i="1"/>
  <c r="AQ25" i="1"/>
  <c r="AP25" i="1"/>
  <c r="AS24" i="1"/>
  <c r="AR24" i="1"/>
  <c r="AQ24" i="1"/>
  <c r="AP24" i="1"/>
  <c r="AS23" i="1"/>
  <c r="AR23" i="1"/>
  <c r="AQ23" i="1"/>
  <c r="AP23" i="1"/>
  <c r="AS22" i="1"/>
  <c r="AR22" i="1"/>
  <c r="AQ22" i="1"/>
  <c r="AP22" i="1"/>
  <c r="AS21" i="1"/>
  <c r="AR21" i="1"/>
  <c r="AQ21" i="1"/>
  <c r="AP21" i="1"/>
  <c r="AS20" i="1"/>
  <c r="AR20" i="1"/>
  <c r="AQ20" i="1"/>
  <c r="AP20" i="1"/>
  <c r="AS19" i="1"/>
  <c r="AR19" i="1"/>
  <c r="AQ19" i="1"/>
  <c r="AP19" i="1"/>
  <c r="AS18" i="1"/>
  <c r="AR18" i="1"/>
  <c r="AQ18" i="1"/>
  <c r="AP18" i="1"/>
  <c r="AS17" i="1"/>
  <c r="AR17" i="1"/>
  <c r="AQ17" i="1"/>
  <c r="AP17" i="1"/>
  <c r="AS16" i="1"/>
  <c r="AR16" i="1"/>
  <c r="AQ16" i="1"/>
  <c r="AP16" i="1"/>
  <c r="AS15" i="1"/>
  <c r="AR15" i="1"/>
  <c r="AQ15" i="1"/>
  <c r="AP15" i="1"/>
  <c r="AS14" i="1"/>
  <c r="AR14" i="1"/>
  <c r="AQ14" i="1"/>
  <c r="AP14" i="1"/>
  <c r="AS13" i="1"/>
  <c r="AR13" i="1"/>
  <c r="AQ13" i="1"/>
  <c r="AP13" i="1"/>
  <c r="AS12" i="1"/>
  <c r="AR12" i="1"/>
  <c r="AQ12" i="1"/>
  <c r="AP12" i="1"/>
  <c r="AS11" i="1"/>
  <c r="AR11" i="1"/>
  <c r="AQ11" i="1"/>
  <c r="AP11" i="1"/>
  <c r="AS10" i="1"/>
  <c r="AR10" i="1"/>
  <c r="AQ10" i="1"/>
  <c r="AP10" i="1"/>
  <c r="AS9" i="1"/>
  <c r="AR9" i="1"/>
  <c r="AQ9" i="1"/>
  <c r="AP9" i="1"/>
  <c r="AS8" i="1"/>
  <c r="AR8" i="1"/>
  <c r="AQ8" i="1"/>
  <c r="AP8" i="1"/>
  <c r="AS7" i="1"/>
  <c r="AR7" i="1"/>
  <c r="AQ7" i="1"/>
  <c r="AP7" i="1"/>
  <c r="AS6" i="1"/>
  <c r="AR6" i="1"/>
  <c r="AQ6" i="1"/>
  <c r="AP6" i="1"/>
  <c r="AS5" i="1"/>
  <c r="AR5" i="1"/>
  <c r="AQ5" i="1"/>
  <c r="AP5" i="1"/>
  <c r="AS4" i="1"/>
  <c r="AR4" i="1"/>
  <c r="AP4" i="1"/>
  <c r="AQ4" i="1"/>
  <c r="AQ2" i="1" l="1"/>
  <c r="AP371" i="1"/>
  <c r="AP373" i="1"/>
  <c r="I32" i="9"/>
  <c r="C216" i="2"/>
  <c r="F3" i="12" l="1"/>
  <c r="G3" i="12"/>
  <c r="AQ3" i="12" s="1"/>
  <c r="H3" i="12"/>
  <c r="AR3" i="12" s="1"/>
  <c r="I3" i="12"/>
  <c r="AJ3" i="12"/>
  <c r="AK3" i="12"/>
  <c r="AL3" i="12"/>
  <c r="AM3" i="12"/>
  <c r="AO3" i="12"/>
  <c r="AP3" i="12"/>
  <c r="AS3" i="12"/>
  <c r="AT3" i="12"/>
  <c r="AU3" i="12"/>
  <c r="AV3" i="12"/>
  <c r="AW3" i="12"/>
  <c r="AX3" i="12"/>
  <c r="AY3" i="12"/>
  <c r="AZ3" i="12"/>
  <c r="BA3" i="12"/>
  <c r="BB3" i="12"/>
  <c r="BC3" i="12"/>
  <c r="BD3" i="12"/>
  <c r="BE3" i="12"/>
  <c r="F4" i="12"/>
  <c r="G4" i="12"/>
  <c r="H4" i="12"/>
  <c r="AR4" i="12" s="1"/>
  <c r="I4" i="12"/>
  <c r="AJ4" i="12"/>
  <c r="AK4" i="12"/>
  <c r="AZ4" i="12" s="1"/>
  <c r="AL4" i="12"/>
  <c r="AM4" i="12"/>
  <c r="AO4" i="12"/>
  <c r="AP4" i="12"/>
  <c r="AQ4" i="12"/>
  <c r="AS4" i="12"/>
  <c r="AT4" i="12"/>
  <c r="AU4" i="12"/>
  <c r="AV4" i="12"/>
  <c r="AW4" i="12"/>
  <c r="AX4" i="12"/>
  <c r="AY4" i="12"/>
  <c r="BA4" i="12"/>
  <c r="BB4" i="12"/>
  <c r="BC4" i="12"/>
  <c r="BD4" i="12"/>
  <c r="BE4" i="12"/>
  <c r="F5" i="12"/>
  <c r="G5" i="12"/>
  <c r="AQ5" i="12" s="1"/>
  <c r="H5" i="12"/>
  <c r="AR5" i="12" s="1"/>
  <c r="I5" i="12"/>
  <c r="AJ5" i="12"/>
  <c r="AK5" i="12"/>
  <c r="AL5" i="12"/>
  <c r="AM5" i="12"/>
  <c r="AO5" i="12"/>
  <c r="AP5" i="12"/>
  <c r="AS5" i="12"/>
  <c r="AT5" i="12"/>
  <c r="AU5" i="12"/>
  <c r="AV5" i="12"/>
  <c r="AW5" i="12"/>
  <c r="AX5" i="12"/>
  <c r="AY5" i="12"/>
  <c r="AZ5" i="12"/>
  <c r="BA5" i="12"/>
  <c r="BB5" i="12"/>
  <c r="BC5" i="12"/>
  <c r="BD5" i="12"/>
  <c r="BE5" i="12"/>
  <c r="F6" i="12"/>
  <c r="G6" i="12"/>
  <c r="H6" i="12"/>
  <c r="AR6" i="12" s="1"/>
  <c r="I6" i="12"/>
  <c r="AJ6" i="12"/>
  <c r="AZ6" i="12" s="1"/>
  <c r="AK6" i="12"/>
  <c r="AL6" i="12"/>
  <c r="AM6" i="12"/>
  <c r="AO6" i="12"/>
  <c r="AP6" i="12"/>
  <c r="AQ6" i="12"/>
  <c r="AS6" i="12"/>
  <c r="AT6" i="12"/>
  <c r="AU6" i="12"/>
  <c r="AV6" i="12"/>
  <c r="AW6" i="12"/>
  <c r="AX6" i="12"/>
  <c r="AY6" i="12"/>
  <c r="BA6" i="12"/>
  <c r="BB6" i="12"/>
  <c r="BC6" i="12"/>
  <c r="BD6" i="12"/>
  <c r="BE6" i="12"/>
  <c r="F7" i="12"/>
  <c r="G7" i="12"/>
  <c r="AQ7" i="12" s="1"/>
  <c r="H7" i="12"/>
  <c r="I7" i="12"/>
  <c r="AJ7" i="12"/>
  <c r="AK7" i="12"/>
  <c r="AZ7" i="12" s="1"/>
  <c r="AL7" i="12"/>
  <c r="AM7" i="12"/>
  <c r="BC7" i="12" s="1"/>
  <c r="AO7" i="12"/>
  <c r="AP7" i="12"/>
  <c r="AR7" i="12"/>
  <c r="AS7" i="12"/>
  <c r="AT7" i="12"/>
  <c r="AU7" i="12"/>
  <c r="AV7" i="12"/>
  <c r="AW7" i="12"/>
  <c r="AX7" i="12"/>
  <c r="AY7" i="12"/>
  <c r="BA7" i="12"/>
  <c r="BB7" i="12"/>
  <c r="BD7" i="12"/>
  <c r="BE7" i="12"/>
  <c r="F8" i="12"/>
  <c r="AQ8" i="12" s="1"/>
  <c r="G8" i="12"/>
  <c r="H8" i="12"/>
  <c r="AR8" i="12" s="1"/>
  <c r="I8" i="12"/>
  <c r="AJ8" i="12"/>
  <c r="AK8" i="12"/>
  <c r="AZ8" i="12" s="1"/>
  <c r="AL8" i="12"/>
  <c r="AM8" i="12"/>
  <c r="AO8" i="12"/>
  <c r="AP8" i="12"/>
  <c r="AS8" i="12"/>
  <c r="AT8" i="12"/>
  <c r="AU8" i="12"/>
  <c r="AV8" i="12"/>
  <c r="AW8" i="12"/>
  <c r="AX8" i="12"/>
  <c r="AY8" i="12"/>
  <c r="BA8" i="12"/>
  <c r="BB8" i="12"/>
  <c r="BC8" i="12"/>
  <c r="BD8" i="12"/>
  <c r="BE8" i="12"/>
  <c r="F9" i="12"/>
  <c r="G9" i="12"/>
  <c r="AQ9" i="12" s="1"/>
  <c r="H9" i="12"/>
  <c r="I9" i="12"/>
  <c r="AJ9" i="12"/>
  <c r="AK9" i="12"/>
  <c r="AL9" i="12"/>
  <c r="AM9" i="12"/>
  <c r="BC9" i="12" s="1"/>
  <c r="AO9" i="12"/>
  <c r="AP9" i="12"/>
  <c r="AR9" i="12"/>
  <c r="AS9" i="12"/>
  <c r="AT9" i="12"/>
  <c r="AU9" i="12"/>
  <c r="AV9" i="12"/>
  <c r="AW9" i="12"/>
  <c r="AX9" i="12"/>
  <c r="AY9" i="12"/>
  <c r="AZ9" i="12"/>
  <c r="BA9" i="12"/>
  <c r="BB9" i="12"/>
  <c r="BD9" i="12"/>
  <c r="BE9" i="12"/>
  <c r="F10" i="12"/>
  <c r="G10" i="12"/>
  <c r="AQ10" i="12" s="1"/>
  <c r="H10" i="12"/>
  <c r="AR10" i="12" s="1"/>
  <c r="I10" i="12"/>
  <c r="AJ10" i="12"/>
  <c r="AK10" i="12"/>
  <c r="AZ10" i="12" s="1"/>
  <c r="AL10" i="12"/>
  <c r="AM10" i="12"/>
  <c r="AO10" i="12"/>
  <c r="AP10" i="12"/>
  <c r="AS10" i="12"/>
  <c r="AT10" i="12"/>
  <c r="AU10" i="12"/>
  <c r="AV10" i="12"/>
  <c r="AW10" i="12"/>
  <c r="AX10" i="12"/>
  <c r="AY10" i="12"/>
  <c r="BA10" i="12"/>
  <c r="BB10" i="12"/>
  <c r="BC10" i="12"/>
  <c r="BD10" i="12"/>
  <c r="BE10" i="12"/>
  <c r="F11" i="12"/>
  <c r="G11" i="12"/>
  <c r="AQ11" i="12" s="1"/>
  <c r="H11" i="12"/>
  <c r="I11" i="12"/>
  <c r="AJ11" i="12"/>
  <c r="AK11" i="12"/>
  <c r="AZ11" i="12" s="1"/>
  <c r="AL11" i="12"/>
  <c r="AM11" i="12"/>
  <c r="BC11" i="12" s="1"/>
  <c r="AO11" i="12"/>
  <c r="AP11" i="12"/>
  <c r="AR11" i="12"/>
  <c r="AS11" i="12"/>
  <c r="AT11" i="12"/>
  <c r="AU11" i="12"/>
  <c r="AV11" i="12"/>
  <c r="AW11" i="12"/>
  <c r="AX11" i="12"/>
  <c r="AY11" i="12"/>
  <c r="BA11" i="12"/>
  <c r="BB11" i="12"/>
  <c r="BD11" i="12"/>
  <c r="BE11" i="12"/>
  <c r="F12" i="12"/>
  <c r="AQ12" i="12" s="1"/>
  <c r="G12" i="12"/>
  <c r="H12" i="12"/>
  <c r="I12" i="12"/>
  <c r="AJ12" i="12"/>
  <c r="AK12" i="12"/>
  <c r="AL12" i="12"/>
  <c r="AM12" i="12"/>
  <c r="BC12" i="12" s="1"/>
  <c r="AO12" i="12"/>
  <c r="AP12" i="12"/>
  <c r="AR12" i="12"/>
  <c r="AS12" i="12"/>
  <c r="AT12" i="12"/>
  <c r="AU12" i="12"/>
  <c r="AV12" i="12"/>
  <c r="AW12" i="12"/>
  <c r="AX12" i="12"/>
  <c r="AY12" i="12"/>
  <c r="AZ12" i="12"/>
  <c r="BA12" i="12"/>
  <c r="BB12" i="12"/>
  <c r="BD12" i="12"/>
  <c r="BE12" i="12"/>
  <c r="F13" i="12"/>
  <c r="G13" i="12"/>
  <c r="H13" i="12"/>
  <c r="AR13" i="12" s="1"/>
  <c r="I13" i="12"/>
  <c r="AJ13" i="12"/>
  <c r="AK13" i="12"/>
  <c r="AL13" i="12"/>
  <c r="AM13" i="12"/>
  <c r="AO13" i="12"/>
  <c r="AP13" i="12"/>
  <c r="AQ13" i="12"/>
  <c r="AS13" i="12"/>
  <c r="AT13" i="12"/>
  <c r="AU13" i="12"/>
  <c r="AV13" i="12"/>
  <c r="AW13" i="12"/>
  <c r="AX13" i="12"/>
  <c r="AY13" i="12"/>
  <c r="AZ13" i="12"/>
  <c r="BA13" i="12"/>
  <c r="BB13" i="12"/>
  <c r="BC13" i="12"/>
  <c r="BD13" i="12"/>
  <c r="BE13" i="12"/>
  <c r="F14" i="12"/>
  <c r="G14" i="12"/>
  <c r="AQ14" i="12" s="1"/>
  <c r="H14" i="12"/>
  <c r="AR14" i="12" s="1"/>
  <c r="I14" i="12"/>
  <c r="AJ14" i="12"/>
  <c r="AK14" i="12"/>
  <c r="AZ14" i="12" s="1"/>
  <c r="AL14" i="12"/>
  <c r="AM14" i="12"/>
  <c r="AO14" i="12"/>
  <c r="AP14" i="12"/>
  <c r="AS14" i="12"/>
  <c r="AT14" i="12"/>
  <c r="AU14" i="12"/>
  <c r="AV14" i="12"/>
  <c r="AW14" i="12"/>
  <c r="AX14" i="12"/>
  <c r="AY14" i="12"/>
  <c r="BA14" i="12"/>
  <c r="BB14" i="12"/>
  <c r="BC14" i="12"/>
  <c r="BD14" i="12"/>
  <c r="BE14" i="12"/>
  <c r="F15" i="12"/>
  <c r="G15" i="12"/>
  <c r="AQ15" i="12" s="1"/>
  <c r="H15" i="12"/>
  <c r="I15" i="12"/>
  <c r="AJ15" i="12"/>
  <c r="AK15" i="12"/>
  <c r="AZ15" i="12" s="1"/>
  <c r="AL15" i="12"/>
  <c r="AM15" i="12"/>
  <c r="BC15" i="12" s="1"/>
  <c r="AO15" i="12"/>
  <c r="AP15" i="12"/>
  <c r="AR15" i="12"/>
  <c r="AS15" i="12"/>
  <c r="AT15" i="12"/>
  <c r="AU15" i="12"/>
  <c r="AV15" i="12"/>
  <c r="AW15" i="12"/>
  <c r="AX15" i="12"/>
  <c r="AY15" i="12"/>
  <c r="BA15" i="12"/>
  <c r="BB15" i="12"/>
  <c r="BD15" i="12"/>
  <c r="BE15" i="12"/>
  <c r="F16" i="12"/>
  <c r="AQ16" i="12" s="1"/>
  <c r="G16" i="12"/>
  <c r="H16" i="12"/>
  <c r="I16" i="12"/>
  <c r="AJ16" i="12"/>
  <c r="AK16" i="12"/>
  <c r="AL16" i="12"/>
  <c r="AM16" i="12"/>
  <c r="BC16" i="12" s="1"/>
  <c r="AO16" i="12"/>
  <c r="AP16" i="12"/>
  <c r="AR16" i="12"/>
  <c r="AS16" i="12"/>
  <c r="AT16" i="12"/>
  <c r="AU16" i="12"/>
  <c r="AV16" i="12"/>
  <c r="AW16" i="12"/>
  <c r="AX16" i="12"/>
  <c r="AY16" i="12"/>
  <c r="AZ16" i="12"/>
  <c r="BA16" i="12"/>
  <c r="BB16" i="12"/>
  <c r="BD16" i="12"/>
  <c r="BE16" i="12"/>
  <c r="F17" i="12"/>
  <c r="G17" i="12"/>
  <c r="H17" i="12"/>
  <c r="AR17" i="12" s="1"/>
  <c r="I17" i="12"/>
  <c r="AJ17" i="12"/>
  <c r="AK17" i="12"/>
  <c r="AL17" i="12"/>
  <c r="AM17" i="12"/>
  <c r="AO17" i="12"/>
  <c r="AP17" i="12"/>
  <c r="AQ17" i="12"/>
  <c r="AS17" i="12"/>
  <c r="AT17" i="12"/>
  <c r="AU17" i="12"/>
  <c r="AV17" i="12"/>
  <c r="AW17" i="12"/>
  <c r="AX17" i="12"/>
  <c r="AY17" i="12"/>
  <c r="AZ17" i="12"/>
  <c r="BA17" i="12"/>
  <c r="BB17" i="12"/>
  <c r="BC17" i="12"/>
  <c r="BD17" i="12"/>
  <c r="BE17" i="12"/>
  <c r="F18" i="12"/>
  <c r="G18" i="12"/>
  <c r="AQ18" i="12" s="1"/>
  <c r="H18" i="12"/>
  <c r="AR18" i="12" s="1"/>
  <c r="I18" i="12"/>
  <c r="AJ18" i="12"/>
  <c r="AK18" i="12"/>
  <c r="AZ18" i="12" s="1"/>
  <c r="AL18" i="12"/>
  <c r="AM18" i="12"/>
  <c r="AO18" i="12"/>
  <c r="AP18" i="12"/>
  <c r="AS18" i="12"/>
  <c r="AT18" i="12"/>
  <c r="AU18" i="12"/>
  <c r="AV18" i="12"/>
  <c r="AW18" i="12"/>
  <c r="AX18" i="12"/>
  <c r="AY18" i="12"/>
  <c r="BA18" i="12"/>
  <c r="BB18" i="12"/>
  <c r="BC18" i="12"/>
  <c r="BD18" i="12"/>
  <c r="BE18" i="12"/>
  <c r="F19" i="12"/>
  <c r="G19" i="12"/>
  <c r="AQ19" i="12" s="1"/>
  <c r="H19" i="12"/>
  <c r="AR19" i="12" s="1"/>
  <c r="I19" i="12"/>
  <c r="AJ19" i="12"/>
  <c r="AK19" i="12"/>
  <c r="AZ19" i="12" s="1"/>
  <c r="AL19" i="12"/>
  <c r="AM19" i="12"/>
  <c r="AO19" i="12"/>
  <c r="AP19" i="12"/>
  <c r="AS19" i="12"/>
  <c r="AT19" i="12"/>
  <c r="AU19" i="12"/>
  <c r="AV19" i="12"/>
  <c r="AW19" i="12"/>
  <c r="AX19" i="12"/>
  <c r="AY19" i="12"/>
  <c r="BA19" i="12"/>
  <c r="BB19" i="12"/>
  <c r="BC19" i="12"/>
  <c r="BD19" i="12"/>
  <c r="BE19" i="12"/>
  <c r="F20" i="12"/>
  <c r="G20" i="12"/>
  <c r="AQ20" i="12" s="1"/>
  <c r="H20" i="12"/>
  <c r="I20" i="12"/>
  <c r="AJ20" i="12"/>
  <c r="AK20" i="12"/>
  <c r="AL20" i="12"/>
  <c r="AM20" i="12"/>
  <c r="BC20" i="12" s="1"/>
  <c r="AO20" i="12"/>
  <c r="AP20" i="12"/>
  <c r="AR20" i="12"/>
  <c r="AS20" i="12"/>
  <c r="AT20" i="12"/>
  <c r="AU20" i="12"/>
  <c r="AV20" i="12"/>
  <c r="AW20" i="12"/>
  <c r="AX20" i="12"/>
  <c r="AY20" i="12"/>
  <c r="AZ20" i="12"/>
  <c r="BA20" i="12"/>
  <c r="BB20" i="12"/>
  <c r="BD20" i="12"/>
  <c r="BE20" i="12"/>
  <c r="F21" i="12"/>
  <c r="G21" i="12"/>
  <c r="H21" i="12"/>
  <c r="AR21" i="12" s="1"/>
  <c r="I21" i="12"/>
  <c r="AJ21" i="12"/>
  <c r="AK21" i="12"/>
  <c r="AL21" i="12"/>
  <c r="AM21" i="12"/>
  <c r="AO21" i="12"/>
  <c r="AP21" i="12"/>
  <c r="AQ21" i="12"/>
  <c r="AS21" i="12"/>
  <c r="AT21" i="12"/>
  <c r="AU21" i="12"/>
  <c r="AV21" i="12"/>
  <c r="AW21" i="12"/>
  <c r="AX21" i="12"/>
  <c r="AY21" i="12"/>
  <c r="AZ21" i="12"/>
  <c r="BA21" i="12"/>
  <c r="BB21" i="12"/>
  <c r="BC21" i="12"/>
  <c r="BD21" i="12"/>
  <c r="BE21" i="12"/>
  <c r="F22" i="12"/>
  <c r="G22" i="12"/>
  <c r="AQ22" i="12" s="1"/>
  <c r="H22" i="12"/>
  <c r="I22" i="12"/>
  <c r="AJ22" i="12"/>
  <c r="AK22" i="12"/>
  <c r="AZ22" i="12" s="1"/>
  <c r="AL22" i="12"/>
  <c r="AM22" i="12"/>
  <c r="AO22" i="12"/>
  <c r="AP22" i="12"/>
  <c r="AR22" i="12"/>
  <c r="AS22" i="12"/>
  <c r="AT22" i="12"/>
  <c r="AU22" i="12"/>
  <c r="AV22" i="12"/>
  <c r="AW22" i="12"/>
  <c r="AX22" i="12"/>
  <c r="AY22" i="12"/>
  <c r="BA22" i="12"/>
  <c r="BB22" i="12"/>
  <c r="BC22" i="12"/>
  <c r="BD22" i="12"/>
  <c r="BE22" i="12"/>
  <c r="F23" i="12"/>
  <c r="AQ23" i="12" s="1"/>
  <c r="G23" i="12"/>
  <c r="H23" i="12"/>
  <c r="AR23" i="12" s="1"/>
  <c r="I23" i="12"/>
  <c r="AJ23" i="12"/>
  <c r="AK23" i="12"/>
  <c r="AZ23" i="12" s="1"/>
  <c r="AL23" i="12"/>
  <c r="AM23" i="12"/>
  <c r="AO23" i="12"/>
  <c r="AP23" i="12"/>
  <c r="AS23" i="12"/>
  <c r="AT23" i="12"/>
  <c r="AU23" i="12"/>
  <c r="AV23" i="12"/>
  <c r="AW23" i="12"/>
  <c r="AX23" i="12"/>
  <c r="AY23" i="12"/>
  <c r="BA23" i="12"/>
  <c r="BB23" i="12"/>
  <c r="BC23" i="12"/>
  <c r="BD23" i="12"/>
  <c r="BE23" i="12"/>
  <c r="F24" i="12"/>
  <c r="G24" i="12"/>
  <c r="AQ24" i="12" s="1"/>
  <c r="H24" i="12"/>
  <c r="I24" i="12"/>
  <c r="AJ24" i="12"/>
  <c r="AK24" i="12"/>
  <c r="AL24" i="12"/>
  <c r="AM24" i="12"/>
  <c r="BC24" i="12" s="1"/>
  <c r="AO24" i="12"/>
  <c r="AP24" i="12"/>
  <c r="AR24" i="12"/>
  <c r="AS24" i="12"/>
  <c r="AT24" i="12"/>
  <c r="AU24" i="12"/>
  <c r="AV24" i="12"/>
  <c r="AW24" i="12"/>
  <c r="AX24" i="12"/>
  <c r="AY24" i="12"/>
  <c r="AZ24" i="12"/>
  <c r="BA24" i="12"/>
  <c r="BB24" i="12"/>
  <c r="BD24" i="12"/>
  <c r="BE24" i="12"/>
  <c r="F25" i="12"/>
  <c r="G25" i="12"/>
  <c r="H25" i="12"/>
  <c r="AR25" i="12" s="1"/>
  <c r="I25" i="12"/>
  <c r="AJ25" i="12"/>
  <c r="AZ25" i="12" s="1"/>
  <c r="AK25" i="12"/>
  <c r="AL25" i="12"/>
  <c r="AM25" i="12"/>
  <c r="AO25" i="12"/>
  <c r="AP25" i="12"/>
  <c r="AQ25" i="12"/>
  <c r="AS25" i="12"/>
  <c r="AT25" i="12"/>
  <c r="AU25" i="12"/>
  <c r="AV25" i="12"/>
  <c r="AW25" i="12"/>
  <c r="AX25" i="12"/>
  <c r="AY25" i="12"/>
  <c r="BA25" i="12"/>
  <c r="BB25" i="12"/>
  <c r="BC25" i="12"/>
  <c r="BD25" i="12"/>
  <c r="BE25" i="12"/>
  <c r="F26" i="12"/>
  <c r="G26" i="12"/>
  <c r="AQ26" i="12" s="1"/>
  <c r="H26" i="12"/>
  <c r="I26" i="12"/>
  <c r="AJ26" i="12"/>
  <c r="AK26" i="12"/>
  <c r="AZ26" i="12" s="1"/>
  <c r="AL26" i="12"/>
  <c r="AM26" i="12"/>
  <c r="BC26" i="12" s="1"/>
  <c r="AO26" i="12"/>
  <c r="AP26" i="12"/>
  <c r="AR26" i="12"/>
  <c r="AS26" i="12"/>
  <c r="AT26" i="12"/>
  <c r="AU26" i="12"/>
  <c r="AV26" i="12"/>
  <c r="AW26" i="12"/>
  <c r="AX26" i="12"/>
  <c r="AY26" i="12"/>
  <c r="BA26" i="12"/>
  <c r="BB26" i="12"/>
  <c r="BD26" i="12"/>
  <c r="BE26" i="12"/>
  <c r="F27" i="12"/>
  <c r="AQ27" i="12" s="1"/>
  <c r="G27" i="12"/>
  <c r="H27" i="12"/>
  <c r="AR27" i="12" s="1"/>
  <c r="I27" i="12"/>
  <c r="AJ27" i="12"/>
  <c r="AZ27" i="12" s="1"/>
  <c r="AK27" i="12"/>
  <c r="AL27" i="12"/>
  <c r="AM27" i="12"/>
  <c r="AO27" i="12"/>
  <c r="AP27" i="12"/>
  <c r="AS27" i="12"/>
  <c r="AT27" i="12"/>
  <c r="AU27" i="12"/>
  <c r="AV27" i="12"/>
  <c r="AW27" i="12"/>
  <c r="AX27" i="12"/>
  <c r="AY27" i="12"/>
  <c r="BA27" i="12"/>
  <c r="BB27" i="12"/>
  <c r="BC27" i="12"/>
  <c r="BD27" i="12"/>
  <c r="BE27" i="12"/>
  <c r="F28" i="12"/>
  <c r="G28" i="12"/>
  <c r="AQ28" i="12" s="1"/>
  <c r="H28" i="12"/>
  <c r="I28" i="12"/>
  <c r="AJ28" i="12"/>
  <c r="AK28" i="12"/>
  <c r="AL28" i="12"/>
  <c r="AM28" i="12"/>
  <c r="BC28" i="12" s="1"/>
  <c r="AO28" i="12"/>
  <c r="AP28" i="12"/>
  <c r="AR28" i="12"/>
  <c r="AS28" i="12"/>
  <c r="AT28" i="12"/>
  <c r="AU28" i="12"/>
  <c r="AV28" i="12"/>
  <c r="AW28" i="12"/>
  <c r="AX28" i="12"/>
  <c r="AY28" i="12"/>
  <c r="AZ28" i="12"/>
  <c r="BA28" i="12"/>
  <c r="BB28" i="12"/>
  <c r="BD28" i="12"/>
  <c r="BE28" i="12"/>
  <c r="F29" i="12"/>
  <c r="G29" i="12"/>
  <c r="H29" i="12"/>
  <c r="AR29" i="12" s="1"/>
  <c r="I29" i="12"/>
  <c r="AJ29" i="12"/>
  <c r="AZ29" i="12" s="1"/>
  <c r="AK29" i="12"/>
  <c r="AL29" i="12"/>
  <c r="AM29" i="12"/>
  <c r="AO29" i="12"/>
  <c r="AP29" i="12"/>
  <c r="AQ29" i="12"/>
  <c r="AS29" i="12"/>
  <c r="AT29" i="12"/>
  <c r="AU29" i="12"/>
  <c r="AV29" i="12"/>
  <c r="AW29" i="12"/>
  <c r="AX29" i="12"/>
  <c r="AY29" i="12"/>
  <c r="BA29" i="12"/>
  <c r="BB29" i="12"/>
  <c r="BC29" i="12"/>
  <c r="BD29" i="12"/>
  <c r="BE29" i="12"/>
  <c r="F30" i="12"/>
  <c r="G30" i="12"/>
  <c r="AQ30" i="12" s="1"/>
  <c r="H30" i="12"/>
  <c r="I30" i="12"/>
  <c r="AJ30" i="12"/>
  <c r="AK30" i="12"/>
  <c r="AZ30" i="12" s="1"/>
  <c r="AL30" i="12"/>
  <c r="AM30" i="12"/>
  <c r="BC30" i="12" s="1"/>
  <c r="AO30" i="12"/>
  <c r="AP30" i="12"/>
  <c r="AR30" i="12"/>
  <c r="AS30" i="12"/>
  <c r="AT30" i="12"/>
  <c r="AU30" i="12"/>
  <c r="AV30" i="12"/>
  <c r="AW30" i="12"/>
  <c r="AX30" i="12"/>
  <c r="AY30" i="12"/>
  <c r="BA30" i="12"/>
  <c r="BB30" i="12"/>
  <c r="BD30" i="12"/>
  <c r="BE30" i="12"/>
  <c r="F31" i="12"/>
  <c r="AQ31" i="12" s="1"/>
  <c r="G31" i="12"/>
  <c r="H31" i="12"/>
  <c r="AR31" i="12" s="1"/>
  <c r="I31" i="12"/>
  <c r="AJ31" i="12"/>
  <c r="AZ31" i="12" s="1"/>
  <c r="AK31" i="12"/>
  <c r="AL31" i="12"/>
  <c r="AM31" i="12"/>
  <c r="AO31" i="12"/>
  <c r="AP31" i="12"/>
  <c r="AS31" i="12"/>
  <c r="AT31" i="12"/>
  <c r="AU31" i="12"/>
  <c r="AV31" i="12"/>
  <c r="AW31" i="12"/>
  <c r="AX31" i="12"/>
  <c r="AY31" i="12"/>
  <c r="BA31" i="12"/>
  <c r="BB31" i="12"/>
  <c r="BC31" i="12"/>
  <c r="BD31" i="12"/>
  <c r="BE31" i="12"/>
  <c r="F32" i="12"/>
  <c r="G32" i="12"/>
  <c r="AQ32" i="12" s="1"/>
  <c r="H32" i="12"/>
  <c r="I32" i="12"/>
  <c r="AJ32" i="12"/>
  <c r="AK32" i="12"/>
  <c r="AL32" i="12"/>
  <c r="AM32" i="12"/>
  <c r="BC32" i="12" s="1"/>
  <c r="AO32" i="12"/>
  <c r="AP32" i="12"/>
  <c r="AR32" i="12"/>
  <c r="AS32" i="12"/>
  <c r="AT32" i="12"/>
  <c r="AU32" i="12"/>
  <c r="AV32" i="12"/>
  <c r="AW32" i="12"/>
  <c r="AX32" i="12"/>
  <c r="AY32" i="12"/>
  <c r="AZ32" i="12"/>
  <c r="BA32" i="12"/>
  <c r="BB32" i="12"/>
  <c r="BD32" i="12"/>
  <c r="BE32" i="12"/>
  <c r="F33" i="12"/>
  <c r="G33" i="12"/>
  <c r="H33" i="12"/>
  <c r="AR33" i="12" s="1"/>
  <c r="I33" i="12"/>
  <c r="AJ33" i="12"/>
  <c r="AZ33" i="12" s="1"/>
  <c r="AK33" i="12"/>
  <c r="AL33" i="12"/>
  <c r="AM33" i="12"/>
  <c r="AO33" i="12"/>
  <c r="AP33" i="12"/>
  <c r="AQ33" i="12"/>
  <c r="AS33" i="12"/>
  <c r="AT33" i="12"/>
  <c r="AU33" i="12"/>
  <c r="AV33" i="12"/>
  <c r="AW33" i="12"/>
  <c r="AX33" i="12"/>
  <c r="AY33" i="12"/>
  <c r="BA33" i="12"/>
  <c r="BB33" i="12"/>
  <c r="BC33" i="12"/>
  <c r="BD33" i="12"/>
  <c r="BE33" i="12"/>
  <c r="F34" i="12"/>
  <c r="G34" i="12"/>
  <c r="AQ34" i="12" s="1"/>
  <c r="H34" i="12"/>
  <c r="I34" i="12"/>
  <c r="AJ34" i="12"/>
  <c r="AK34" i="12"/>
  <c r="AZ34" i="12" s="1"/>
  <c r="AL34" i="12"/>
  <c r="AM34" i="12"/>
  <c r="BC34" i="12" s="1"/>
  <c r="AO34" i="12"/>
  <c r="AP34" i="12"/>
  <c r="AR34" i="12"/>
  <c r="AS34" i="12"/>
  <c r="AT34" i="12"/>
  <c r="AU34" i="12"/>
  <c r="AV34" i="12"/>
  <c r="AW34" i="12"/>
  <c r="AX34" i="12"/>
  <c r="AY34" i="12"/>
  <c r="BA34" i="12"/>
  <c r="BB34" i="12"/>
  <c r="BD34" i="12"/>
  <c r="BE34" i="12"/>
  <c r="F35" i="12"/>
  <c r="AQ35" i="12" s="1"/>
  <c r="G35" i="12"/>
  <c r="H35" i="12"/>
  <c r="AR35" i="12" s="1"/>
  <c r="I35" i="12"/>
  <c r="AJ35" i="12"/>
  <c r="AZ35" i="12" s="1"/>
  <c r="AK35" i="12"/>
  <c r="AL35" i="12"/>
  <c r="AM35" i="12"/>
  <c r="AO35" i="12"/>
  <c r="AP35" i="12"/>
  <c r="AS35" i="12"/>
  <c r="AT35" i="12"/>
  <c r="AU35" i="12"/>
  <c r="AV35" i="12"/>
  <c r="AW35" i="12"/>
  <c r="AX35" i="12"/>
  <c r="AY35" i="12"/>
  <c r="BA35" i="12"/>
  <c r="BB35" i="12"/>
  <c r="BC35" i="12"/>
  <c r="BD35" i="12"/>
  <c r="BE35" i="12"/>
  <c r="F36" i="12"/>
  <c r="G36" i="12"/>
  <c r="AQ36" i="12" s="1"/>
  <c r="H36" i="12"/>
  <c r="I36" i="12"/>
  <c r="AJ36" i="12"/>
  <c r="AK36" i="12"/>
  <c r="AL36" i="12"/>
  <c r="AM36" i="12"/>
  <c r="BC36" i="12" s="1"/>
  <c r="AO36" i="12"/>
  <c r="AP36" i="12"/>
  <c r="AR36" i="12"/>
  <c r="AS36" i="12"/>
  <c r="AT36" i="12"/>
  <c r="AU36" i="12"/>
  <c r="AV36" i="12"/>
  <c r="AW36" i="12"/>
  <c r="AX36" i="12"/>
  <c r="AY36" i="12"/>
  <c r="AZ36" i="12"/>
  <c r="BA36" i="12"/>
  <c r="BB36" i="12"/>
  <c r="BD36" i="12"/>
  <c r="BE36" i="12"/>
  <c r="F37" i="12"/>
  <c r="G37" i="12"/>
  <c r="H37" i="12"/>
  <c r="AR37" i="12" s="1"/>
  <c r="I37" i="12"/>
  <c r="AJ37" i="12"/>
  <c r="AZ37" i="12" s="1"/>
  <c r="AK37" i="12"/>
  <c r="AL37" i="12"/>
  <c r="AM37" i="12"/>
  <c r="AO37" i="12"/>
  <c r="AP37" i="12"/>
  <c r="AQ37" i="12"/>
  <c r="AS37" i="12"/>
  <c r="AT37" i="12"/>
  <c r="AU37" i="12"/>
  <c r="AV37" i="12"/>
  <c r="AW37" i="12"/>
  <c r="AX37" i="12"/>
  <c r="AY37" i="12"/>
  <c r="BA37" i="12"/>
  <c r="BB37" i="12"/>
  <c r="BC37" i="12"/>
  <c r="BD37" i="12"/>
  <c r="BE37" i="12"/>
  <c r="F38" i="12"/>
  <c r="G38" i="12"/>
  <c r="AQ38" i="12" s="1"/>
  <c r="H38" i="12"/>
  <c r="I38" i="12"/>
  <c r="AJ38" i="12"/>
  <c r="AK38" i="12"/>
  <c r="AZ38" i="12" s="1"/>
  <c r="AL38" i="12"/>
  <c r="AM38" i="12"/>
  <c r="BC38" i="12" s="1"/>
  <c r="AO38" i="12"/>
  <c r="AP38" i="12"/>
  <c r="AR38" i="12"/>
  <c r="AS38" i="12"/>
  <c r="AT38" i="12"/>
  <c r="AU38" i="12"/>
  <c r="AV38" i="12"/>
  <c r="AW38" i="12"/>
  <c r="AX38" i="12"/>
  <c r="AY38" i="12"/>
  <c r="BA38" i="12"/>
  <c r="BB38" i="12"/>
  <c r="BD38" i="12"/>
  <c r="BE38" i="12"/>
  <c r="F39" i="12"/>
  <c r="AQ39" i="12" s="1"/>
  <c r="G39" i="12"/>
  <c r="H39" i="12"/>
  <c r="AR39" i="12" s="1"/>
  <c r="I39" i="12"/>
  <c r="AJ39" i="12"/>
  <c r="AZ39" i="12" s="1"/>
  <c r="AK39" i="12"/>
  <c r="AL39" i="12"/>
  <c r="AM39" i="12"/>
  <c r="AO39" i="12"/>
  <c r="AP39" i="12"/>
  <c r="AS39" i="12"/>
  <c r="AT39" i="12"/>
  <c r="AU39" i="12"/>
  <c r="AV39" i="12"/>
  <c r="AW39" i="12"/>
  <c r="AX39" i="12"/>
  <c r="AY39" i="12"/>
  <c r="BA39" i="12"/>
  <c r="BB39" i="12"/>
  <c r="BC39" i="12"/>
  <c r="BD39" i="12"/>
  <c r="BE39" i="12"/>
  <c r="F40" i="12"/>
  <c r="G40" i="12"/>
  <c r="AQ40" i="12" s="1"/>
  <c r="H40" i="12"/>
  <c r="I40" i="12"/>
  <c r="AJ40" i="12"/>
  <c r="AK40" i="12"/>
  <c r="AL40" i="12"/>
  <c r="AM40" i="12"/>
  <c r="BC40" i="12" s="1"/>
  <c r="AO40" i="12"/>
  <c r="AP40" i="12"/>
  <c r="AR40" i="12"/>
  <c r="AS40" i="12"/>
  <c r="AT40" i="12"/>
  <c r="AU40" i="12"/>
  <c r="AV40" i="12"/>
  <c r="AW40" i="12"/>
  <c r="AX40" i="12"/>
  <c r="AY40" i="12"/>
  <c r="AZ40" i="12"/>
  <c r="BA40" i="12"/>
  <c r="BB40" i="12"/>
  <c r="BD40" i="12"/>
  <c r="BE40" i="12"/>
  <c r="F41" i="12"/>
  <c r="G41" i="12"/>
  <c r="H41" i="12"/>
  <c r="AR41" i="12" s="1"/>
  <c r="I41" i="12"/>
  <c r="AJ41" i="12"/>
  <c r="AZ41" i="12" s="1"/>
  <c r="AK41" i="12"/>
  <c r="AL41" i="12"/>
  <c r="AM41" i="12"/>
  <c r="AO41" i="12"/>
  <c r="AP41" i="12"/>
  <c r="AQ41" i="12"/>
  <c r="AS41" i="12"/>
  <c r="AT41" i="12"/>
  <c r="AU41" i="12"/>
  <c r="AV41" i="12"/>
  <c r="AW41" i="12"/>
  <c r="AX41" i="12"/>
  <c r="AY41" i="12"/>
  <c r="BA41" i="12"/>
  <c r="BB41" i="12"/>
  <c r="BC41" i="12"/>
  <c r="BD41" i="12"/>
  <c r="BE41" i="12"/>
  <c r="F42" i="12"/>
  <c r="G42" i="12"/>
  <c r="AQ42" i="12" s="1"/>
  <c r="H42" i="12"/>
  <c r="I42" i="12"/>
  <c r="AJ42" i="12"/>
  <c r="AK42" i="12"/>
  <c r="AZ42" i="12" s="1"/>
  <c r="AL42" i="12"/>
  <c r="AM42" i="12"/>
  <c r="BC42" i="12" s="1"/>
  <c r="AO42" i="12"/>
  <c r="AP42" i="12"/>
  <c r="AR42" i="12"/>
  <c r="AS42" i="12"/>
  <c r="AT42" i="12"/>
  <c r="AU42" i="12"/>
  <c r="AV42" i="12"/>
  <c r="AW42" i="12"/>
  <c r="AX42" i="12"/>
  <c r="AY42" i="12"/>
  <c r="BA42" i="12"/>
  <c r="BB42" i="12"/>
  <c r="BD42" i="12"/>
  <c r="BE42" i="12"/>
  <c r="F43" i="12"/>
  <c r="AQ43" i="12" s="1"/>
  <c r="G43" i="12"/>
  <c r="H43" i="12"/>
  <c r="AR43" i="12" s="1"/>
  <c r="I43" i="12"/>
  <c r="AJ43" i="12"/>
  <c r="AZ43" i="12" s="1"/>
  <c r="AK43" i="12"/>
  <c r="AL43" i="12"/>
  <c r="AM43" i="12"/>
  <c r="AO43" i="12"/>
  <c r="AP43" i="12"/>
  <c r="AS43" i="12"/>
  <c r="AT43" i="12"/>
  <c r="AU43" i="12"/>
  <c r="AV43" i="12"/>
  <c r="AW43" i="12"/>
  <c r="AX43" i="12"/>
  <c r="AY43" i="12"/>
  <c r="BA43" i="12"/>
  <c r="BB43" i="12"/>
  <c r="BC43" i="12"/>
  <c r="BD43" i="12"/>
  <c r="BE43" i="12"/>
  <c r="F44" i="12"/>
  <c r="G44" i="12"/>
  <c r="AQ44" i="12" s="1"/>
  <c r="H44" i="12"/>
  <c r="I44" i="12"/>
  <c r="AJ44" i="12"/>
  <c r="AK44" i="12"/>
  <c r="AL44" i="12"/>
  <c r="AM44" i="12"/>
  <c r="BC44" i="12" s="1"/>
  <c r="AO44" i="12"/>
  <c r="AP44" i="12"/>
  <c r="AR44" i="12"/>
  <c r="AS44" i="12"/>
  <c r="AT44" i="12"/>
  <c r="AU44" i="12"/>
  <c r="AV44" i="12"/>
  <c r="AW44" i="12"/>
  <c r="AX44" i="12"/>
  <c r="AY44" i="12"/>
  <c r="AZ44" i="12"/>
  <c r="BA44" i="12"/>
  <c r="BB44" i="12"/>
  <c r="BD44" i="12"/>
  <c r="BE44" i="12"/>
  <c r="F45" i="12"/>
  <c r="G45" i="12"/>
  <c r="H45" i="12"/>
  <c r="AR45" i="12" s="1"/>
  <c r="I45" i="12"/>
  <c r="AJ45" i="12"/>
  <c r="AZ45" i="12" s="1"/>
  <c r="AK45" i="12"/>
  <c r="AL45" i="12"/>
  <c r="AM45" i="12"/>
  <c r="AO45" i="12"/>
  <c r="AP45" i="12"/>
  <c r="AQ45" i="12"/>
  <c r="AS45" i="12"/>
  <c r="AT45" i="12"/>
  <c r="AU45" i="12"/>
  <c r="AV45" i="12"/>
  <c r="AW45" i="12"/>
  <c r="AX45" i="12"/>
  <c r="AY45" i="12"/>
  <c r="BA45" i="12"/>
  <c r="BB45" i="12"/>
  <c r="BC45" i="12"/>
  <c r="BD45" i="12"/>
  <c r="BE45" i="12"/>
  <c r="F46" i="12"/>
  <c r="G46" i="12"/>
  <c r="AQ46" i="12" s="1"/>
  <c r="H46" i="12"/>
  <c r="I46" i="12"/>
  <c r="AJ46" i="12"/>
  <c r="AK46" i="12"/>
  <c r="AZ46" i="12" s="1"/>
  <c r="AL46" i="12"/>
  <c r="AM46" i="12"/>
  <c r="BC46" i="12" s="1"/>
  <c r="AO46" i="12"/>
  <c r="AP46" i="12"/>
  <c r="AR46" i="12"/>
  <c r="AS46" i="12"/>
  <c r="AT46" i="12"/>
  <c r="AU46" i="12"/>
  <c r="AV46" i="12"/>
  <c r="AW46" i="12"/>
  <c r="AX46" i="12"/>
  <c r="AY46" i="12"/>
  <c r="BA46" i="12"/>
  <c r="BB46" i="12"/>
  <c r="BD46" i="12"/>
  <c r="BE46" i="12"/>
  <c r="F47" i="12"/>
  <c r="AQ47" i="12" s="1"/>
  <c r="G47" i="12"/>
  <c r="H47" i="12"/>
  <c r="AR47" i="12" s="1"/>
  <c r="I47" i="12"/>
  <c r="AJ47" i="12"/>
  <c r="AZ47" i="12" s="1"/>
  <c r="AK47" i="12"/>
  <c r="AL47" i="12"/>
  <c r="AM47" i="12"/>
  <c r="AO47" i="12"/>
  <c r="AP47" i="12"/>
  <c r="AS47" i="12"/>
  <c r="AT47" i="12"/>
  <c r="AU47" i="12"/>
  <c r="AV47" i="12"/>
  <c r="AW47" i="12"/>
  <c r="AX47" i="12"/>
  <c r="AY47" i="12"/>
  <c r="BA47" i="12"/>
  <c r="BB47" i="12"/>
  <c r="BC47" i="12"/>
  <c r="BD47" i="12"/>
  <c r="BE47" i="12"/>
  <c r="F48" i="12"/>
  <c r="G48" i="12"/>
  <c r="AQ48" i="12" s="1"/>
  <c r="H48" i="12"/>
  <c r="I48" i="12"/>
  <c r="AJ48" i="12"/>
  <c r="AK48" i="12"/>
  <c r="AL48" i="12"/>
  <c r="AM48" i="12"/>
  <c r="BC48" i="12" s="1"/>
  <c r="AO48" i="12"/>
  <c r="AP48" i="12"/>
  <c r="AR48" i="12"/>
  <c r="AS48" i="12"/>
  <c r="AT48" i="12"/>
  <c r="AU48" i="12"/>
  <c r="AV48" i="12"/>
  <c r="AW48" i="12"/>
  <c r="AX48" i="12"/>
  <c r="AY48" i="12"/>
  <c r="AZ48" i="12"/>
  <c r="BA48" i="12"/>
  <c r="BB48" i="12"/>
  <c r="BD48" i="12"/>
  <c r="BE48" i="12"/>
  <c r="F49" i="12"/>
  <c r="G49" i="12"/>
  <c r="H49" i="12"/>
  <c r="AR49" i="12" s="1"/>
  <c r="I49" i="12"/>
  <c r="AJ49" i="12"/>
  <c r="AZ49" i="12" s="1"/>
  <c r="AK49" i="12"/>
  <c r="AL49" i="12"/>
  <c r="AM49" i="12"/>
  <c r="AO49" i="12"/>
  <c r="AP49" i="12"/>
  <c r="AQ49" i="12"/>
  <c r="AS49" i="12"/>
  <c r="AT49" i="12"/>
  <c r="AU49" i="12"/>
  <c r="AV49" i="12"/>
  <c r="AW49" i="12"/>
  <c r="AX49" i="12"/>
  <c r="AY49" i="12"/>
  <c r="BA49" i="12"/>
  <c r="BB49" i="12"/>
  <c r="BC49" i="12"/>
  <c r="BD49" i="12"/>
  <c r="BE49" i="12"/>
  <c r="F50" i="12"/>
  <c r="G50" i="12"/>
  <c r="AQ50" i="12" s="1"/>
  <c r="H50" i="12"/>
  <c r="I50" i="12"/>
  <c r="AJ50" i="12"/>
  <c r="AK50" i="12"/>
  <c r="AZ50" i="12" s="1"/>
  <c r="AL50" i="12"/>
  <c r="AM50" i="12"/>
  <c r="BC50" i="12" s="1"/>
  <c r="AO50" i="12"/>
  <c r="AP50" i="12"/>
  <c r="AR50" i="12"/>
  <c r="AS50" i="12"/>
  <c r="AT50" i="12"/>
  <c r="AU50" i="12"/>
  <c r="AV50" i="12"/>
  <c r="AW50" i="12"/>
  <c r="AX50" i="12"/>
  <c r="AY50" i="12"/>
  <c r="BA50" i="12"/>
  <c r="BB50" i="12"/>
  <c r="BD50" i="12"/>
  <c r="BE50" i="12"/>
  <c r="F51" i="12"/>
  <c r="AQ51" i="12" s="1"/>
  <c r="G51" i="12"/>
  <c r="H51" i="12"/>
  <c r="AR51" i="12" s="1"/>
  <c r="I51" i="12"/>
  <c r="AJ51" i="12"/>
  <c r="AZ51" i="12" s="1"/>
  <c r="AK51" i="12"/>
  <c r="AL51" i="12"/>
  <c r="AM51" i="12"/>
  <c r="AO51" i="12"/>
  <c r="AP51" i="12"/>
  <c r="AS51" i="12"/>
  <c r="AT51" i="12"/>
  <c r="AU51" i="12"/>
  <c r="AV51" i="12"/>
  <c r="AW51" i="12"/>
  <c r="AX51" i="12"/>
  <c r="AY51" i="12"/>
  <c r="BA51" i="12"/>
  <c r="BB51" i="12"/>
  <c r="BC51" i="12"/>
  <c r="BD51" i="12"/>
  <c r="BE51" i="12"/>
  <c r="F52" i="12"/>
  <c r="G52" i="12"/>
  <c r="AQ52" i="12" s="1"/>
  <c r="H52" i="12"/>
  <c r="I52" i="12"/>
  <c r="AJ52" i="12"/>
  <c r="AK52" i="12"/>
  <c r="AL52" i="12"/>
  <c r="AM52" i="12"/>
  <c r="BC52" i="12" s="1"/>
  <c r="AO52" i="12"/>
  <c r="AP52" i="12"/>
  <c r="AR52" i="12"/>
  <c r="AS52" i="12"/>
  <c r="AT52" i="12"/>
  <c r="AU52" i="12"/>
  <c r="AV52" i="12"/>
  <c r="AW52" i="12"/>
  <c r="AX52" i="12"/>
  <c r="AY52" i="12"/>
  <c r="AZ52" i="12"/>
  <c r="BA52" i="12"/>
  <c r="BB52" i="12"/>
  <c r="BD52" i="12"/>
  <c r="BE52" i="12"/>
  <c r="F53" i="12"/>
  <c r="G53" i="12"/>
  <c r="H53" i="12"/>
  <c r="AR53" i="12" s="1"/>
  <c r="I53" i="12"/>
  <c r="AJ53" i="12"/>
  <c r="AZ53" i="12" s="1"/>
  <c r="AK53" i="12"/>
  <c r="AL53" i="12"/>
  <c r="AM53" i="12"/>
  <c r="AO53" i="12"/>
  <c r="AP53" i="12"/>
  <c r="AQ53" i="12"/>
  <c r="AS53" i="12"/>
  <c r="AT53" i="12"/>
  <c r="AU53" i="12"/>
  <c r="AV53" i="12"/>
  <c r="AW53" i="12"/>
  <c r="AX53" i="12"/>
  <c r="AY53" i="12"/>
  <c r="BA53" i="12"/>
  <c r="BB53" i="12"/>
  <c r="BC53" i="12"/>
  <c r="BD53" i="12"/>
  <c r="BE53" i="12"/>
  <c r="F54" i="12"/>
  <c r="G54" i="12"/>
  <c r="AQ54" i="12" s="1"/>
  <c r="H54" i="12"/>
  <c r="I54" i="12"/>
  <c r="AJ54" i="12"/>
  <c r="AK54" i="12"/>
  <c r="AZ54" i="12" s="1"/>
  <c r="AL54" i="12"/>
  <c r="AM54" i="12"/>
  <c r="BC54" i="12" s="1"/>
  <c r="AO54" i="12"/>
  <c r="AP54" i="12"/>
  <c r="AR54" i="12"/>
  <c r="AS54" i="12"/>
  <c r="AT54" i="12"/>
  <c r="AU54" i="12"/>
  <c r="AV54" i="12"/>
  <c r="AW54" i="12"/>
  <c r="AX54" i="12"/>
  <c r="AY54" i="12"/>
  <c r="BA54" i="12"/>
  <c r="BB54" i="12"/>
  <c r="BD54" i="12"/>
  <c r="BE54" i="12"/>
  <c r="F55" i="12"/>
  <c r="AQ55" i="12" s="1"/>
  <c r="G55" i="12"/>
  <c r="H55" i="12"/>
  <c r="AR55" i="12" s="1"/>
  <c r="I55" i="12"/>
  <c r="AJ55" i="12"/>
  <c r="AZ55" i="12" s="1"/>
  <c r="AK55" i="12"/>
  <c r="AL55" i="12"/>
  <c r="AM55" i="12"/>
  <c r="AO55" i="12"/>
  <c r="AP55" i="12"/>
  <c r="AS55" i="12"/>
  <c r="AT55" i="12"/>
  <c r="AU55" i="12"/>
  <c r="AV55" i="12"/>
  <c r="AW55" i="12"/>
  <c r="AX55" i="12"/>
  <c r="AY55" i="12"/>
  <c r="BA55" i="12"/>
  <c r="BB55" i="12"/>
  <c r="BC55" i="12"/>
  <c r="BD55" i="12"/>
  <c r="BE55" i="12"/>
  <c r="F56" i="12"/>
  <c r="G56" i="12"/>
  <c r="AQ56" i="12" s="1"/>
  <c r="H56" i="12"/>
  <c r="I56" i="12"/>
  <c r="AJ56" i="12"/>
  <c r="AK56" i="12"/>
  <c r="AL56" i="12"/>
  <c r="AM56" i="12"/>
  <c r="BC56" i="12" s="1"/>
  <c r="AO56" i="12"/>
  <c r="AP56" i="12"/>
  <c r="AR56" i="12"/>
  <c r="AS56" i="12"/>
  <c r="AT56" i="12"/>
  <c r="AU56" i="12"/>
  <c r="AV56" i="12"/>
  <c r="AW56" i="12"/>
  <c r="AX56" i="12"/>
  <c r="AY56" i="12"/>
  <c r="AZ56" i="12"/>
  <c r="BA56" i="12"/>
  <c r="BB56" i="12"/>
  <c r="BD56" i="12"/>
  <c r="BE56" i="12"/>
  <c r="F57" i="12"/>
  <c r="G57" i="12"/>
  <c r="H57" i="12"/>
  <c r="AR57" i="12" s="1"/>
  <c r="I57" i="12"/>
  <c r="AJ57" i="12"/>
  <c r="AZ57" i="12" s="1"/>
  <c r="AK57" i="12"/>
  <c r="AL57" i="12"/>
  <c r="AM57" i="12"/>
  <c r="AO57" i="12"/>
  <c r="AP57" i="12"/>
  <c r="AQ57" i="12"/>
  <c r="AS57" i="12"/>
  <c r="AT57" i="12"/>
  <c r="AU57" i="12"/>
  <c r="AV57" i="12"/>
  <c r="AW57" i="12"/>
  <c r="AX57" i="12"/>
  <c r="AY57" i="12"/>
  <c r="BA57" i="12"/>
  <c r="BB57" i="12"/>
  <c r="BC57" i="12"/>
  <c r="BD57" i="12"/>
  <c r="BE57" i="12"/>
  <c r="F58" i="12"/>
  <c r="G58" i="12"/>
  <c r="AQ58" i="12" s="1"/>
  <c r="H58" i="12"/>
  <c r="I58" i="12"/>
  <c r="AJ58" i="12"/>
  <c r="AK58" i="12"/>
  <c r="AZ58" i="12" s="1"/>
  <c r="AL58" i="12"/>
  <c r="AM58" i="12"/>
  <c r="BC58" i="12" s="1"/>
  <c r="AO58" i="12"/>
  <c r="AP58" i="12"/>
  <c r="AR58" i="12"/>
  <c r="AS58" i="12"/>
  <c r="AT58" i="12"/>
  <c r="AU58" i="12"/>
  <c r="AV58" i="12"/>
  <c r="AW58" i="12"/>
  <c r="AX58" i="12"/>
  <c r="AY58" i="12"/>
  <c r="BA58" i="12"/>
  <c r="BB58" i="12"/>
  <c r="BD58" i="12"/>
  <c r="BE58" i="12"/>
  <c r="F59" i="12"/>
  <c r="AQ59" i="12" s="1"/>
  <c r="G59" i="12"/>
  <c r="H59" i="12"/>
  <c r="AR59" i="12" s="1"/>
  <c r="I59" i="12"/>
  <c r="AJ59" i="12"/>
  <c r="AZ59" i="12" s="1"/>
  <c r="AK59" i="12"/>
  <c r="AL59" i="12"/>
  <c r="AM59" i="12"/>
  <c r="AO59" i="12"/>
  <c r="AP59" i="12"/>
  <c r="AS59" i="12"/>
  <c r="AT59" i="12"/>
  <c r="AU59" i="12"/>
  <c r="AV59" i="12"/>
  <c r="AW59" i="12"/>
  <c r="AX59" i="12"/>
  <c r="AY59" i="12"/>
  <c r="BA59" i="12"/>
  <c r="BB59" i="12"/>
  <c r="BC59" i="12"/>
  <c r="BD59" i="12"/>
  <c r="BE59" i="12"/>
  <c r="F60" i="12"/>
  <c r="G60" i="12"/>
  <c r="AQ60" i="12" s="1"/>
  <c r="H60" i="12"/>
  <c r="I60" i="12"/>
  <c r="AJ60" i="12"/>
  <c r="AK60" i="12"/>
  <c r="AL60" i="12"/>
  <c r="AM60" i="12"/>
  <c r="BC60" i="12" s="1"/>
  <c r="AO60" i="12"/>
  <c r="AP60" i="12"/>
  <c r="AR60" i="12"/>
  <c r="AS60" i="12"/>
  <c r="AT60" i="12"/>
  <c r="AU60" i="12"/>
  <c r="AV60" i="12"/>
  <c r="AW60" i="12"/>
  <c r="AX60" i="12"/>
  <c r="AY60" i="12"/>
  <c r="AZ60" i="12"/>
  <c r="BA60" i="12"/>
  <c r="BB60" i="12"/>
  <c r="BD60" i="12"/>
  <c r="BE60" i="12"/>
  <c r="F61" i="12"/>
  <c r="G61" i="12"/>
  <c r="H61" i="12"/>
  <c r="AR61" i="12" s="1"/>
  <c r="I61" i="12"/>
  <c r="AJ61" i="12"/>
  <c r="AZ61" i="12" s="1"/>
  <c r="AK61" i="12"/>
  <c r="AL61" i="12"/>
  <c r="AM61" i="12"/>
  <c r="AO61" i="12"/>
  <c r="AP61" i="12"/>
  <c r="AQ61" i="12"/>
  <c r="AS61" i="12"/>
  <c r="AT61" i="12"/>
  <c r="AU61" i="12"/>
  <c r="AV61" i="12"/>
  <c r="AW61" i="12"/>
  <c r="AX61" i="12"/>
  <c r="AY61" i="12"/>
  <c r="BA61" i="12"/>
  <c r="BB61" i="12"/>
  <c r="BC61" i="12"/>
  <c r="BD61" i="12"/>
  <c r="BE61" i="12"/>
  <c r="F62" i="12"/>
  <c r="G62" i="12"/>
  <c r="AQ62" i="12" s="1"/>
  <c r="H62" i="12"/>
  <c r="I62" i="12"/>
  <c r="AJ62" i="12"/>
  <c r="AK62" i="12"/>
  <c r="AZ62" i="12" s="1"/>
  <c r="AL62" i="12"/>
  <c r="AM62" i="12"/>
  <c r="BC62" i="12" s="1"/>
  <c r="AO62" i="12"/>
  <c r="AP62" i="12"/>
  <c r="AR62" i="12"/>
  <c r="AS62" i="12"/>
  <c r="AT62" i="12"/>
  <c r="AU62" i="12"/>
  <c r="AV62" i="12"/>
  <c r="AW62" i="12"/>
  <c r="AX62" i="12"/>
  <c r="AY62" i="12"/>
  <c r="BA62" i="12"/>
  <c r="BB62" i="12"/>
  <c r="BD62" i="12"/>
  <c r="BE62" i="12"/>
  <c r="F63" i="12"/>
  <c r="AQ63" i="12" s="1"/>
  <c r="G63" i="12"/>
  <c r="H63" i="12"/>
  <c r="AR63" i="12" s="1"/>
  <c r="I63" i="12"/>
  <c r="AJ63" i="12"/>
  <c r="AZ63" i="12" s="1"/>
  <c r="AK63" i="12"/>
  <c r="AL63" i="12"/>
  <c r="AM63" i="12"/>
  <c r="AO63" i="12"/>
  <c r="AP63" i="12"/>
  <c r="AS63" i="12"/>
  <c r="AT63" i="12"/>
  <c r="AU63" i="12"/>
  <c r="AV63" i="12"/>
  <c r="AW63" i="12"/>
  <c r="AX63" i="12"/>
  <c r="AY63" i="12"/>
  <c r="BA63" i="12"/>
  <c r="BB63" i="12"/>
  <c r="BC63" i="12"/>
  <c r="BD63" i="12"/>
  <c r="BE63" i="12"/>
  <c r="F64" i="12"/>
  <c r="G64" i="12"/>
  <c r="AQ64" i="12" s="1"/>
  <c r="H64" i="12"/>
  <c r="I64" i="12"/>
  <c r="AJ64" i="12"/>
  <c r="AK64" i="12"/>
  <c r="AL64" i="12"/>
  <c r="AM64" i="12"/>
  <c r="BC64" i="12" s="1"/>
  <c r="AO64" i="12"/>
  <c r="AP64" i="12"/>
  <c r="AR64" i="12"/>
  <c r="AS64" i="12"/>
  <c r="AT64" i="12"/>
  <c r="AU64" i="12"/>
  <c r="AV64" i="12"/>
  <c r="AW64" i="12"/>
  <c r="AX64" i="12"/>
  <c r="AY64" i="12"/>
  <c r="AZ64" i="12"/>
  <c r="BA64" i="12"/>
  <c r="BB64" i="12"/>
  <c r="BD64" i="12"/>
  <c r="BE64" i="12"/>
  <c r="F65" i="12"/>
  <c r="G65" i="12"/>
  <c r="H65" i="12"/>
  <c r="AR65" i="12" s="1"/>
  <c r="I65" i="12"/>
  <c r="AJ65" i="12"/>
  <c r="AZ65" i="12" s="1"/>
  <c r="AK65" i="12"/>
  <c r="AL65" i="12"/>
  <c r="AM65" i="12"/>
  <c r="AO65" i="12"/>
  <c r="AP65" i="12"/>
  <c r="AQ65" i="12"/>
  <c r="AS65" i="12"/>
  <c r="AT65" i="12"/>
  <c r="AU65" i="12"/>
  <c r="AV65" i="12"/>
  <c r="AW65" i="12"/>
  <c r="AX65" i="12"/>
  <c r="AY65" i="12"/>
  <c r="BA65" i="12"/>
  <c r="BB65" i="12"/>
  <c r="BC65" i="12"/>
  <c r="BD65" i="12"/>
  <c r="BE65" i="12"/>
  <c r="F66" i="12"/>
  <c r="G66" i="12"/>
  <c r="AQ66" i="12" s="1"/>
  <c r="H66" i="12"/>
  <c r="I66" i="12"/>
  <c r="AJ66" i="12"/>
  <c r="AK66" i="12"/>
  <c r="AZ66" i="12" s="1"/>
  <c r="AL66" i="12"/>
  <c r="AM66" i="12"/>
  <c r="BC66" i="12" s="1"/>
  <c r="AO66" i="12"/>
  <c r="AP66" i="12"/>
  <c r="AR66" i="12"/>
  <c r="AS66" i="12"/>
  <c r="AT66" i="12"/>
  <c r="AU66" i="12"/>
  <c r="AV66" i="12"/>
  <c r="AW66" i="12"/>
  <c r="AX66" i="12"/>
  <c r="AY66" i="12"/>
  <c r="BA66" i="12"/>
  <c r="BB66" i="12"/>
  <c r="BD66" i="12"/>
  <c r="BE66" i="12"/>
  <c r="F67" i="12"/>
  <c r="AQ67" i="12" s="1"/>
  <c r="G67" i="12"/>
  <c r="H67" i="12"/>
  <c r="AR67" i="12" s="1"/>
  <c r="I67" i="12"/>
  <c r="AJ67" i="12"/>
  <c r="AZ67" i="12" s="1"/>
  <c r="AK67" i="12"/>
  <c r="AL67" i="12"/>
  <c r="AM67" i="12"/>
  <c r="AO67" i="12"/>
  <c r="AP67" i="12"/>
  <c r="AS67" i="12"/>
  <c r="AT67" i="12"/>
  <c r="AU67" i="12"/>
  <c r="AV67" i="12"/>
  <c r="AW67" i="12"/>
  <c r="AX67" i="12"/>
  <c r="AY67" i="12"/>
  <c r="BA67" i="12"/>
  <c r="BB67" i="12"/>
  <c r="BC67" i="12"/>
  <c r="BD67" i="12"/>
  <c r="BE67" i="12"/>
  <c r="F68" i="12"/>
  <c r="G68" i="12"/>
  <c r="AQ68" i="12" s="1"/>
  <c r="H68" i="12"/>
  <c r="I68" i="12"/>
  <c r="AJ68" i="12"/>
  <c r="AK68" i="12"/>
  <c r="AL68" i="12"/>
  <c r="AM68" i="12"/>
  <c r="BC68" i="12" s="1"/>
  <c r="AO68" i="12"/>
  <c r="AP68" i="12"/>
  <c r="AR68" i="12"/>
  <c r="AS68" i="12"/>
  <c r="AT68" i="12"/>
  <c r="AU68" i="12"/>
  <c r="AV68" i="12"/>
  <c r="AW68" i="12"/>
  <c r="AX68" i="12"/>
  <c r="AY68" i="12"/>
  <c r="AZ68" i="12"/>
  <c r="BA68" i="12"/>
  <c r="BB68" i="12"/>
  <c r="BD68" i="12"/>
  <c r="BE68" i="12"/>
  <c r="F69" i="12"/>
  <c r="G69" i="12"/>
  <c r="H69" i="12"/>
  <c r="AR69" i="12" s="1"/>
  <c r="I69" i="12"/>
  <c r="AJ69" i="12"/>
  <c r="AK69" i="12"/>
  <c r="AZ69" i="12" s="1"/>
  <c r="AL69" i="12"/>
  <c r="AM69" i="12"/>
  <c r="AO69" i="12"/>
  <c r="AP69" i="12"/>
  <c r="AQ69" i="12"/>
  <c r="AS69" i="12"/>
  <c r="AT69" i="12"/>
  <c r="AU69" i="12"/>
  <c r="AV69" i="12"/>
  <c r="AW69" i="12"/>
  <c r="AX69" i="12"/>
  <c r="AY69" i="12"/>
  <c r="BA69" i="12"/>
  <c r="BB69" i="12"/>
  <c r="BC69" i="12"/>
  <c r="BD69" i="12"/>
  <c r="BE69" i="12"/>
  <c r="F70" i="12"/>
  <c r="G70" i="12"/>
  <c r="AQ70" i="12" s="1"/>
  <c r="H70" i="12"/>
  <c r="I70" i="12"/>
  <c r="AJ70" i="12"/>
  <c r="AK70" i="12"/>
  <c r="AZ70" i="12" s="1"/>
  <c r="AL70" i="12"/>
  <c r="AM70" i="12"/>
  <c r="BC70" i="12" s="1"/>
  <c r="AO70" i="12"/>
  <c r="AP70" i="12"/>
  <c r="AR70" i="12"/>
  <c r="AS70" i="12"/>
  <c r="AT70" i="12"/>
  <c r="AU70" i="12"/>
  <c r="AV70" i="12"/>
  <c r="AW70" i="12"/>
  <c r="AX70" i="12"/>
  <c r="AY70" i="12"/>
  <c r="BA70" i="12"/>
  <c r="BB70" i="12"/>
  <c r="BD70" i="12"/>
  <c r="BE70" i="12"/>
  <c r="F71" i="12"/>
  <c r="AQ71" i="12" s="1"/>
  <c r="G71" i="12"/>
  <c r="H71" i="12"/>
  <c r="AR71" i="12" s="1"/>
  <c r="I71" i="12"/>
  <c r="AJ71" i="12"/>
  <c r="AZ71" i="12" s="1"/>
  <c r="AK71" i="12"/>
  <c r="AL71" i="12"/>
  <c r="AM71" i="12"/>
  <c r="AO71" i="12"/>
  <c r="AP71" i="12"/>
  <c r="AS71" i="12"/>
  <c r="AT71" i="12"/>
  <c r="AU71" i="12"/>
  <c r="AV71" i="12"/>
  <c r="AW71" i="12"/>
  <c r="AX71" i="12"/>
  <c r="AY71" i="12"/>
  <c r="BA71" i="12"/>
  <c r="BB71" i="12"/>
  <c r="BC71" i="12"/>
  <c r="BD71" i="12"/>
  <c r="BE71" i="12"/>
  <c r="F72" i="12"/>
  <c r="G72" i="12"/>
  <c r="AQ72" i="12" s="1"/>
  <c r="H72" i="12"/>
  <c r="I72" i="12"/>
  <c r="AJ72" i="12"/>
  <c r="AK72" i="12"/>
  <c r="AL72" i="12"/>
  <c r="AM72" i="12"/>
  <c r="BC72" i="12" s="1"/>
  <c r="AO72" i="12"/>
  <c r="AP72" i="12"/>
  <c r="AR72" i="12"/>
  <c r="AS72" i="12"/>
  <c r="AT72" i="12"/>
  <c r="AU72" i="12"/>
  <c r="AV72" i="12"/>
  <c r="AW72" i="12"/>
  <c r="AX72" i="12"/>
  <c r="AY72" i="12"/>
  <c r="AZ72" i="12"/>
  <c r="BA72" i="12"/>
  <c r="BB72" i="12"/>
  <c r="BD72" i="12"/>
  <c r="BE72" i="12"/>
  <c r="F73" i="12"/>
  <c r="G73" i="12"/>
  <c r="H73" i="12"/>
  <c r="AR73" i="12" s="1"/>
  <c r="I73" i="12"/>
  <c r="AJ73" i="12"/>
  <c r="AZ73" i="12" s="1"/>
  <c r="AK73" i="12"/>
  <c r="AL73" i="12"/>
  <c r="AM73" i="12"/>
  <c r="AO73" i="12"/>
  <c r="AP73" i="12"/>
  <c r="AQ73" i="12"/>
  <c r="AS73" i="12"/>
  <c r="AT73" i="12"/>
  <c r="AU73" i="12"/>
  <c r="AV73" i="12"/>
  <c r="AW73" i="12"/>
  <c r="AX73" i="12"/>
  <c r="AY73" i="12"/>
  <c r="BA73" i="12"/>
  <c r="BB73" i="12"/>
  <c r="BC73" i="12"/>
  <c r="BD73" i="12"/>
  <c r="BE73" i="12"/>
  <c r="F74" i="12"/>
  <c r="G74" i="12"/>
  <c r="AQ74" i="12" s="1"/>
  <c r="H74" i="12"/>
  <c r="I74" i="12"/>
  <c r="AJ74" i="12"/>
  <c r="AK74" i="12"/>
  <c r="AZ74" i="12" s="1"/>
  <c r="AL74" i="12"/>
  <c r="AM74" i="12"/>
  <c r="BC74" i="12" s="1"/>
  <c r="AO74" i="12"/>
  <c r="AP74" i="12"/>
  <c r="AR74" i="12"/>
  <c r="AS74" i="12"/>
  <c r="AT74" i="12"/>
  <c r="AU74" i="12"/>
  <c r="AV74" i="12"/>
  <c r="AW74" i="12"/>
  <c r="AX74" i="12"/>
  <c r="AY74" i="12"/>
  <c r="BA74" i="12"/>
  <c r="BB74" i="12"/>
  <c r="BD74" i="12"/>
  <c r="BE74" i="12"/>
  <c r="F75" i="12"/>
  <c r="AQ75" i="12" s="1"/>
  <c r="G75" i="12"/>
  <c r="H75" i="12"/>
  <c r="AR75" i="12" s="1"/>
  <c r="I75" i="12"/>
  <c r="AJ75" i="12"/>
  <c r="AZ75" i="12" s="1"/>
  <c r="AK75" i="12"/>
  <c r="AL75" i="12"/>
  <c r="AM75" i="12"/>
  <c r="AO75" i="12"/>
  <c r="AP75" i="12"/>
  <c r="AS75" i="12"/>
  <c r="AT75" i="12"/>
  <c r="AU75" i="12"/>
  <c r="AV75" i="12"/>
  <c r="AW75" i="12"/>
  <c r="AX75" i="12"/>
  <c r="AY75" i="12"/>
  <c r="BA75" i="12"/>
  <c r="BB75" i="12"/>
  <c r="BC75" i="12"/>
  <c r="BD75" i="12"/>
  <c r="BE75" i="12"/>
  <c r="F76" i="12"/>
  <c r="G76" i="12"/>
  <c r="AQ76" i="12" s="1"/>
  <c r="H76" i="12"/>
  <c r="I76" i="12"/>
  <c r="AJ76" i="12"/>
  <c r="AK76" i="12"/>
  <c r="AL76" i="12"/>
  <c r="AM76" i="12"/>
  <c r="BC76" i="12" s="1"/>
  <c r="AO76" i="12"/>
  <c r="AP76" i="12"/>
  <c r="AR76" i="12"/>
  <c r="AS76" i="12"/>
  <c r="AT76" i="12"/>
  <c r="AU76" i="12"/>
  <c r="AV76" i="12"/>
  <c r="AW76" i="12"/>
  <c r="AX76" i="12"/>
  <c r="AY76" i="12"/>
  <c r="AZ76" i="12"/>
  <c r="BA76" i="12"/>
  <c r="BB76" i="12"/>
  <c r="BD76" i="12"/>
  <c r="BE76" i="12"/>
  <c r="F77" i="12"/>
  <c r="G77" i="12"/>
  <c r="H77" i="12"/>
  <c r="AR77" i="12" s="1"/>
  <c r="I77" i="12"/>
  <c r="AJ77" i="12"/>
  <c r="AZ77" i="12" s="1"/>
  <c r="AK77" i="12"/>
  <c r="AL77" i="12"/>
  <c r="AM77" i="12"/>
  <c r="AO77" i="12"/>
  <c r="AP77" i="12"/>
  <c r="AQ77" i="12"/>
  <c r="AS77" i="12"/>
  <c r="AT77" i="12"/>
  <c r="AU77" i="12"/>
  <c r="AV77" i="12"/>
  <c r="AW77" i="12"/>
  <c r="AX77" i="12"/>
  <c r="AY77" i="12"/>
  <c r="BA77" i="12"/>
  <c r="BB77" i="12"/>
  <c r="BC77" i="12"/>
  <c r="BD77" i="12"/>
  <c r="BE77" i="12"/>
  <c r="F78" i="12"/>
  <c r="G78" i="12"/>
  <c r="AQ78" i="12" s="1"/>
  <c r="H78" i="12"/>
  <c r="I78" i="12"/>
  <c r="AJ78" i="12"/>
  <c r="AK78" i="12"/>
  <c r="AZ78" i="12" s="1"/>
  <c r="AL78" i="12"/>
  <c r="AM78" i="12"/>
  <c r="BC78" i="12" s="1"/>
  <c r="AO78" i="12"/>
  <c r="AP78" i="12"/>
  <c r="AR78" i="12"/>
  <c r="AS78" i="12"/>
  <c r="AT78" i="12"/>
  <c r="AU78" i="12"/>
  <c r="AV78" i="12"/>
  <c r="AW78" i="12"/>
  <c r="AX78" i="12"/>
  <c r="AY78" i="12"/>
  <c r="BA78" i="12"/>
  <c r="BB78" i="12"/>
  <c r="BD78" i="12"/>
  <c r="BE78" i="12"/>
  <c r="F79" i="12"/>
  <c r="AQ79" i="12" s="1"/>
  <c r="G79" i="12"/>
  <c r="H79" i="12"/>
  <c r="AR79" i="12" s="1"/>
  <c r="I79" i="12"/>
  <c r="AJ79" i="12"/>
  <c r="AZ79" i="12" s="1"/>
  <c r="AK79" i="12"/>
  <c r="AL79" i="12"/>
  <c r="AM79" i="12"/>
  <c r="AO79" i="12"/>
  <c r="AP79" i="12"/>
  <c r="AS79" i="12"/>
  <c r="AT79" i="12"/>
  <c r="AU79" i="12"/>
  <c r="AV79" i="12"/>
  <c r="AW79" i="12"/>
  <c r="AX79" i="12"/>
  <c r="AY79" i="12"/>
  <c r="BA79" i="12"/>
  <c r="BB79" i="12"/>
  <c r="BC79" i="12"/>
  <c r="BD79" i="12"/>
  <c r="BE79" i="12"/>
  <c r="F80" i="12"/>
  <c r="G80" i="12"/>
  <c r="AQ80" i="12" s="1"/>
  <c r="H80" i="12"/>
  <c r="I80" i="12"/>
  <c r="AJ80" i="12"/>
  <c r="AK80" i="12"/>
  <c r="AL80" i="12"/>
  <c r="AM80" i="12"/>
  <c r="BC80" i="12" s="1"/>
  <c r="AO80" i="12"/>
  <c r="AP80" i="12"/>
  <c r="AR80" i="12"/>
  <c r="AS80" i="12"/>
  <c r="AT80" i="12"/>
  <c r="AU80" i="12"/>
  <c r="AV80" i="12"/>
  <c r="AW80" i="12"/>
  <c r="AX80" i="12"/>
  <c r="AY80" i="12"/>
  <c r="AZ80" i="12"/>
  <c r="BA80" i="12"/>
  <c r="BB80" i="12"/>
  <c r="BD80" i="12"/>
  <c r="BE80" i="12"/>
  <c r="F81" i="12"/>
  <c r="G81" i="12"/>
  <c r="H81" i="12"/>
  <c r="AR81" i="12" s="1"/>
  <c r="I81" i="12"/>
  <c r="AJ81" i="12"/>
  <c r="AZ81" i="12" s="1"/>
  <c r="AK81" i="12"/>
  <c r="AL81" i="12"/>
  <c r="AM81" i="12"/>
  <c r="AO81" i="12"/>
  <c r="AP81" i="12"/>
  <c r="AQ81" i="12"/>
  <c r="AS81" i="12"/>
  <c r="AT81" i="12"/>
  <c r="AU81" i="12"/>
  <c r="AV81" i="12"/>
  <c r="AW81" i="12"/>
  <c r="AX81" i="12"/>
  <c r="AY81" i="12"/>
  <c r="BA81" i="12"/>
  <c r="BB81" i="12"/>
  <c r="BC81" i="12"/>
  <c r="BD81" i="12"/>
  <c r="BE81" i="12"/>
  <c r="F82" i="12"/>
  <c r="G82" i="12"/>
  <c r="AQ82" i="12" s="1"/>
  <c r="H82" i="12"/>
  <c r="I82" i="12"/>
  <c r="AJ82" i="12"/>
  <c r="AK82" i="12"/>
  <c r="AZ82" i="12" s="1"/>
  <c r="AL82" i="12"/>
  <c r="AM82" i="12"/>
  <c r="BC82" i="12" s="1"/>
  <c r="AO82" i="12"/>
  <c r="AP82" i="12"/>
  <c r="AR82" i="12"/>
  <c r="AS82" i="12"/>
  <c r="AT82" i="12"/>
  <c r="AU82" i="12"/>
  <c r="AV82" i="12"/>
  <c r="AW82" i="12"/>
  <c r="AX82" i="12"/>
  <c r="AY82" i="12"/>
  <c r="BA82" i="12"/>
  <c r="BB82" i="12"/>
  <c r="BD82" i="12"/>
  <c r="BE82" i="12"/>
  <c r="F83" i="12"/>
  <c r="AQ83" i="12" s="1"/>
  <c r="G83" i="12"/>
  <c r="H83" i="12"/>
  <c r="AR83" i="12" s="1"/>
  <c r="I83" i="12"/>
  <c r="AJ83" i="12"/>
  <c r="AZ83" i="12" s="1"/>
  <c r="AK83" i="12"/>
  <c r="AL83" i="12"/>
  <c r="AM83" i="12"/>
  <c r="AO83" i="12"/>
  <c r="AP83" i="12"/>
  <c r="AS83" i="12"/>
  <c r="AT83" i="12"/>
  <c r="AU83" i="12"/>
  <c r="AV83" i="12"/>
  <c r="AW83" i="12"/>
  <c r="AX83" i="12"/>
  <c r="AY83" i="12"/>
  <c r="BA83" i="12"/>
  <c r="BB83" i="12"/>
  <c r="BC83" i="12"/>
  <c r="BD83" i="12"/>
  <c r="BE83" i="12"/>
  <c r="F84" i="12"/>
  <c r="G84" i="12"/>
  <c r="AQ84" i="12" s="1"/>
  <c r="H84" i="12"/>
  <c r="I84" i="12"/>
  <c r="AJ84" i="12"/>
  <c r="AK84" i="12"/>
  <c r="AL84" i="12"/>
  <c r="AM84" i="12"/>
  <c r="BC84" i="12" s="1"/>
  <c r="AO84" i="12"/>
  <c r="AP84" i="12"/>
  <c r="AR84" i="12"/>
  <c r="AS84" i="12"/>
  <c r="AT84" i="12"/>
  <c r="AU84" i="12"/>
  <c r="AV84" i="12"/>
  <c r="AW84" i="12"/>
  <c r="AX84" i="12"/>
  <c r="AY84" i="12"/>
  <c r="AZ84" i="12"/>
  <c r="BA84" i="12"/>
  <c r="BB84" i="12"/>
  <c r="BD84" i="12"/>
  <c r="BE84" i="12"/>
  <c r="F85" i="12"/>
  <c r="G85" i="12"/>
  <c r="H85" i="12"/>
  <c r="AR85" i="12" s="1"/>
  <c r="I85" i="12"/>
  <c r="AJ85" i="12"/>
  <c r="AZ85" i="12" s="1"/>
  <c r="AK85" i="12"/>
  <c r="AL85" i="12"/>
  <c r="AM85" i="12"/>
  <c r="AO85" i="12"/>
  <c r="AP85" i="12"/>
  <c r="AQ85" i="12"/>
  <c r="AS85" i="12"/>
  <c r="AT85" i="12"/>
  <c r="AU85" i="12"/>
  <c r="AV85" i="12"/>
  <c r="AW85" i="12"/>
  <c r="AX85" i="12"/>
  <c r="AY85" i="12"/>
  <c r="BA85" i="12"/>
  <c r="BB85" i="12"/>
  <c r="BC85" i="12"/>
  <c r="BD85" i="12"/>
  <c r="BE85" i="12"/>
  <c r="F86" i="12"/>
  <c r="G86" i="12"/>
  <c r="AQ86" i="12" s="1"/>
  <c r="H86" i="12"/>
  <c r="I86" i="12"/>
  <c r="AJ86" i="12"/>
  <c r="AK86" i="12"/>
  <c r="AZ86" i="12" s="1"/>
  <c r="AL86" i="12"/>
  <c r="AM86" i="12"/>
  <c r="BC86" i="12" s="1"/>
  <c r="AO86" i="12"/>
  <c r="AP86" i="12"/>
  <c r="AR86" i="12"/>
  <c r="AS86" i="12"/>
  <c r="AT86" i="12"/>
  <c r="AU86" i="12"/>
  <c r="AV86" i="12"/>
  <c r="AW86" i="12"/>
  <c r="AX86" i="12"/>
  <c r="AY86" i="12"/>
  <c r="BA86" i="12"/>
  <c r="BB86" i="12"/>
  <c r="BD86" i="12"/>
  <c r="BE86" i="12"/>
  <c r="F87" i="12"/>
  <c r="AQ87" i="12" s="1"/>
  <c r="G87" i="12"/>
  <c r="H87" i="12"/>
  <c r="AR87" i="12" s="1"/>
  <c r="I87" i="12"/>
  <c r="AJ87" i="12"/>
  <c r="AZ87" i="12" s="1"/>
  <c r="AK87" i="12"/>
  <c r="AL87" i="12"/>
  <c r="AM87" i="12"/>
  <c r="AO87" i="12"/>
  <c r="AP87" i="12"/>
  <c r="AS87" i="12"/>
  <c r="AT87" i="12"/>
  <c r="AU87" i="12"/>
  <c r="AV87" i="12"/>
  <c r="AW87" i="12"/>
  <c r="AX87" i="12"/>
  <c r="AY87" i="12"/>
  <c r="BA87" i="12"/>
  <c r="BB87" i="12"/>
  <c r="BC87" i="12"/>
  <c r="BD87" i="12"/>
  <c r="BE87" i="12"/>
  <c r="F88" i="12"/>
  <c r="G88" i="12"/>
  <c r="AQ88" i="12" s="1"/>
  <c r="H88" i="12"/>
  <c r="I88" i="12"/>
  <c r="AJ88" i="12"/>
  <c r="AK88" i="12"/>
  <c r="AL88" i="12"/>
  <c r="AM88" i="12"/>
  <c r="BC88" i="12" s="1"/>
  <c r="AO88" i="12"/>
  <c r="AP88" i="12"/>
  <c r="AR88" i="12"/>
  <c r="AS88" i="12"/>
  <c r="AT88" i="12"/>
  <c r="AU88" i="12"/>
  <c r="AV88" i="12"/>
  <c r="AW88" i="12"/>
  <c r="AX88" i="12"/>
  <c r="AY88" i="12"/>
  <c r="AZ88" i="12"/>
  <c r="BA88" i="12"/>
  <c r="BB88" i="12"/>
  <c r="BD88" i="12"/>
  <c r="BE88" i="12"/>
  <c r="F89" i="12"/>
  <c r="G89" i="12"/>
  <c r="H89" i="12"/>
  <c r="AR89" i="12" s="1"/>
  <c r="I89" i="12"/>
  <c r="AJ89" i="12"/>
  <c r="AZ89" i="12" s="1"/>
  <c r="AK89" i="12"/>
  <c r="AL89" i="12"/>
  <c r="AM89" i="12"/>
  <c r="AO89" i="12"/>
  <c r="AP89" i="12"/>
  <c r="AQ89" i="12"/>
  <c r="AS89" i="12"/>
  <c r="AT89" i="12"/>
  <c r="AU89" i="12"/>
  <c r="AV89" i="12"/>
  <c r="AW89" i="12"/>
  <c r="AX89" i="12"/>
  <c r="AY89" i="12"/>
  <c r="BA89" i="12"/>
  <c r="BB89" i="12"/>
  <c r="BC89" i="12"/>
  <c r="BD89" i="12"/>
  <c r="BE89" i="12"/>
  <c r="F90" i="12"/>
  <c r="G90" i="12"/>
  <c r="AQ90" i="12" s="1"/>
  <c r="H90" i="12"/>
  <c r="I90" i="12"/>
  <c r="AJ90" i="12"/>
  <c r="AK90" i="12"/>
  <c r="AZ90" i="12" s="1"/>
  <c r="AL90" i="12"/>
  <c r="AM90" i="12"/>
  <c r="BC90" i="12" s="1"/>
  <c r="AO90" i="12"/>
  <c r="AP90" i="12"/>
  <c r="AR90" i="12"/>
  <c r="AS90" i="12"/>
  <c r="AT90" i="12"/>
  <c r="AU90" i="12"/>
  <c r="AV90" i="12"/>
  <c r="AW90" i="12"/>
  <c r="AX90" i="12"/>
  <c r="AY90" i="12"/>
  <c r="BA90" i="12"/>
  <c r="BB90" i="12"/>
  <c r="BD90" i="12"/>
  <c r="BE90" i="12"/>
  <c r="F91" i="12"/>
  <c r="AQ91" i="12" s="1"/>
  <c r="G91" i="12"/>
  <c r="H91" i="12"/>
  <c r="AR91" i="12" s="1"/>
  <c r="I91" i="12"/>
  <c r="AJ91" i="12"/>
  <c r="AZ91" i="12" s="1"/>
  <c r="AK91" i="12"/>
  <c r="AL91" i="12"/>
  <c r="AM91" i="12"/>
  <c r="AO91" i="12"/>
  <c r="AP91" i="12"/>
  <c r="AS91" i="12"/>
  <c r="AT91" i="12"/>
  <c r="AU91" i="12"/>
  <c r="AV91" i="12"/>
  <c r="AW91" i="12"/>
  <c r="AX91" i="12"/>
  <c r="AY91" i="12"/>
  <c r="BA91" i="12"/>
  <c r="BB91" i="12"/>
  <c r="BC91" i="12"/>
  <c r="BD91" i="12"/>
  <c r="BE91" i="12"/>
  <c r="F92" i="12"/>
  <c r="G92" i="12"/>
  <c r="AQ92" i="12" s="1"/>
  <c r="H92" i="12"/>
  <c r="I92" i="12"/>
  <c r="AJ92" i="12"/>
  <c r="AK92" i="12"/>
  <c r="AL92" i="12"/>
  <c r="AM92" i="12"/>
  <c r="BC92" i="12" s="1"/>
  <c r="AO92" i="12"/>
  <c r="AP92" i="12"/>
  <c r="AR92" i="12"/>
  <c r="AS92" i="12"/>
  <c r="AT92" i="12"/>
  <c r="AU92" i="12"/>
  <c r="AV92" i="12"/>
  <c r="AW92" i="12"/>
  <c r="AX92" i="12"/>
  <c r="AY92" i="12"/>
  <c r="AZ92" i="12"/>
  <c r="BA92" i="12"/>
  <c r="BB92" i="12"/>
  <c r="BD92" i="12"/>
  <c r="BE92" i="12"/>
  <c r="F93" i="12"/>
  <c r="G93" i="12"/>
  <c r="AQ93" i="12" s="1"/>
  <c r="H93" i="12"/>
  <c r="AR93" i="12" s="1"/>
  <c r="I93" i="12"/>
  <c r="AJ93" i="12"/>
  <c r="AK93" i="12"/>
  <c r="AZ93" i="12" s="1"/>
  <c r="AL93" i="12"/>
  <c r="AM93" i="12"/>
  <c r="AO93" i="12"/>
  <c r="AP93" i="12"/>
  <c r="AS93" i="12"/>
  <c r="AT93" i="12"/>
  <c r="AU93" i="12"/>
  <c r="AV93" i="12"/>
  <c r="AW93" i="12"/>
  <c r="AX93" i="12"/>
  <c r="AY93" i="12"/>
  <c r="BA93" i="12"/>
  <c r="BB93" i="12"/>
  <c r="BC93" i="12"/>
  <c r="BD93" i="12"/>
  <c r="BE93" i="12"/>
  <c r="F94" i="12"/>
  <c r="G94" i="12"/>
  <c r="H94" i="12"/>
  <c r="I94" i="12"/>
  <c r="AJ94" i="12"/>
  <c r="AK94" i="12"/>
  <c r="AL94" i="12"/>
  <c r="AM94" i="12"/>
  <c r="BC94" i="12" s="1"/>
  <c r="AO94" i="12"/>
  <c r="AP94" i="12"/>
  <c r="AR94" i="12"/>
  <c r="AS94" i="12"/>
  <c r="AT94" i="12"/>
  <c r="AU94" i="12"/>
  <c r="AV94" i="12"/>
  <c r="AW94" i="12"/>
  <c r="AX94" i="12"/>
  <c r="AY94" i="12"/>
  <c r="BA94" i="12"/>
  <c r="BB94" i="12"/>
  <c r="BD94" i="12"/>
  <c r="BE94" i="12"/>
  <c r="F95" i="12"/>
  <c r="AQ95" i="12" s="1"/>
  <c r="G95" i="12"/>
  <c r="H95" i="12"/>
  <c r="I95" i="12"/>
  <c r="AJ95" i="12"/>
  <c r="AK95" i="12"/>
  <c r="AL95" i="12"/>
  <c r="AM95" i="12"/>
  <c r="BC95" i="12" s="1"/>
  <c r="AO95" i="12"/>
  <c r="AP95" i="12"/>
  <c r="AR95" i="12"/>
  <c r="AS95" i="12"/>
  <c r="AT95" i="12"/>
  <c r="AU95" i="12"/>
  <c r="AV95" i="12"/>
  <c r="AW95" i="12"/>
  <c r="AX95" i="12"/>
  <c r="AY95" i="12"/>
  <c r="AZ95" i="12"/>
  <c r="BA95" i="12"/>
  <c r="BB95" i="12"/>
  <c r="BD95" i="12"/>
  <c r="BE95" i="12"/>
  <c r="F96" i="12"/>
  <c r="G96" i="12"/>
  <c r="H96" i="12"/>
  <c r="AR96" i="12" s="1"/>
  <c r="I96" i="12"/>
  <c r="AJ96" i="12"/>
  <c r="AK96" i="12"/>
  <c r="AL96" i="12"/>
  <c r="BC96" i="12" s="1"/>
  <c r="AM96" i="12"/>
  <c r="AO96" i="12"/>
  <c r="AP96" i="12"/>
  <c r="AQ96" i="12"/>
  <c r="AS96" i="12"/>
  <c r="AT96" i="12"/>
  <c r="AU96" i="12"/>
  <c r="AV96" i="12"/>
  <c r="AW96" i="12"/>
  <c r="AX96" i="12"/>
  <c r="AY96" i="12"/>
  <c r="AZ96" i="12"/>
  <c r="BA96" i="12"/>
  <c r="BB96" i="12"/>
  <c r="BD96" i="12"/>
  <c r="BE96" i="12"/>
  <c r="F97" i="12"/>
  <c r="G97" i="12"/>
  <c r="AQ97" i="12" s="1"/>
  <c r="H97" i="12"/>
  <c r="AR97" i="12" s="1"/>
  <c r="I97" i="12"/>
  <c r="AJ97" i="12"/>
  <c r="AK97" i="12"/>
  <c r="AZ97" i="12" s="1"/>
  <c r="AL97" i="12"/>
  <c r="AM97" i="12"/>
  <c r="AO97" i="12"/>
  <c r="AP97" i="12"/>
  <c r="AS97" i="12"/>
  <c r="AT97" i="12"/>
  <c r="AU97" i="12"/>
  <c r="AV97" i="12"/>
  <c r="AW97" i="12"/>
  <c r="AX97" i="12"/>
  <c r="AY97" i="12"/>
  <c r="BA97" i="12"/>
  <c r="BB97" i="12"/>
  <c r="BC97" i="12"/>
  <c r="BD97" i="12"/>
  <c r="BE97" i="12"/>
  <c r="F98" i="12"/>
  <c r="G98" i="12"/>
  <c r="H98" i="12"/>
  <c r="I98" i="12"/>
  <c r="AJ98" i="12"/>
  <c r="AK98" i="12"/>
  <c r="AL98" i="12"/>
  <c r="AM98" i="12"/>
  <c r="BC98" i="12" s="1"/>
  <c r="AO98" i="12"/>
  <c r="AP98" i="12"/>
  <c r="AR98" i="12"/>
  <c r="AS98" i="12"/>
  <c r="AT98" i="12"/>
  <c r="AU98" i="12"/>
  <c r="AV98" i="12"/>
  <c r="AW98" i="12"/>
  <c r="AX98" i="12"/>
  <c r="AY98" i="12"/>
  <c r="BA98" i="12"/>
  <c r="BB98" i="12"/>
  <c r="BD98" i="12"/>
  <c r="BE98" i="12"/>
  <c r="F99" i="12"/>
  <c r="AQ99" i="12" s="1"/>
  <c r="G99" i="12"/>
  <c r="H99" i="12"/>
  <c r="I99" i="12"/>
  <c r="AJ99" i="12"/>
  <c r="AK99" i="12"/>
  <c r="AL99" i="12"/>
  <c r="AM99" i="12"/>
  <c r="BC99" i="12" s="1"/>
  <c r="AO99" i="12"/>
  <c r="AP99" i="12"/>
  <c r="AR99" i="12"/>
  <c r="AS99" i="12"/>
  <c r="AT99" i="12"/>
  <c r="AU99" i="12"/>
  <c r="AV99" i="12"/>
  <c r="AW99" i="12"/>
  <c r="AX99" i="12"/>
  <c r="AY99" i="12"/>
  <c r="AZ99" i="12"/>
  <c r="BA99" i="12"/>
  <c r="BB99" i="12"/>
  <c r="BD99" i="12"/>
  <c r="BE99" i="12"/>
  <c r="F100" i="12"/>
  <c r="G100" i="12"/>
  <c r="H100" i="12"/>
  <c r="AR100" i="12" s="1"/>
  <c r="I100" i="12"/>
  <c r="AJ100" i="12"/>
  <c r="AK100" i="12"/>
  <c r="AL100" i="12"/>
  <c r="BC100" i="12" s="1"/>
  <c r="AM100" i="12"/>
  <c r="AO100" i="12"/>
  <c r="AP100" i="12"/>
  <c r="AQ100" i="12"/>
  <c r="AS100" i="12"/>
  <c r="AT100" i="12"/>
  <c r="AU100" i="12"/>
  <c r="AV100" i="12"/>
  <c r="AW100" i="12"/>
  <c r="AX100" i="12"/>
  <c r="AY100" i="12"/>
  <c r="AZ100" i="12"/>
  <c r="BA100" i="12"/>
  <c r="BB100" i="12"/>
  <c r="BD100" i="12"/>
  <c r="BE100" i="12"/>
  <c r="F101" i="12"/>
  <c r="G101" i="12"/>
  <c r="AQ101" i="12" s="1"/>
  <c r="H101" i="12"/>
  <c r="AR101" i="12" s="1"/>
  <c r="I101" i="12"/>
  <c r="AJ101" i="12"/>
  <c r="AK101" i="12"/>
  <c r="AL101" i="12"/>
  <c r="AM101" i="12"/>
  <c r="AO101" i="12"/>
  <c r="AP101" i="12"/>
  <c r="AS101" i="12"/>
  <c r="AT101" i="12"/>
  <c r="AU101" i="12"/>
  <c r="AV101" i="12"/>
  <c r="AW101" i="12"/>
  <c r="AX101" i="12"/>
  <c r="AY101" i="12"/>
  <c r="AZ101" i="12"/>
  <c r="BA101" i="12"/>
  <c r="BB101" i="12"/>
  <c r="BC101" i="12"/>
  <c r="BD101" i="12"/>
  <c r="BE101" i="12"/>
  <c r="F102" i="12"/>
  <c r="AQ102" i="12" s="1"/>
  <c r="G102" i="12"/>
  <c r="H102" i="12"/>
  <c r="AR102" i="12" s="1"/>
  <c r="I102" i="12"/>
  <c r="AJ102" i="12"/>
  <c r="AK102" i="12"/>
  <c r="AL102" i="12"/>
  <c r="AM102" i="12"/>
  <c r="AO102" i="12"/>
  <c r="AP102" i="12"/>
  <c r="AS102" i="12"/>
  <c r="AT102" i="12"/>
  <c r="AU102" i="12"/>
  <c r="AV102" i="12"/>
  <c r="AW102" i="12"/>
  <c r="AX102" i="12"/>
  <c r="AY102" i="12"/>
  <c r="BA102" i="12"/>
  <c r="BB102" i="12"/>
  <c r="BC102" i="12"/>
  <c r="BD102" i="12"/>
  <c r="BE102" i="12"/>
  <c r="F103" i="12"/>
  <c r="G103" i="12"/>
  <c r="AQ103" i="12" s="1"/>
  <c r="H103" i="12"/>
  <c r="I103" i="12"/>
  <c r="AR103" i="12" s="1"/>
  <c r="AJ103" i="12"/>
  <c r="AK103" i="12"/>
  <c r="AZ103" i="12" s="1"/>
  <c r="AL103" i="12"/>
  <c r="AM103" i="12"/>
  <c r="BC103" i="12" s="1"/>
  <c r="AO103" i="12"/>
  <c r="AP103" i="12"/>
  <c r="AS103" i="12"/>
  <c r="AT103" i="12"/>
  <c r="AU103" i="12"/>
  <c r="AV103" i="12"/>
  <c r="AW103" i="12"/>
  <c r="AX103" i="12"/>
  <c r="AY103" i="12"/>
  <c r="BA103" i="12"/>
  <c r="BB103" i="12"/>
  <c r="BD103" i="12"/>
  <c r="BE103" i="12"/>
  <c r="F104" i="12"/>
  <c r="G104" i="12"/>
  <c r="H104" i="12"/>
  <c r="AR104" i="12" s="1"/>
  <c r="I104" i="12"/>
  <c r="AJ104" i="12"/>
  <c r="AZ104" i="12" s="1"/>
  <c r="AK104" i="12"/>
  <c r="AL104" i="12"/>
  <c r="BC104" i="12" s="1"/>
  <c r="AM104" i="12"/>
  <c r="AO104" i="12"/>
  <c r="AP104" i="12"/>
  <c r="AQ104" i="12"/>
  <c r="AS104" i="12"/>
  <c r="AT104" i="12"/>
  <c r="AU104" i="12"/>
  <c r="AV104" i="12"/>
  <c r="AW104" i="12"/>
  <c r="AX104" i="12"/>
  <c r="AY104" i="12"/>
  <c r="BA104" i="12"/>
  <c r="BB104" i="12"/>
  <c r="BD104" i="12"/>
  <c r="BE104" i="12"/>
  <c r="F105" i="12"/>
  <c r="G105" i="12"/>
  <c r="AQ105" i="12" s="1"/>
  <c r="H105" i="12"/>
  <c r="I105" i="12"/>
  <c r="AR105" i="12" s="1"/>
  <c r="AJ105" i="12"/>
  <c r="AK105" i="12"/>
  <c r="AL105" i="12"/>
  <c r="AM105" i="12"/>
  <c r="BC105" i="12" s="1"/>
  <c r="AO105" i="12"/>
  <c r="AP105" i="12"/>
  <c r="AS105" i="12"/>
  <c r="AT105" i="12"/>
  <c r="AU105" i="12"/>
  <c r="AV105" i="12"/>
  <c r="AW105" i="12"/>
  <c r="AX105" i="12"/>
  <c r="AY105" i="12"/>
  <c r="AZ105" i="12"/>
  <c r="BA105" i="12"/>
  <c r="BB105" i="12"/>
  <c r="BD105" i="12"/>
  <c r="BE105" i="12"/>
  <c r="F106" i="12"/>
  <c r="AQ106" i="12" s="1"/>
  <c r="G106" i="12"/>
  <c r="H106" i="12"/>
  <c r="AR106" i="12" s="1"/>
  <c r="I106" i="12"/>
  <c r="AJ106" i="12"/>
  <c r="AK106" i="12"/>
  <c r="AL106" i="12"/>
  <c r="AM106" i="12"/>
  <c r="AO106" i="12"/>
  <c r="AP106" i="12"/>
  <c r="AS106" i="12"/>
  <c r="AT106" i="12"/>
  <c r="AU106" i="12"/>
  <c r="AV106" i="12"/>
  <c r="AW106" i="12"/>
  <c r="AX106" i="12"/>
  <c r="AY106" i="12"/>
  <c r="BA106" i="12"/>
  <c r="BB106" i="12"/>
  <c r="BC106" i="12"/>
  <c r="BD106" i="12"/>
  <c r="BE106" i="12"/>
  <c r="F107" i="12"/>
  <c r="G107" i="12"/>
  <c r="AQ107" i="12" s="1"/>
  <c r="H107" i="12"/>
  <c r="I107" i="12"/>
  <c r="AR107" i="12" s="1"/>
  <c r="AJ107" i="12"/>
  <c r="AK107" i="12"/>
  <c r="AZ107" i="12" s="1"/>
  <c r="AL107" i="12"/>
  <c r="AM107" i="12"/>
  <c r="BC107" i="12" s="1"/>
  <c r="AO107" i="12"/>
  <c r="AP107" i="12"/>
  <c r="AS107" i="12"/>
  <c r="AT107" i="12"/>
  <c r="AU107" i="12"/>
  <c r="AV107" i="12"/>
  <c r="AW107" i="12"/>
  <c r="AX107" i="12"/>
  <c r="AY107" i="12"/>
  <c r="BA107" i="12"/>
  <c r="BB107" i="12"/>
  <c r="BD107" i="12"/>
  <c r="BE107" i="12"/>
  <c r="F108" i="12"/>
  <c r="G108" i="12"/>
  <c r="H108" i="12"/>
  <c r="AR108" i="12" s="1"/>
  <c r="I108" i="12"/>
  <c r="AJ108" i="12"/>
  <c r="AZ108" i="12" s="1"/>
  <c r="AK108" i="12"/>
  <c r="AL108" i="12"/>
  <c r="BC108" i="12" s="1"/>
  <c r="AM108" i="12"/>
  <c r="AO108" i="12"/>
  <c r="AP108" i="12"/>
  <c r="AQ108" i="12"/>
  <c r="AS108" i="12"/>
  <c r="AT108" i="12"/>
  <c r="AU108" i="12"/>
  <c r="AV108" i="12"/>
  <c r="AW108" i="12"/>
  <c r="AX108" i="12"/>
  <c r="AY108" i="12"/>
  <c r="BA108" i="12"/>
  <c r="BB108" i="12"/>
  <c r="BD108" i="12"/>
  <c r="BE108" i="12"/>
  <c r="F109" i="12"/>
  <c r="G109" i="12"/>
  <c r="AQ109" i="12" s="1"/>
  <c r="H109" i="12"/>
  <c r="I109" i="12"/>
  <c r="AR109" i="12" s="1"/>
  <c r="AJ109" i="12"/>
  <c r="AK109" i="12"/>
  <c r="AZ109" i="12" s="1"/>
  <c r="AL109" i="12"/>
  <c r="AM109" i="12"/>
  <c r="BC109" i="12" s="1"/>
  <c r="AO109" i="12"/>
  <c r="AP109" i="12"/>
  <c r="AS109" i="12"/>
  <c r="AT109" i="12"/>
  <c r="AU109" i="12"/>
  <c r="AV109" i="12"/>
  <c r="AW109" i="12"/>
  <c r="AX109" i="12"/>
  <c r="AY109" i="12"/>
  <c r="BA109" i="12"/>
  <c r="BB109" i="12"/>
  <c r="BD109" i="12"/>
  <c r="BE109" i="12"/>
  <c r="F110" i="12"/>
  <c r="AQ110" i="12" s="1"/>
  <c r="G110" i="12"/>
  <c r="H110" i="12"/>
  <c r="AR110" i="12" s="1"/>
  <c r="I110" i="12"/>
  <c r="AJ110" i="12"/>
  <c r="AK110" i="12"/>
  <c r="AL110" i="12"/>
  <c r="AM110" i="12"/>
  <c r="AO110" i="12"/>
  <c r="AP110" i="12"/>
  <c r="AS110" i="12"/>
  <c r="AT110" i="12"/>
  <c r="AU110" i="12"/>
  <c r="AV110" i="12"/>
  <c r="AW110" i="12"/>
  <c r="AX110" i="12"/>
  <c r="AY110" i="12"/>
  <c r="BA110" i="12"/>
  <c r="BB110" i="12"/>
  <c r="BC110" i="12"/>
  <c r="BD110" i="12"/>
  <c r="BE110" i="12"/>
  <c r="F111" i="12"/>
  <c r="G111" i="12"/>
  <c r="AQ111" i="12" s="1"/>
  <c r="H111" i="12"/>
  <c r="I111" i="12"/>
  <c r="AR111" i="12" s="1"/>
  <c r="AJ111" i="12"/>
  <c r="AK111" i="12"/>
  <c r="AZ111" i="12" s="1"/>
  <c r="AL111" i="12"/>
  <c r="AM111" i="12"/>
  <c r="BC111" i="12" s="1"/>
  <c r="AO111" i="12"/>
  <c r="AP111" i="12"/>
  <c r="AS111" i="12"/>
  <c r="AT111" i="12"/>
  <c r="AU111" i="12"/>
  <c r="AV111" i="12"/>
  <c r="AW111" i="12"/>
  <c r="AX111" i="12"/>
  <c r="AY111" i="12"/>
  <c r="BA111" i="12"/>
  <c r="BB111" i="12"/>
  <c r="BD111" i="12"/>
  <c r="BE111" i="12"/>
  <c r="F112" i="12"/>
  <c r="G112" i="12"/>
  <c r="H112" i="12"/>
  <c r="AR112" i="12" s="1"/>
  <c r="I112" i="12"/>
  <c r="AJ112" i="12"/>
  <c r="AZ112" i="12" s="1"/>
  <c r="AK112" i="12"/>
  <c r="AL112" i="12"/>
  <c r="BC112" i="12" s="1"/>
  <c r="AM112" i="12"/>
  <c r="AO112" i="12"/>
  <c r="AP112" i="12"/>
  <c r="AQ112" i="12"/>
  <c r="AS112" i="12"/>
  <c r="AT112" i="12"/>
  <c r="AU112" i="12"/>
  <c r="AV112" i="12"/>
  <c r="AW112" i="12"/>
  <c r="AX112" i="12"/>
  <c r="AY112" i="12"/>
  <c r="BA112" i="12"/>
  <c r="BB112" i="12"/>
  <c r="BD112" i="12"/>
  <c r="BE112" i="12"/>
  <c r="F113" i="12"/>
  <c r="G113" i="12"/>
  <c r="AQ113" i="12" s="1"/>
  <c r="H113" i="12"/>
  <c r="I113" i="12"/>
  <c r="AR113" i="12" s="1"/>
  <c r="AJ113" i="12"/>
  <c r="AK113" i="12"/>
  <c r="AZ113" i="12" s="1"/>
  <c r="AL113" i="12"/>
  <c r="AM113" i="12"/>
  <c r="BC113" i="12" s="1"/>
  <c r="AO113" i="12"/>
  <c r="AP113" i="12"/>
  <c r="AS113" i="12"/>
  <c r="AT113" i="12"/>
  <c r="AU113" i="12"/>
  <c r="AV113" i="12"/>
  <c r="AW113" i="12"/>
  <c r="AX113" i="12"/>
  <c r="AY113" i="12"/>
  <c r="BA113" i="12"/>
  <c r="BB113" i="12"/>
  <c r="BD113" i="12"/>
  <c r="BE113" i="12"/>
  <c r="F114" i="12"/>
  <c r="AQ114" i="12" s="1"/>
  <c r="G114" i="12"/>
  <c r="H114" i="12"/>
  <c r="AR114" i="12" s="1"/>
  <c r="I114" i="12"/>
  <c r="AJ114" i="12"/>
  <c r="AK114" i="12"/>
  <c r="AL114" i="12"/>
  <c r="AM114" i="12"/>
  <c r="AO114" i="12"/>
  <c r="AP114" i="12"/>
  <c r="AS114" i="12"/>
  <c r="AT114" i="12"/>
  <c r="AU114" i="12"/>
  <c r="AV114" i="12"/>
  <c r="AW114" i="12"/>
  <c r="AX114" i="12"/>
  <c r="AY114" i="12"/>
  <c r="BA114" i="12"/>
  <c r="BB114" i="12"/>
  <c r="BC114" i="12"/>
  <c r="BD114" i="12"/>
  <c r="BE114" i="12"/>
  <c r="F115" i="12"/>
  <c r="G115" i="12"/>
  <c r="AQ115" i="12" s="1"/>
  <c r="H115" i="12"/>
  <c r="I115" i="12"/>
  <c r="AR115" i="12" s="1"/>
  <c r="AJ115" i="12"/>
  <c r="AK115" i="12"/>
  <c r="AZ115" i="12" s="1"/>
  <c r="AL115" i="12"/>
  <c r="AM115" i="12"/>
  <c r="BC115" i="12" s="1"/>
  <c r="AO115" i="12"/>
  <c r="AP115" i="12"/>
  <c r="AS115" i="12"/>
  <c r="AT115" i="12"/>
  <c r="AU115" i="12"/>
  <c r="AV115" i="12"/>
  <c r="AW115" i="12"/>
  <c r="AX115" i="12"/>
  <c r="AY115" i="12"/>
  <c r="BA115" i="12"/>
  <c r="BB115" i="12"/>
  <c r="BD115" i="12"/>
  <c r="BE115" i="12"/>
  <c r="F116" i="12"/>
  <c r="G116" i="12"/>
  <c r="H116" i="12"/>
  <c r="AR116" i="12" s="1"/>
  <c r="I116" i="12"/>
  <c r="AJ116" i="12"/>
  <c r="AZ116" i="12" s="1"/>
  <c r="AK116" i="12"/>
  <c r="AL116" i="12"/>
  <c r="BC116" i="12" s="1"/>
  <c r="AM116" i="12"/>
  <c r="AO116" i="12"/>
  <c r="AP116" i="12"/>
  <c r="AQ116" i="12"/>
  <c r="AS116" i="12"/>
  <c r="AT116" i="12"/>
  <c r="AU116" i="12"/>
  <c r="AV116" i="12"/>
  <c r="AW116" i="12"/>
  <c r="AX116" i="12"/>
  <c r="AY116" i="12"/>
  <c r="BA116" i="12"/>
  <c r="BB116" i="12"/>
  <c r="BD116" i="12"/>
  <c r="BE116" i="12"/>
  <c r="F117" i="12"/>
  <c r="G117" i="12"/>
  <c r="AQ117" i="12" s="1"/>
  <c r="H117" i="12"/>
  <c r="I117" i="12"/>
  <c r="AR117" i="12" s="1"/>
  <c r="AJ117" i="12"/>
  <c r="AK117" i="12"/>
  <c r="AZ117" i="12" s="1"/>
  <c r="AL117" i="12"/>
  <c r="AM117" i="12"/>
  <c r="BC117" i="12" s="1"/>
  <c r="AO117" i="12"/>
  <c r="AP117" i="12"/>
  <c r="AS117" i="12"/>
  <c r="AT117" i="12"/>
  <c r="AU117" i="12"/>
  <c r="AV117" i="12"/>
  <c r="AW117" i="12"/>
  <c r="AX117" i="12"/>
  <c r="AY117" i="12"/>
  <c r="BA117" i="12"/>
  <c r="BB117" i="12"/>
  <c r="BD117" i="12"/>
  <c r="BE117" i="12"/>
  <c r="F118" i="12"/>
  <c r="AQ118" i="12" s="1"/>
  <c r="G118" i="12"/>
  <c r="H118" i="12"/>
  <c r="AR118" i="12" s="1"/>
  <c r="I118" i="12"/>
  <c r="AJ118" i="12"/>
  <c r="AK118" i="12"/>
  <c r="AL118" i="12"/>
  <c r="AM118" i="12"/>
  <c r="AO118" i="12"/>
  <c r="AP118" i="12"/>
  <c r="AS118" i="12"/>
  <c r="AT118" i="12"/>
  <c r="AU118" i="12"/>
  <c r="AV118" i="12"/>
  <c r="AW118" i="12"/>
  <c r="AX118" i="12"/>
  <c r="AY118" i="12"/>
  <c r="BA118" i="12"/>
  <c r="BB118" i="12"/>
  <c r="BC118" i="12"/>
  <c r="BD118" i="12"/>
  <c r="BE118" i="12"/>
  <c r="F119" i="12"/>
  <c r="G119" i="12"/>
  <c r="AQ119" i="12" s="1"/>
  <c r="H119" i="12"/>
  <c r="I119" i="12"/>
  <c r="AR119" i="12" s="1"/>
  <c r="AJ119" i="12"/>
  <c r="AK119" i="12"/>
  <c r="AZ119" i="12" s="1"/>
  <c r="AL119" i="12"/>
  <c r="AM119" i="12"/>
  <c r="BC119" i="12" s="1"/>
  <c r="AO119" i="12"/>
  <c r="AP119" i="12"/>
  <c r="AS119" i="12"/>
  <c r="AT119" i="12"/>
  <c r="AU119" i="12"/>
  <c r="AV119" i="12"/>
  <c r="AW119" i="12"/>
  <c r="AX119" i="12"/>
  <c r="AY119" i="12"/>
  <c r="BA119" i="12"/>
  <c r="BB119" i="12"/>
  <c r="BD119" i="12"/>
  <c r="BE119" i="12"/>
  <c r="F120" i="12"/>
  <c r="G120" i="12"/>
  <c r="H120" i="12"/>
  <c r="AR120" i="12" s="1"/>
  <c r="I120" i="12"/>
  <c r="AJ120" i="12"/>
  <c r="AZ120" i="12" s="1"/>
  <c r="AK120" i="12"/>
  <c r="AL120" i="12"/>
  <c r="BC120" i="12" s="1"/>
  <c r="AM120" i="12"/>
  <c r="AO120" i="12"/>
  <c r="AP120" i="12"/>
  <c r="AQ120" i="12"/>
  <c r="AS120" i="12"/>
  <c r="AT120" i="12"/>
  <c r="AU120" i="12"/>
  <c r="AV120" i="12"/>
  <c r="AW120" i="12"/>
  <c r="AX120" i="12"/>
  <c r="AY120" i="12"/>
  <c r="BA120" i="12"/>
  <c r="BB120" i="12"/>
  <c r="BD120" i="12"/>
  <c r="BE120" i="12"/>
  <c r="F121" i="12"/>
  <c r="G121" i="12"/>
  <c r="AQ121" i="12" s="1"/>
  <c r="H121" i="12"/>
  <c r="I121" i="12"/>
  <c r="AR121" i="12" s="1"/>
  <c r="AJ121" i="12"/>
  <c r="AK121" i="12"/>
  <c r="AZ121" i="12" s="1"/>
  <c r="AL121" i="12"/>
  <c r="AM121" i="12"/>
  <c r="BC121" i="12" s="1"/>
  <c r="AO121" i="12"/>
  <c r="AP121" i="12"/>
  <c r="AS121" i="12"/>
  <c r="AT121" i="12"/>
  <c r="AU121" i="12"/>
  <c r="AV121" i="12"/>
  <c r="AW121" i="12"/>
  <c r="AX121" i="12"/>
  <c r="AY121" i="12"/>
  <c r="BA121" i="12"/>
  <c r="BB121" i="12"/>
  <c r="BD121" i="12"/>
  <c r="BE121" i="12"/>
  <c r="F122" i="12"/>
  <c r="AQ122" i="12" s="1"/>
  <c r="G122" i="12"/>
  <c r="H122" i="12"/>
  <c r="AR122" i="12" s="1"/>
  <c r="I122" i="12"/>
  <c r="AJ122" i="12"/>
  <c r="AK122" i="12"/>
  <c r="AL122" i="12"/>
  <c r="AM122" i="12"/>
  <c r="AO122" i="12"/>
  <c r="AP122" i="12"/>
  <c r="AS122" i="12"/>
  <c r="AT122" i="12"/>
  <c r="AU122" i="12"/>
  <c r="AV122" i="12"/>
  <c r="AW122" i="12"/>
  <c r="AX122" i="12"/>
  <c r="AY122" i="12"/>
  <c r="BA122" i="12"/>
  <c r="BB122" i="12"/>
  <c r="BC122" i="12"/>
  <c r="BD122" i="12"/>
  <c r="BE122" i="12"/>
  <c r="F123" i="12"/>
  <c r="G123" i="12"/>
  <c r="AQ123" i="12" s="1"/>
  <c r="H123" i="12"/>
  <c r="I123" i="12"/>
  <c r="AR123" i="12" s="1"/>
  <c r="AJ123" i="12"/>
  <c r="AK123" i="12"/>
  <c r="AZ123" i="12" s="1"/>
  <c r="AL123" i="12"/>
  <c r="AM123" i="12"/>
  <c r="BC123" i="12" s="1"/>
  <c r="AO123" i="12"/>
  <c r="AP123" i="12"/>
  <c r="AS123" i="12"/>
  <c r="AT123" i="12"/>
  <c r="AU123" i="12"/>
  <c r="AV123" i="12"/>
  <c r="AW123" i="12"/>
  <c r="AX123" i="12"/>
  <c r="AY123" i="12"/>
  <c r="BA123" i="12"/>
  <c r="BB123" i="12"/>
  <c r="BD123" i="12"/>
  <c r="BE123" i="12"/>
  <c r="F124" i="12"/>
  <c r="G124" i="12"/>
  <c r="H124" i="12"/>
  <c r="AR124" i="12" s="1"/>
  <c r="I124" i="12"/>
  <c r="AJ124" i="12"/>
  <c r="AZ124" i="12" s="1"/>
  <c r="AK124" i="12"/>
  <c r="AL124" i="12"/>
  <c r="BC124" i="12" s="1"/>
  <c r="AM124" i="12"/>
  <c r="AO124" i="12"/>
  <c r="AP124" i="12"/>
  <c r="AQ124" i="12"/>
  <c r="AS124" i="12"/>
  <c r="AT124" i="12"/>
  <c r="AU124" i="12"/>
  <c r="AV124" i="12"/>
  <c r="AW124" i="12"/>
  <c r="AX124" i="12"/>
  <c r="AY124" i="12"/>
  <c r="BA124" i="12"/>
  <c r="BB124" i="12"/>
  <c r="BD124" i="12"/>
  <c r="BE124" i="12"/>
  <c r="F125" i="12"/>
  <c r="G125" i="12"/>
  <c r="AQ125" i="12" s="1"/>
  <c r="H125" i="12"/>
  <c r="I125" i="12"/>
  <c r="AR125" i="12" s="1"/>
  <c r="AJ125" i="12"/>
  <c r="AK125" i="12"/>
  <c r="AZ125" i="12" s="1"/>
  <c r="AL125" i="12"/>
  <c r="AM125" i="12"/>
  <c r="BC125" i="12" s="1"/>
  <c r="AO125" i="12"/>
  <c r="AP125" i="12"/>
  <c r="AS125" i="12"/>
  <c r="AT125" i="12"/>
  <c r="AU125" i="12"/>
  <c r="AV125" i="12"/>
  <c r="AW125" i="12"/>
  <c r="AX125" i="12"/>
  <c r="AY125" i="12"/>
  <c r="BA125" i="12"/>
  <c r="BB125" i="12"/>
  <c r="BD125" i="12"/>
  <c r="BE125" i="12"/>
  <c r="F126" i="12"/>
  <c r="AQ126" i="12" s="1"/>
  <c r="G126" i="12"/>
  <c r="H126" i="12"/>
  <c r="AR126" i="12" s="1"/>
  <c r="I126" i="12"/>
  <c r="AJ126" i="12"/>
  <c r="AK126" i="12"/>
  <c r="AL126" i="12"/>
  <c r="AM126" i="12"/>
  <c r="AO126" i="12"/>
  <c r="AP126" i="12"/>
  <c r="AS126" i="12"/>
  <c r="AT126" i="12"/>
  <c r="AU126" i="12"/>
  <c r="AV126" i="12"/>
  <c r="AW126" i="12"/>
  <c r="AX126" i="12"/>
  <c r="AY126" i="12"/>
  <c r="BA126" i="12"/>
  <c r="BB126" i="12"/>
  <c r="BC126" i="12"/>
  <c r="BD126" i="12"/>
  <c r="BE126" i="12"/>
  <c r="F127" i="12"/>
  <c r="G127" i="12"/>
  <c r="AQ127" i="12" s="1"/>
  <c r="H127" i="12"/>
  <c r="I127" i="12"/>
  <c r="AR127" i="12" s="1"/>
  <c r="AJ127" i="12"/>
  <c r="AK127" i="12"/>
  <c r="AZ127" i="12" s="1"/>
  <c r="AL127" i="12"/>
  <c r="AM127" i="12"/>
  <c r="AO127" i="12"/>
  <c r="AP127" i="12"/>
  <c r="AS127" i="12"/>
  <c r="AT127" i="12"/>
  <c r="AU127" i="12"/>
  <c r="AV127" i="12"/>
  <c r="AW127" i="12"/>
  <c r="AX127" i="12"/>
  <c r="AY127" i="12"/>
  <c r="BA127" i="12"/>
  <c r="BB127" i="12"/>
  <c r="BC127" i="12"/>
  <c r="BD127" i="12"/>
  <c r="BE127" i="12"/>
  <c r="F128" i="12"/>
  <c r="G128" i="12"/>
  <c r="AQ128" i="12" s="1"/>
  <c r="H128" i="12"/>
  <c r="I128" i="12"/>
  <c r="AJ128" i="12"/>
  <c r="AK128" i="12"/>
  <c r="AZ128" i="12" s="1"/>
  <c r="AL128" i="12"/>
  <c r="AM128" i="12"/>
  <c r="BC128" i="12" s="1"/>
  <c r="AO128" i="12"/>
  <c r="AP128" i="12"/>
  <c r="AR128" i="12"/>
  <c r="AS128" i="12"/>
  <c r="AT128" i="12"/>
  <c r="AU128" i="12"/>
  <c r="AV128" i="12"/>
  <c r="AW128" i="12"/>
  <c r="AX128" i="12"/>
  <c r="AY128" i="12"/>
  <c r="BA128" i="12"/>
  <c r="BB128" i="12"/>
  <c r="BD128" i="12"/>
  <c r="BE128" i="12"/>
  <c r="F129" i="12"/>
  <c r="AQ129" i="12" s="1"/>
  <c r="G129" i="12"/>
  <c r="H129" i="12"/>
  <c r="AR129" i="12" s="1"/>
  <c r="I129" i="12"/>
  <c r="AJ129" i="12"/>
  <c r="AZ129" i="12" s="1"/>
  <c r="AK129" i="12"/>
  <c r="AL129" i="12"/>
  <c r="AM129" i="12"/>
  <c r="AO129" i="12"/>
  <c r="AP129" i="12"/>
  <c r="AS129" i="12"/>
  <c r="AT129" i="12"/>
  <c r="AU129" i="12"/>
  <c r="AV129" i="12"/>
  <c r="AW129" i="12"/>
  <c r="AX129" i="12"/>
  <c r="AY129" i="12"/>
  <c r="BA129" i="12"/>
  <c r="BB129" i="12"/>
  <c r="BC129" i="12"/>
  <c r="BD129" i="12"/>
  <c r="BE129" i="12"/>
  <c r="F130" i="12"/>
  <c r="G130" i="12"/>
  <c r="AQ130" i="12" s="1"/>
  <c r="H130" i="12"/>
  <c r="I130" i="12"/>
  <c r="AJ130" i="12"/>
  <c r="AK130" i="12"/>
  <c r="AL130" i="12"/>
  <c r="AM130" i="12"/>
  <c r="BC130" i="12" s="1"/>
  <c r="AO130" i="12"/>
  <c r="AP130" i="12"/>
  <c r="AR130" i="12"/>
  <c r="AS130" i="12"/>
  <c r="AT130" i="12"/>
  <c r="AU130" i="12"/>
  <c r="AV130" i="12"/>
  <c r="AW130" i="12"/>
  <c r="AX130" i="12"/>
  <c r="AY130" i="12"/>
  <c r="AZ130" i="12"/>
  <c r="BA130" i="12"/>
  <c r="BB130" i="12"/>
  <c r="BD130" i="12"/>
  <c r="BE130" i="12"/>
  <c r="F131" i="12"/>
  <c r="G131" i="12"/>
  <c r="H131" i="12"/>
  <c r="AR131" i="12" s="1"/>
  <c r="I131" i="12"/>
  <c r="AJ131" i="12"/>
  <c r="AZ131" i="12" s="1"/>
  <c r="AK131" i="12"/>
  <c r="AL131" i="12"/>
  <c r="AM131" i="12"/>
  <c r="AO131" i="12"/>
  <c r="AP131" i="12"/>
  <c r="AQ131" i="12"/>
  <c r="AS131" i="12"/>
  <c r="AT131" i="12"/>
  <c r="AU131" i="12"/>
  <c r="AV131" i="12"/>
  <c r="AW131" i="12"/>
  <c r="AX131" i="12"/>
  <c r="AY131" i="12"/>
  <c r="BA131" i="12"/>
  <c r="BB131" i="12"/>
  <c r="BC131" i="12"/>
  <c r="BD131" i="12"/>
  <c r="BE131" i="12"/>
  <c r="F132" i="12"/>
  <c r="G132" i="12"/>
  <c r="AQ132" i="12" s="1"/>
  <c r="H132" i="12"/>
  <c r="I132" i="12"/>
  <c r="AJ132" i="12"/>
  <c r="AK132" i="12"/>
  <c r="AZ132" i="12" s="1"/>
  <c r="AL132" i="12"/>
  <c r="AM132" i="12"/>
  <c r="BC132" i="12" s="1"/>
  <c r="AO132" i="12"/>
  <c r="AP132" i="12"/>
  <c r="AR132" i="12"/>
  <c r="AS132" i="12"/>
  <c r="AT132" i="12"/>
  <c r="AU132" i="12"/>
  <c r="AV132" i="12"/>
  <c r="AW132" i="12"/>
  <c r="AX132" i="12"/>
  <c r="AY132" i="12"/>
  <c r="BA132" i="12"/>
  <c r="BB132" i="12"/>
  <c r="BD132" i="12"/>
  <c r="BE132" i="12"/>
  <c r="F133" i="12"/>
  <c r="AQ133" i="12" s="1"/>
  <c r="G133" i="12"/>
  <c r="H133" i="12"/>
  <c r="AR133" i="12" s="1"/>
  <c r="I133" i="12"/>
  <c r="AJ133" i="12"/>
  <c r="AK133" i="12"/>
  <c r="AZ133" i="12" s="1"/>
  <c r="AL133" i="12"/>
  <c r="AM133" i="12"/>
  <c r="AO133" i="12"/>
  <c r="AP133" i="12"/>
  <c r="AS133" i="12"/>
  <c r="AT133" i="12"/>
  <c r="AU133" i="12"/>
  <c r="AV133" i="12"/>
  <c r="AW133" i="12"/>
  <c r="AX133" i="12"/>
  <c r="AY133" i="12"/>
  <c r="BA133" i="12"/>
  <c r="BB133" i="12"/>
  <c r="BC133" i="12"/>
  <c r="BD133" i="12"/>
  <c r="BE133" i="12"/>
  <c r="F134" i="12"/>
  <c r="G134" i="12"/>
  <c r="AQ134" i="12" s="1"/>
  <c r="H134" i="12"/>
  <c r="I134" i="12"/>
  <c r="AJ134" i="12"/>
  <c r="AK134" i="12"/>
  <c r="AL134" i="12"/>
  <c r="AM134" i="12"/>
  <c r="BC134" i="12" s="1"/>
  <c r="AO134" i="12"/>
  <c r="AP134" i="12"/>
  <c r="AR134" i="12"/>
  <c r="AS134" i="12"/>
  <c r="AT134" i="12"/>
  <c r="AU134" i="12"/>
  <c r="AV134" i="12"/>
  <c r="AW134" i="12"/>
  <c r="AX134" i="12"/>
  <c r="AY134" i="12"/>
  <c r="AZ134" i="12"/>
  <c r="BA134" i="12"/>
  <c r="BB134" i="12"/>
  <c r="BD134" i="12"/>
  <c r="BE134" i="12"/>
  <c r="F135" i="12"/>
  <c r="G135" i="12"/>
  <c r="H135" i="12"/>
  <c r="AR135" i="12" s="1"/>
  <c r="I135" i="12"/>
  <c r="AJ135" i="12"/>
  <c r="AZ135" i="12" s="1"/>
  <c r="AK135" i="12"/>
  <c r="AL135" i="12"/>
  <c r="AM135" i="12"/>
  <c r="AO135" i="12"/>
  <c r="AP135" i="12"/>
  <c r="AQ135" i="12"/>
  <c r="AS135" i="12"/>
  <c r="AT135" i="12"/>
  <c r="AU135" i="12"/>
  <c r="AV135" i="12"/>
  <c r="AW135" i="12"/>
  <c r="AX135" i="12"/>
  <c r="AY135" i="12"/>
  <c r="BA135" i="12"/>
  <c r="BB135" i="12"/>
  <c r="BC135" i="12"/>
  <c r="BD135" i="12"/>
  <c r="BE135" i="12"/>
  <c r="F136" i="12"/>
  <c r="G136" i="12"/>
  <c r="AQ136" i="12" s="1"/>
  <c r="H136" i="12"/>
  <c r="I136" i="12"/>
  <c r="AJ136" i="12"/>
  <c r="AK136" i="12"/>
  <c r="AZ136" i="12" s="1"/>
  <c r="AL136" i="12"/>
  <c r="AM136" i="12"/>
  <c r="BC136" i="12" s="1"/>
  <c r="AO136" i="12"/>
  <c r="AP136" i="12"/>
  <c r="AR136" i="12"/>
  <c r="AS136" i="12"/>
  <c r="AT136" i="12"/>
  <c r="AU136" i="12"/>
  <c r="AV136" i="12"/>
  <c r="AW136" i="12"/>
  <c r="AX136" i="12"/>
  <c r="AY136" i="12"/>
  <c r="BA136" i="12"/>
  <c r="BB136" i="12"/>
  <c r="BD136" i="12"/>
  <c r="BE136" i="12"/>
  <c r="F137" i="12"/>
  <c r="AQ137" i="12" s="1"/>
  <c r="G137" i="12"/>
  <c r="H137" i="12"/>
  <c r="AR137" i="12" s="1"/>
  <c r="I137" i="12"/>
  <c r="AJ137" i="12"/>
  <c r="AK137" i="12"/>
  <c r="AZ137" i="12" s="1"/>
  <c r="AL137" i="12"/>
  <c r="AM137" i="12"/>
  <c r="AO137" i="12"/>
  <c r="AP137" i="12"/>
  <c r="AS137" i="12"/>
  <c r="AT137" i="12"/>
  <c r="AU137" i="12"/>
  <c r="AV137" i="12"/>
  <c r="AW137" i="12"/>
  <c r="AX137" i="12"/>
  <c r="AY137" i="12"/>
  <c r="BA137" i="12"/>
  <c r="BB137" i="12"/>
  <c r="BC137" i="12"/>
  <c r="BD137" i="12"/>
  <c r="BE137" i="12"/>
  <c r="F138" i="12"/>
  <c r="G138" i="12"/>
  <c r="AQ138" i="12" s="1"/>
  <c r="H138" i="12"/>
  <c r="I138" i="12"/>
  <c r="AJ138" i="12"/>
  <c r="AK138" i="12"/>
  <c r="AL138" i="12"/>
  <c r="AM138" i="12"/>
  <c r="BC138" i="12" s="1"/>
  <c r="AO138" i="12"/>
  <c r="AP138" i="12"/>
  <c r="AR138" i="12"/>
  <c r="AS138" i="12"/>
  <c r="AT138" i="12"/>
  <c r="AU138" i="12"/>
  <c r="AV138" i="12"/>
  <c r="AW138" i="12"/>
  <c r="AX138" i="12"/>
  <c r="AY138" i="12"/>
  <c r="AZ138" i="12"/>
  <c r="BA138" i="12"/>
  <c r="BB138" i="12"/>
  <c r="BD138" i="12"/>
  <c r="BE138" i="12"/>
  <c r="F139" i="12"/>
  <c r="G139" i="12"/>
  <c r="H139" i="12"/>
  <c r="AR139" i="12" s="1"/>
  <c r="I139" i="12"/>
  <c r="AJ139" i="12"/>
  <c r="AZ139" i="12" s="1"/>
  <c r="AK139" i="12"/>
  <c r="AL139" i="12"/>
  <c r="AM139" i="12"/>
  <c r="AO139" i="12"/>
  <c r="AP139" i="12"/>
  <c r="AQ139" i="12"/>
  <c r="AS139" i="12"/>
  <c r="AT139" i="12"/>
  <c r="AU139" i="12"/>
  <c r="AV139" i="12"/>
  <c r="AW139" i="12"/>
  <c r="AX139" i="12"/>
  <c r="AY139" i="12"/>
  <c r="BA139" i="12"/>
  <c r="BB139" i="12"/>
  <c r="BC139" i="12"/>
  <c r="BD139" i="12"/>
  <c r="BE139" i="12"/>
  <c r="F140" i="12"/>
  <c r="G140" i="12"/>
  <c r="AQ140" i="12" s="1"/>
  <c r="H140" i="12"/>
  <c r="I140" i="12"/>
  <c r="AJ140" i="12"/>
  <c r="AK140" i="12"/>
  <c r="AZ140" i="12" s="1"/>
  <c r="AL140" i="12"/>
  <c r="AM140" i="12"/>
  <c r="BC140" i="12" s="1"/>
  <c r="AO140" i="12"/>
  <c r="AP140" i="12"/>
  <c r="AR140" i="12"/>
  <c r="AS140" i="12"/>
  <c r="AT140" i="12"/>
  <c r="AU140" i="12"/>
  <c r="AV140" i="12"/>
  <c r="AW140" i="12"/>
  <c r="AX140" i="12"/>
  <c r="AY140" i="12"/>
  <c r="BA140" i="12"/>
  <c r="BB140" i="12"/>
  <c r="BD140" i="12"/>
  <c r="BE140" i="12"/>
  <c r="F141" i="12"/>
  <c r="AQ141" i="12" s="1"/>
  <c r="G141" i="12"/>
  <c r="H141" i="12"/>
  <c r="AR141" i="12" s="1"/>
  <c r="I141" i="12"/>
  <c r="AJ141" i="12"/>
  <c r="AK141" i="12"/>
  <c r="AZ141" i="12" s="1"/>
  <c r="AL141" i="12"/>
  <c r="AM141" i="12"/>
  <c r="AO141" i="12"/>
  <c r="AP141" i="12"/>
  <c r="AS141" i="12"/>
  <c r="AT141" i="12"/>
  <c r="AU141" i="12"/>
  <c r="AV141" i="12"/>
  <c r="AW141" i="12"/>
  <c r="AX141" i="12"/>
  <c r="AY141" i="12"/>
  <c r="BA141" i="12"/>
  <c r="BB141" i="12"/>
  <c r="BC141" i="12"/>
  <c r="BD141" i="12"/>
  <c r="BE141" i="12"/>
  <c r="F142" i="12"/>
  <c r="G142" i="12"/>
  <c r="AQ142" i="12" s="1"/>
  <c r="H142" i="12"/>
  <c r="I142" i="12"/>
  <c r="AJ142" i="12"/>
  <c r="AK142" i="12"/>
  <c r="AL142" i="12"/>
  <c r="AM142" i="12"/>
  <c r="BC142" i="12" s="1"/>
  <c r="AO142" i="12"/>
  <c r="AP142" i="12"/>
  <c r="AR142" i="12"/>
  <c r="AS142" i="12"/>
  <c r="AT142" i="12"/>
  <c r="AU142" i="12"/>
  <c r="AV142" i="12"/>
  <c r="AW142" i="12"/>
  <c r="AX142" i="12"/>
  <c r="AY142" i="12"/>
  <c r="AZ142" i="12"/>
  <c r="BA142" i="12"/>
  <c r="BB142" i="12"/>
  <c r="BD142" i="12"/>
  <c r="BE142" i="12"/>
  <c r="F143" i="12"/>
  <c r="G143" i="12"/>
  <c r="H143" i="12"/>
  <c r="AR143" i="12" s="1"/>
  <c r="I143" i="12"/>
  <c r="AJ143" i="12"/>
  <c r="AZ143" i="12" s="1"/>
  <c r="AK143" i="12"/>
  <c r="AL143" i="12"/>
  <c r="AM143" i="12"/>
  <c r="AO143" i="12"/>
  <c r="AP143" i="12"/>
  <c r="AQ143" i="12"/>
  <c r="AS143" i="12"/>
  <c r="AT143" i="12"/>
  <c r="AU143" i="12"/>
  <c r="AV143" i="12"/>
  <c r="AW143" i="12"/>
  <c r="AX143" i="12"/>
  <c r="AY143" i="12"/>
  <c r="BA143" i="12"/>
  <c r="BB143" i="12"/>
  <c r="BC143" i="12"/>
  <c r="BD143" i="12"/>
  <c r="BE143" i="12"/>
  <c r="F144" i="12"/>
  <c r="G144" i="12"/>
  <c r="AQ144" i="12" s="1"/>
  <c r="H144" i="12"/>
  <c r="I144" i="12"/>
  <c r="AJ144" i="12"/>
  <c r="AK144" i="12"/>
  <c r="AZ144" i="12" s="1"/>
  <c r="AL144" i="12"/>
  <c r="AM144" i="12"/>
  <c r="BC144" i="12" s="1"/>
  <c r="AO144" i="12"/>
  <c r="AP144" i="12"/>
  <c r="AR144" i="12"/>
  <c r="AS144" i="12"/>
  <c r="AT144" i="12"/>
  <c r="AU144" i="12"/>
  <c r="AV144" i="12"/>
  <c r="AW144" i="12"/>
  <c r="AX144" i="12"/>
  <c r="AY144" i="12"/>
  <c r="BA144" i="12"/>
  <c r="BB144" i="12"/>
  <c r="BD144" i="12"/>
  <c r="BE144" i="12"/>
  <c r="F145" i="12"/>
  <c r="AQ145" i="12" s="1"/>
  <c r="G145" i="12"/>
  <c r="H145" i="12"/>
  <c r="AR145" i="12" s="1"/>
  <c r="I145" i="12"/>
  <c r="AJ145" i="12"/>
  <c r="AK145" i="12"/>
  <c r="AZ145" i="12" s="1"/>
  <c r="AL145" i="12"/>
  <c r="AM145" i="12"/>
  <c r="AO145" i="12"/>
  <c r="AP145" i="12"/>
  <c r="AS145" i="12"/>
  <c r="AT145" i="12"/>
  <c r="AU145" i="12"/>
  <c r="AV145" i="12"/>
  <c r="AW145" i="12"/>
  <c r="AX145" i="12"/>
  <c r="AY145" i="12"/>
  <c r="BA145" i="12"/>
  <c r="BB145" i="12"/>
  <c r="BC145" i="12"/>
  <c r="BD145" i="12"/>
  <c r="BE145" i="12"/>
  <c r="F146" i="12"/>
  <c r="G146" i="12"/>
  <c r="AQ146" i="12" s="1"/>
  <c r="H146" i="12"/>
  <c r="I146" i="12"/>
  <c r="AJ146" i="12"/>
  <c r="AK146" i="12"/>
  <c r="AL146" i="12"/>
  <c r="AM146" i="12"/>
  <c r="BC146" i="12" s="1"/>
  <c r="AO146" i="12"/>
  <c r="AP146" i="12"/>
  <c r="AR146" i="12"/>
  <c r="AS146" i="12"/>
  <c r="AT146" i="12"/>
  <c r="AU146" i="12"/>
  <c r="AV146" i="12"/>
  <c r="AW146" i="12"/>
  <c r="AX146" i="12"/>
  <c r="AY146" i="12"/>
  <c r="AZ146" i="12"/>
  <c r="BA146" i="12"/>
  <c r="BB146" i="12"/>
  <c r="BD146" i="12"/>
  <c r="BE146" i="12"/>
  <c r="F147" i="12"/>
  <c r="G147" i="12"/>
  <c r="H147" i="12"/>
  <c r="AR147" i="12" s="1"/>
  <c r="I147" i="12"/>
  <c r="AJ147" i="12"/>
  <c r="AZ147" i="12" s="1"/>
  <c r="AK147" i="12"/>
  <c r="AL147" i="12"/>
  <c r="AM147" i="12"/>
  <c r="AO147" i="12"/>
  <c r="AP147" i="12"/>
  <c r="AQ147" i="12"/>
  <c r="AS147" i="12"/>
  <c r="AT147" i="12"/>
  <c r="AU147" i="12"/>
  <c r="AV147" i="12"/>
  <c r="AW147" i="12"/>
  <c r="AX147" i="12"/>
  <c r="AY147" i="12"/>
  <c r="BA147" i="12"/>
  <c r="BB147" i="12"/>
  <c r="BC147" i="12"/>
  <c r="BD147" i="12"/>
  <c r="BE147" i="12"/>
  <c r="F148" i="12"/>
  <c r="G148" i="12"/>
  <c r="AQ148" i="12" s="1"/>
  <c r="H148" i="12"/>
  <c r="I148" i="12"/>
  <c r="AJ148" i="12"/>
  <c r="AK148" i="12"/>
  <c r="AZ148" i="12" s="1"/>
  <c r="AL148" i="12"/>
  <c r="AM148" i="12"/>
  <c r="BC148" i="12" s="1"/>
  <c r="AO148" i="12"/>
  <c r="AP148" i="12"/>
  <c r="AR148" i="12"/>
  <c r="AS148" i="12"/>
  <c r="AT148" i="12"/>
  <c r="AU148" i="12"/>
  <c r="AV148" i="12"/>
  <c r="AW148" i="12"/>
  <c r="AX148" i="12"/>
  <c r="AY148" i="12"/>
  <c r="BA148" i="12"/>
  <c r="BB148" i="12"/>
  <c r="BD148" i="12"/>
  <c r="BE148" i="12"/>
  <c r="F149" i="12"/>
  <c r="AQ149" i="12" s="1"/>
  <c r="G149" i="12"/>
  <c r="H149" i="12"/>
  <c r="AR149" i="12" s="1"/>
  <c r="I149" i="12"/>
  <c r="AJ149" i="12"/>
  <c r="AK149" i="12"/>
  <c r="AZ149" i="12" s="1"/>
  <c r="AL149" i="12"/>
  <c r="AM149" i="12"/>
  <c r="AO149" i="12"/>
  <c r="AP149" i="12"/>
  <c r="AS149" i="12"/>
  <c r="AT149" i="12"/>
  <c r="AU149" i="12"/>
  <c r="AV149" i="12"/>
  <c r="AW149" i="12"/>
  <c r="AX149" i="12"/>
  <c r="AY149" i="12"/>
  <c r="BA149" i="12"/>
  <c r="BB149" i="12"/>
  <c r="BC149" i="12"/>
  <c r="BD149" i="12"/>
  <c r="BE149" i="12"/>
  <c r="F150" i="12"/>
  <c r="G150" i="12"/>
  <c r="AQ150" i="12" s="1"/>
  <c r="H150" i="12"/>
  <c r="I150" i="12"/>
  <c r="AJ150" i="12"/>
  <c r="AK150" i="12"/>
  <c r="AL150" i="12"/>
  <c r="AM150" i="12"/>
  <c r="BC150" i="12" s="1"/>
  <c r="AO150" i="12"/>
  <c r="AP150" i="12"/>
  <c r="AR150" i="12"/>
  <c r="AS150" i="12"/>
  <c r="AT150" i="12"/>
  <c r="AU150" i="12"/>
  <c r="AV150" i="12"/>
  <c r="AW150" i="12"/>
  <c r="AX150" i="12"/>
  <c r="AY150" i="12"/>
  <c r="AZ150" i="12"/>
  <c r="BA150" i="12"/>
  <c r="BB150" i="12"/>
  <c r="BD150" i="12"/>
  <c r="BE150" i="12"/>
  <c r="F151" i="12"/>
  <c r="G151" i="12"/>
  <c r="H151" i="12"/>
  <c r="AR151" i="12" s="1"/>
  <c r="I151" i="12"/>
  <c r="AJ151" i="12"/>
  <c r="AZ151" i="12" s="1"/>
  <c r="AK151" i="12"/>
  <c r="AL151" i="12"/>
  <c r="AM151" i="12"/>
  <c r="AO151" i="12"/>
  <c r="AP151" i="12"/>
  <c r="AQ151" i="12"/>
  <c r="AS151" i="12"/>
  <c r="AT151" i="12"/>
  <c r="AU151" i="12"/>
  <c r="AV151" i="12"/>
  <c r="AW151" i="12"/>
  <c r="AX151" i="12"/>
  <c r="AY151" i="12"/>
  <c r="BA151" i="12"/>
  <c r="BB151" i="12"/>
  <c r="BC151" i="12"/>
  <c r="BD151" i="12"/>
  <c r="BE151" i="12"/>
  <c r="F152" i="12"/>
  <c r="G152" i="12"/>
  <c r="AQ152" i="12" s="1"/>
  <c r="H152" i="12"/>
  <c r="I152" i="12"/>
  <c r="AJ152" i="12"/>
  <c r="AK152" i="12"/>
  <c r="AZ152" i="12" s="1"/>
  <c r="AL152" i="12"/>
  <c r="AM152" i="12"/>
  <c r="BC152" i="12" s="1"/>
  <c r="AO152" i="12"/>
  <c r="AP152" i="12"/>
  <c r="AR152" i="12"/>
  <c r="AS152" i="12"/>
  <c r="AT152" i="12"/>
  <c r="AU152" i="12"/>
  <c r="AV152" i="12"/>
  <c r="AW152" i="12"/>
  <c r="AX152" i="12"/>
  <c r="AY152" i="12"/>
  <c r="BA152" i="12"/>
  <c r="BB152" i="12"/>
  <c r="BD152" i="12"/>
  <c r="BE152" i="12"/>
  <c r="F153" i="12"/>
  <c r="AQ153" i="12" s="1"/>
  <c r="G153" i="12"/>
  <c r="H153" i="12"/>
  <c r="AR153" i="12" s="1"/>
  <c r="I153" i="12"/>
  <c r="AJ153" i="12"/>
  <c r="AK153" i="12"/>
  <c r="AZ153" i="12" s="1"/>
  <c r="AL153" i="12"/>
  <c r="AM153" i="12"/>
  <c r="AO153" i="12"/>
  <c r="AP153" i="12"/>
  <c r="AS153" i="12"/>
  <c r="AT153" i="12"/>
  <c r="AU153" i="12"/>
  <c r="AV153" i="12"/>
  <c r="AW153" i="12"/>
  <c r="AX153" i="12"/>
  <c r="AY153" i="12"/>
  <c r="BA153" i="12"/>
  <c r="BB153" i="12"/>
  <c r="BC153" i="12"/>
  <c r="BD153" i="12"/>
  <c r="BE153" i="12"/>
  <c r="F154" i="12"/>
  <c r="G154" i="12"/>
  <c r="AQ154" i="12" s="1"/>
  <c r="H154" i="12"/>
  <c r="I154" i="12"/>
  <c r="AJ154" i="12"/>
  <c r="AK154" i="12"/>
  <c r="AL154" i="12"/>
  <c r="AM154" i="12"/>
  <c r="BC154" i="12" s="1"/>
  <c r="AO154" i="12"/>
  <c r="AP154" i="12"/>
  <c r="AR154" i="12"/>
  <c r="AS154" i="12"/>
  <c r="AT154" i="12"/>
  <c r="AU154" i="12"/>
  <c r="AV154" i="12"/>
  <c r="AW154" i="12"/>
  <c r="AX154" i="12"/>
  <c r="AY154" i="12"/>
  <c r="AZ154" i="12"/>
  <c r="BA154" i="12"/>
  <c r="BB154" i="12"/>
  <c r="BD154" i="12"/>
  <c r="BE154" i="12"/>
  <c r="F155" i="12"/>
  <c r="G155" i="12"/>
  <c r="H155" i="12"/>
  <c r="AR155" i="12" s="1"/>
  <c r="I155" i="12"/>
  <c r="AJ155" i="12"/>
  <c r="AZ155" i="12" s="1"/>
  <c r="AK155" i="12"/>
  <c r="AL155" i="12"/>
  <c r="AM155" i="12"/>
  <c r="AO155" i="12"/>
  <c r="AP155" i="12"/>
  <c r="AQ155" i="12"/>
  <c r="AS155" i="12"/>
  <c r="AT155" i="12"/>
  <c r="AU155" i="12"/>
  <c r="AV155" i="12"/>
  <c r="AW155" i="12"/>
  <c r="AX155" i="12"/>
  <c r="AY155" i="12"/>
  <c r="BA155" i="12"/>
  <c r="BB155" i="12"/>
  <c r="BC155" i="12"/>
  <c r="BD155" i="12"/>
  <c r="BE155" i="12"/>
  <c r="F156" i="12"/>
  <c r="G156" i="12"/>
  <c r="AQ156" i="12" s="1"/>
  <c r="H156" i="12"/>
  <c r="I156" i="12"/>
  <c r="AJ156" i="12"/>
  <c r="AK156" i="12"/>
  <c r="AZ156" i="12" s="1"/>
  <c r="AL156" i="12"/>
  <c r="AM156" i="12"/>
  <c r="BC156" i="12" s="1"/>
  <c r="AO156" i="12"/>
  <c r="AP156" i="12"/>
  <c r="AR156" i="12"/>
  <c r="AS156" i="12"/>
  <c r="AT156" i="12"/>
  <c r="AU156" i="12"/>
  <c r="AV156" i="12"/>
  <c r="AW156" i="12"/>
  <c r="AX156" i="12"/>
  <c r="AY156" i="12"/>
  <c r="BA156" i="12"/>
  <c r="BB156" i="12"/>
  <c r="BD156" i="12"/>
  <c r="BE156" i="12"/>
  <c r="F157" i="12"/>
  <c r="AQ157" i="12" s="1"/>
  <c r="G157" i="12"/>
  <c r="H157" i="12"/>
  <c r="AR157" i="12" s="1"/>
  <c r="I157" i="12"/>
  <c r="AJ157" i="12"/>
  <c r="AK157" i="12"/>
  <c r="AZ157" i="12" s="1"/>
  <c r="AL157" i="12"/>
  <c r="AM157" i="12"/>
  <c r="AO157" i="12"/>
  <c r="AP157" i="12"/>
  <c r="AS157" i="12"/>
  <c r="AT157" i="12"/>
  <c r="AU157" i="12"/>
  <c r="AV157" i="12"/>
  <c r="AW157" i="12"/>
  <c r="AX157" i="12"/>
  <c r="AY157" i="12"/>
  <c r="BA157" i="12"/>
  <c r="BB157" i="12"/>
  <c r="BC157" i="12"/>
  <c r="BD157" i="12"/>
  <c r="BE157" i="12"/>
  <c r="F158" i="12"/>
  <c r="G158" i="12"/>
  <c r="AQ158" i="12" s="1"/>
  <c r="H158" i="12"/>
  <c r="I158" i="12"/>
  <c r="AJ158" i="12"/>
  <c r="AK158" i="12"/>
  <c r="AL158" i="12"/>
  <c r="AM158" i="12"/>
  <c r="BC158" i="12" s="1"/>
  <c r="AO158" i="12"/>
  <c r="AP158" i="12"/>
  <c r="AR158" i="12"/>
  <c r="AS158" i="12"/>
  <c r="AT158" i="12"/>
  <c r="AU158" i="12"/>
  <c r="AV158" i="12"/>
  <c r="AW158" i="12"/>
  <c r="AX158" i="12"/>
  <c r="AY158" i="12"/>
  <c r="AZ158" i="12"/>
  <c r="BA158" i="12"/>
  <c r="BB158" i="12"/>
  <c r="BD158" i="12"/>
  <c r="BE158" i="12"/>
  <c r="F159" i="12"/>
  <c r="G159" i="12"/>
  <c r="H159" i="12"/>
  <c r="AR159" i="12" s="1"/>
  <c r="I159" i="12"/>
  <c r="AJ159" i="12"/>
  <c r="AZ159" i="12" s="1"/>
  <c r="AK159" i="12"/>
  <c r="AL159" i="12"/>
  <c r="AM159" i="12"/>
  <c r="AO159" i="12"/>
  <c r="AP159" i="12"/>
  <c r="AQ159" i="12"/>
  <c r="AS159" i="12"/>
  <c r="AT159" i="12"/>
  <c r="AU159" i="12"/>
  <c r="AV159" i="12"/>
  <c r="AW159" i="12"/>
  <c r="AX159" i="12"/>
  <c r="AY159" i="12"/>
  <c r="BA159" i="12"/>
  <c r="BB159" i="12"/>
  <c r="BC159" i="12"/>
  <c r="BD159" i="12"/>
  <c r="BE159" i="12"/>
  <c r="F160" i="12"/>
  <c r="G160" i="12"/>
  <c r="AQ160" i="12" s="1"/>
  <c r="H160" i="12"/>
  <c r="I160" i="12"/>
  <c r="AJ160" i="12"/>
  <c r="AK160" i="12"/>
  <c r="AZ160" i="12" s="1"/>
  <c r="AL160" i="12"/>
  <c r="AM160" i="12"/>
  <c r="BC160" i="12" s="1"/>
  <c r="AO160" i="12"/>
  <c r="AP160" i="12"/>
  <c r="AR160" i="12"/>
  <c r="AS160" i="12"/>
  <c r="AT160" i="12"/>
  <c r="AU160" i="12"/>
  <c r="AV160" i="12"/>
  <c r="AW160" i="12"/>
  <c r="AX160" i="12"/>
  <c r="AY160" i="12"/>
  <c r="BA160" i="12"/>
  <c r="BB160" i="12"/>
  <c r="BD160" i="12"/>
  <c r="BE160" i="12"/>
  <c r="F161" i="12"/>
  <c r="AQ161" i="12" s="1"/>
  <c r="G161" i="12"/>
  <c r="H161" i="12"/>
  <c r="AR161" i="12" s="1"/>
  <c r="I161" i="12"/>
  <c r="AJ161" i="12"/>
  <c r="AK161" i="12"/>
  <c r="AZ161" i="12" s="1"/>
  <c r="AL161" i="12"/>
  <c r="AM161" i="12"/>
  <c r="AO161" i="12"/>
  <c r="AP161" i="12"/>
  <c r="AS161" i="12"/>
  <c r="AT161" i="12"/>
  <c r="AU161" i="12"/>
  <c r="AV161" i="12"/>
  <c r="AW161" i="12"/>
  <c r="AX161" i="12"/>
  <c r="AY161" i="12"/>
  <c r="BA161" i="12"/>
  <c r="BB161" i="12"/>
  <c r="BC161" i="12"/>
  <c r="BD161" i="12"/>
  <c r="BE161" i="12"/>
  <c r="F162" i="12"/>
  <c r="G162" i="12"/>
  <c r="AQ162" i="12" s="1"/>
  <c r="H162" i="12"/>
  <c r="I162" i="12"/>
  <c r="AJ162" i="12"/>
  <c r="AK162" i="12"/>
  <c r="AL162" i="12"/>
  <c r="AM162" i="12"/>
  <c r="BC162" i="12" s="1"/>
  <c r="AO162" i="12"/>
  <c r="AP162" i="12"/>
  <c r="AR162" i="12"/>
  <c r="AS162" i="12"/>
  <c r="AT162" i="12"/>
  <c r="AU162" i="12"/>
  <c r="AV162" i="12"/>
  <c r="AW162" i="12"/>
  <c r="AX162" i="12"/>
  <c r="AY162" i="12"/>
  <c r="AZ162" i="12"/>
  <c r="BA162" i="12"/>
  <c r="BB162" i="12"/>
  <c r="BD162" i="12"/>
  <c r="BE162" i="12"/>
  <c r="F163" i="12"/>
  <c r="G163" i="12"/>
  <c r="H163" i="12"/>
  <c r="AR163" i="12" s="1"/>
  <c r="I163" i="12"/>
  <c r="AJ163" i="12"/>
  <c r="AZ163" i="12" s="1"/>
  <c r="AK163" i="12"/>
  <c r="AL163" i="12"/>
  <c r="AM163" i="12"/>
  <c r="AO163" i="12"/>
  <c r="AP163" i="12"/>
  <c r="AQ163" i="12"/>
  <c r="AS163" i="12"/>
  <c r="AT163" i="12"/>
  <c r="AU163" i="12"/>
  <c r="AV163" i="12"/>
  <c r="AW163" i="12"/>
  <c r="AX163" i="12"/>
  <c r="AY163" i="12"/>
  <c r="BA163" i="12"/>
  <c r="BB163" i="12"/>
  <c r="BC163" i="12"/>
  <c r="BD163" i="12"/>
  <c r="BE163" i="12"/>
  <c r="F164" i="12"/>
  <c r="G164" i="12"/>
  <c r="AQ164" i="12" s="1"/>
  <c r="H164" i="12"/>
  <c r="I164" i="12"/>
  <c r="AJ164" i="12"/>
  <c r="AK164" i="12"/>
  <c r="AZ164" i="12" s="1"/>
  <c r="AL164" i="12"/>
  <c r="AM164" i="12"/>
  <c r="BC164" i="12" s="1"/>
  <c r="AO164" i="12"/>
  <c r="AP164" i="12"/>
  <c r="AR164" i="12"/>
  <c r="AS164" i="12"/>
  <c r="AT164" i="12"/>
  <c r="AU164" i="12"/>
  <c r="AV164" i="12"/>
  <c r="AW164" i="12"/>
  <c r="AX164" i="12"/>
  <c r="AY164" i="12"/>
  <c r="BA164" i="12"/>
  <c r="BB164" i="12"/>
  <c r="BD164" i="12"/>
  <c r="BE164" i="12"/>
  <c r="F165" i="12"/>
  <c r="AQ165" i="12" s="1"/>
  <c r="G165" i="12"/>
  <c r="H165" i="12"/>
  <c r="AR165" i="12" s="1"/>
  <c r="I165" i="12"/>
  <c r="AJ165" i="12"/>
  <c r="AK165" i="12"/>
  <c r="AZ165" i="12" s="1"/>
  <c r="AL165" i="12"/>
  <c r="AM165" i="12"/>
  <c r="AO165" i="12"/>
  <c r="AP165" i="12"/>
  <c r="AS165" i="12"/>
  <c r="AT165" i="12"/>
  <c r="AU165" i="12"/>
  <c r="AV165" i="12"/>
  <c r="AW165" i="12"/>
  <c r="AX165" i="12"/>
  <c r="AY165" i="12"/>
  <c r="BA165" i="12"/>
  <c r="BB165" i="12"/>
  <c r="BC165" i="12"/>
  <c r="BD165" i="12"/>
  <c r="BE165" i="12"/>
  <c r="F166" i="12"/>
  <c r="G166" i="12"/>
  <c r="AQ166" i="12" s="1"/>
  <c r="H166" i="12"/>
  <c r="I166" i="12"/>
  <c r="AJ166" i="12"/>
  <c r="AK166" i="12"/>
  <c r="AL166" i="12"/>
  <c r="AM166" i="12"/>
  <c r="BC166" i="12" s="1"/>
  <c r="AO166" i="12"/>
  <c r="AP166" i="12"/>
  <c r="AR166" i="12"/>
  <c r="AS166" i="12"/>
  <c r="AT166" i="12"/>
  <c r="AU166" i="12"/>
  <c r="AV166" i="12"/>
  <c r="AW166" i="12"/>
  <c r="AX166" i="12"/>
  <c r="AY166" i="12"/>
  <c r="AZ166" i="12"/>
  <c r="BA166" i="12"/>
  <c r="BB166" i="12"/>
  <c r="BD166" i="12"/>
  <c r="BE166" i="12"/>
  <c r="F167" i="12"/>
  <c r="G167" i="12"/>
  <c r="H167" i="12"/>
  <c r="AR167" i="12" s="1"/>
  <c r="I167" i="12"/>
  <c r="AJ167" i="12"/>
  <c r="AZ167" i="12" s="1"/>
  <c r="AK167" i="12"/>
  <c r="AL167" i="12"/>
  <c r="AM167" i="12"/>
  <c r="AO167" i="12"/>
  <c r="AP167" i="12"/>
  <c r="AQ167" i="12"/>
  <c r="AS167" i="12"/>
  <c r="AT167" i="12"/>
  <c r="AU167" i="12"/>
  <c r="AV167" i="12"/>
  <c r="AW167" i="12"/>
  <c r="AX167" i="12"/>
  <c r="AY167" i="12"/>
  <c r="BA167" i="12"/>
  <c r="BB167" i="12"/>
  <c r="BC167" i="12"/>
  <c r="BD167" i="12"/>
  <c r="BE167" i="12"/>
  <c r="F168" i="12"/>
  <c r="G168" i="12"/>
  <c r="AQ168" i="12" s="1"/>
  <c r="H168" i="12"/>
  <c r="I168" i="12"/>
  <c r="AJ168" i="12"/>
  <c r="AK168" i="12"/>
  <c r="AZ168" i="12" s="1"/>
  <c r="AL168" i="12"/>
  <c r="AM168" i="12"/>
  <c r="BC168" i="12" s="1"/>
  <c r="AO168" i="12"/>
  <c r="AP168" i="12"/>
  <c r="AR168" i="12"/>
  <c r="AS168" i="12"/>
  <c r="AT168" i="12"/>
  <c r="AU168" i="12"/>
  <c r="AV168" i="12"/>
  <c r="AW168" i="12"/>
  <c r="AX168" i="12"/>
  <c r="AY168" i="12"/>
  <c r="BA168" i="12"/>
  <c r="BB168" i="12"/>
  <c r="BD168" i="12"/>
  <c r="BE168" i="12"/>
  <c r="F169" i="12"/>
  <c r="AQ169" i="12" s="1"/>
  <c r="G169" i="12"/>
  <c r="H169" i="12"/>
  <c r="AR169" i="12" s="1"/>
  <c r="I169" i="12"/>
  <c r="AJ169" i="12"/>
  <c r="AK169" i="12"/>
  <c r="AZ169" i="12" s="1"/>
  <c r="AL169" i="12"/>
  <c r="AM169" i="12"/>
  <c r="AO169" i="12"/>
  <c r="AP169" i="12"/>
  <c r="AS169" i="12"/>
  <c r="AT169" i="12"/>
  <c r="AU169" i="12"/>
  <c r="AV169" i="12"/>
  <c r="AW169" i="12"/>
  <c r="AX169" i="12"/>
  <c r="AY169" i="12"/>
  <c r="BA169" i="12"/>
  <c r="BB169" i="12"/>
  <c r="BC169" i="12"/>
  <c r="BD169" i="12"/>
  <c r="BE169" i="12"/>
  <c r="F170" i="12"/>
  <c r="G170" i="12"/>
  <c r="AQ170" i="12" s="1"/>
  <c r="H170" i="12"/>
  <c r="I170" i="12"/>
  <c r="AR170" i="12" s="1"/>
  <c r="AJ170" i="12"/>
  <c r="AK170" i="12"/>
  <c r="AL170" i="12"/>
  <c r="AM170" i="12"/>
  <c r="BC170" i="12" s="1"/>
  <c r="AO170" i="12"/>
  <c r="AP170" i="12"/>
  <c r="AS170" i="12"/>
  <c r="AT170" i="12"/>
  <c r="AU170" i="12"/>
  <c r="AV170" i="12"/>
  <c r="AW170" i="12"/>
  <c r="AX170" i="12"/>
  <c r="AY170" i="12"/>
  <c r="AZ170" i="12"/>
  <c r="BA170" i="12"/>
  <c r="BB170" i="12"/>
  <c r="BD170" i="12"/>
  <c r="BE170" i="12"/>
  <c r="F171" i="12"/>
  <c r="G171" i="12"/>
  <c r="H171" i="12"/>
  <c r="AR171" i="12" s="1"/>
  <c r="I171" i="12"/>
  <c r="AJ171" i="12"/>
  <c r="AZ171" i="12" s="1"/>
  <c r="AK171" i="12"/>
  <c r="AL171" i="12"/>
  <c r="BC171" i="12" s="1"/>
  <c r="AM171" i="12"/>
  <c r="AO171" i="12"/>
  <c r="AP171" i="12"/>
  <c r="AQ171" i="12"/>
  <c r="AS171" i="12"/>
  <c r="AT171" i="12"/>
  <c r="AU171" i="12"/>
  <c r="AV171" i="12"/>
  <c r="AW171" i="12"/>
  <c r="AX171" i="12"/>
  <c r="AY171" i="12"/>
  <c r="BA171" i="12"/>
  <c r="BB171" i="12"/>
  <c r="BD171" i="12"/>
  <c r="BE171" i="12"/>
  <c r="F172" i="12"/>
  <c r="G172" i="12"/>
  <c r="AQ172" i="12" s="1"/>
  <c r="H172" i="12"/>
  <c r="I172" i="12"/>
  <c r="AJ172" i="12"/>
  <c r="AK172" i="12"/>
  <c r="AZ172" i="12" s="1"/>
  <c r="AL172" i="12"/>
  <c r="AM172" i="12"/>
  <c r="BC172" i="12" s="1"/>
  <c r="AO172" i="12"/>
  <c r="AP172" i="12"/>
  <c r="AR172" i="12"/>
  <c r="AS172" i="12"/>
  <c r="AT172" i="12"/>
  <c r="AU172" i="12"/>
  <c r="AV172" i="12"/>
  <c r="AW172" i="12"/>
  <c r="AX172" i="12"/>
  <c r="AY172" i="12"/>
  <c r="BA172" i="12"/>
  <c r="BB172" i="12"/>
  <c r="BD172" i="12"/>
  <c r="BE172" i="12"/>
  <c r="F173" i="12"/>
  <c r="AQ173" i="12" s="1"/>
  <c r="G173" i="12"/>
  <c r="H173" i="12"/>
  <c r="AR173" i="12" s="1"/>
  <c r="I173" i="12"/>
  <c r="AJ173" i="12"/>
  <c r="AK173" i="12"/>
  <c r="AZ173" i="12" s="1"/>
  <c r="AL173" i="12"/>
  <c r="AM173" i="12"/>
  <c r="AO173" i="12"/>
  <c r="AP173" i="12"/>
  <c r="AS173" i="12"/>
  <c r="AT173" i="12"/>
  <c r="AU173" i="12"/>
  <c r="AV173" i="12"/>
  <c r="AW173" i="12"/>
  <c r="AX173" i="12"/>
  <c r="AY173" i="12"/>
  <c r="BA173" i="12"/>
  <c r="BB173" i="12"/>
  <c r="BC173" i="12"/>
  <c r="BD173" i="12"/>
  <c r="BE173" i="12"/>
  <c r="F174" i="12"/>
  <c r="G174" i="12"/>
  <c r="AQ174" i="12" s="1"/>
  <c r="H174" i="12"/>
  <c r="I174" i="12"/>
  <c r="AR174" i="12" s="1"/>
  <c r="AJ174" i="12"/>
  <c r="AK174" i="12"/>
  <c r="AL174" i="12"/>
  <c r="AM174" i="12"/>
  <c r="BC174" i="12" s="1"/>
  <c r="AO174" i="12"/>
  <c r="AP174" i="12"/>
  <c r="AS174" i="12"/>
  <c r="AT174" i="12"/>
  <c r="AU174" i="12"/>
  <c r="AV174" i="12"/>
  <c r="AW174" i="12"/>
  <c r="AX174" i="12"/>
  <c r="AY174" i="12"/>
  <c r="AZ174" i="12"/>
  <c r="BA174" i="12"/>
  <c r="BB174" i="12"/>
  <c r="BD174" i="12"/>
  <c r="BE174" i="12"/>
  <c r="F175" i="12"/>
  <c r="G175" i="12"/>
  <c r="H175" i="12"/>
  <c r="AR175" i="12" s="1"/>
  <c r="I175" i="12"/>
  <c r="AJ175" i="12"/>
  <c r="AZ175" i="12" s="1"/>
  <c r="AK175" i="12"/>
  <c r="AL175" i="12"/>
  <c r="AM175" i="12"/>
  <c r="AO175" i="12"/>
  <c r="AP175" i="12"/>
  <c r="AQ175" i="12"/>
  <c r="AS175" i="12"/>
  <c r="AT175" i="12"/>
  <c r="AU175" i="12"/>
  <c r="AV175" i="12"/>
  <c r="AW175" i="12"/>
  <c r="AX175" i="12"/>
  <c r="AY175" i="12"/>
  <c r="BA175" i="12"/>
  <c r="BB175" i="12"/>
  <c r="BC175" i="12"/>
  <c r="BD175" i="12"/>
  <c r="BE175" i="12"/>
  <c r="F176" i="12"/>
  <c r="G176" i="12"/>
  <c r="AQ176" i="12" s="1"/>
  <c r="H176" i="12"/>
  <c r="I176" i="12"/>
  <c r="AJ176" i="12"/>
  <c r="AK176" i="12"/>
  <c r="AZ176" i="12" s="1"/>
  <c r="AL176" i="12"/>
  <c r="AM176" i="12"/>
  <c r="BC176" i="12" s="1"/>
  <c r="AO176" i="12"/>
  <c r="AP176" i="12"/>
  <c r="AR176" i="12"/>
  <c r="AS176" i="12"/>
  <c r="AT176" i="12"/>
  <c r="AU176" i="12"/>
  <c r="AV176" i="12"/>
  <c r="AW176" i="12"/>
  <c r="AX176" i="12"/>
  <c r="AY176" i="12"/>
  <c r="BA176" i="12"/>
  <c r="BB176" i="12"/>
  <c r="BD176" i="12"/>
  <c r="BE176" i="12"/>
  <c r="F177" i="12"/>
  <c r="AQ177" i="12" s="1"/>
  <c r="G177" i="12"/>
  <c r="H177" i="12"/>
  <c r="AR177" i="12" s="1"/>
  <c r="I177" i="12"/>
  <c r="AJ177" i="12"/>
  <c r="AK177" i="12"/>
  <c r="AZ177" i="12" s="1"/>
  <c r="AL177" i="12"/>
  <c r="AM177" i="12"/>
  <c r="AO177" i="12"/>
  <c r="AP177" i="12"/>
  <c r="AS177" i="12"/>
  <c r="AT177" i="12"/>
  <c r="AU177" i="12"/>
  <c r="AV177" i="12"/>
  <c r="AW177" i="12"/>
  <c r="AX177" i="12"/>
  <c r="AY177" i="12"/>
  <c r="BA177" i="12"/>
  <c r="BB177" i="12"/>
  <c r="BC177" i="12"/>
  <c r="BD177" i="12"/>
  <c r="BE177" i="12"/>
  <c r="F178" i="12"/>
  <c r="G178" i="12"/>
  <c r="AQ178" i="12" s="1"/>
  <c r="H178" i="12"/>
  <c r="I178" i="12"/>
  <c r="AR178" i="12" s="1"/>
  <c r="AJ178" i="12"/>
  <c r="AK178" i="12"/>
  <c r="AL178" i="12"/>
  <c r="AM178" i="12"/>
  <c r="BC178" i="12" s="1"/>
  <c r="AO178" i="12"/>
  <c r="AP178" i="12"/>
  <c r="AS178" i="12"/>
  <c r="AT178" i="12"/>
  <c r="AU178" i="12"/>
  <c r="AV178" i="12"/>
  <c r="AW178" i="12"/>
  <c r="AX178" i="12"/>
  <c r="AY178" i="12"/>
  <c r="AZ178" i="12"/>
  <c r="BA178" i="12"/>
  <c r="BB178" i="12"/>
  <c r="BD178" i="12"/>
  <c r="BE178" i="12"/>
  <c r="F179" i="12"/>
  <c r="G179" i="12"/>
  <c r="H179" i="12"/>
  <c r="AR179" i="12" s="1"/>
  <c r="I179" i="12"/>
  <c r="AJ179" i="12"/>
  <c r="AZ179" i="12" s="1"/>
  <c r="AK179" i="12"/>
  <c r="AL179" i="12"/>
  <c r="BC179" i="12" s="1"/>
  <c r="AM179" i="12"/>
  <c r="AO179" i="12"/>
  <c r="AP179" i="12"/>
  <c r="AQ179" i="12"/>
  <c r="AS179" i="12"/>
  <c r="AT179" i="12"/>
  <c r="AU179" i="12"/>
  <c r="AV179" i="12"/>
  <c r="AW179" i="12"/>
  <c r="AX179" i="12"/>
  <c r="AY179" i="12"/>
  <c r="BA179" i="12"/>
  <c r="BB179" i="12"/>
  <c r="BD179" i="12"/>
  <c r="BE179" i="12"/>
  <c r="F180" i="12"/>
  <c r="G180" i="12"/>
  <c r="AQ180" i="12" s="1"/>
  <c r="H180" i="12"/>
  <c r="I180" i="12"/>
  <c r="AJ180" i="12"/>
  <c r="AK180" i="12"/>
  <c r="AZ180" i="12" s="1"/>
  <c r="AL180" i="12"/>
  <c r="AM180" i="12"/>
  <c r="BC180" i="12" s="1"/>
  <c r="AO180" i="12"/>
  <c r="AP180" i="12"/>
  <c r="AR180" i="12"/>
  <c r="AS180" i="12"/>
  <c r="AT180" i="12"/>
  <c r="AU180" i="12"/>
  <c r="AV180" i="12"/>
  <c r="AW180" i="12"/>
  <c r="AX180" i="12"/>
  <c r="AY180" i="12"/>
  <c r="BA180" i="12"/>
  <c r="BB180" i="12"/>
  <c r="BD180" i="12"/>
  <c r="BE180" i="12"/>
  <c r="F181" i="12"/>
  <c r="AQ181" i="12" s="1"/>
  <c r="G181" i="12"/>
  <c r="H181" i="12"/>
  <c r="AR181" i="12" s="1"/>
  <c r="I181" i="12"/>
  <c r="AJ181" i="12"/>
  <c r="AK181" i="12"/>
  <c r="AZ181" i="12" s="1"/>
  <c r="AL181" i="12"/>
  <c r="AM181" i="12"/>
  <c r="AO181" i="12"/>
  <c r="AP181" i="12"/>
  <c r="AS181" i="12"/>
  <c r="AT181" i="12"/>
  <c r="AU181" i="12"/>
  <c r="AV181" i="12"/>
  <c r="AW181" i="12"/>
  <c r="AX181" i="12"/>
  <c r="AY181" i="12"/>
  <c r="BA181" i="12"/>
  <c r="BB181" i="12"/>
  <c r="BC181" i="12"/>
  <c r="BD181" i="12"/>
  <c r="BE181" i="12"/>
  <c r="F182" i="12"/>
  <c r="G182" i="12"/>
  <c r="AQ182" i="12" s="1"/>
  <c r="H182" i="12"/>
  <c r="I182" i="12"/>
  <c r="AR182" i="12" s="1"/>
  <c r="AJ182" i="12"/>
  <c r="AK182" i="12"/>
  <c r="AL182" i="12"/>
  <c r="AM182" i="12"/>
  <c r="BC182" i="12" s="1"/>
  <c r="AO182" i="12"/>
  <c r="AP182" i="12"/>
  <c r="AS182" i="12"/>
  <c r="AT182" i="12"/>
  <c r="AU182" i="12"/>
  <c r="AV182" i="12"/>
  <c r="AW182" i="12"/>
  <c r="AX182" i="12"/>
  <c r="AY182" i="12"/>
  <c r="AZ182" i="12"/>
  <c r="BA182" i="12"/>
  <c r="BB182" i="12"/>
  <c r="BD182" i="12"/>
  <c r="BE182" i="12"/>
  <c r="F183" i="12"/>
  <c r="G183" i="12"/>
  <c r="H183" i="12"/>
  <c r="AR183" i="12" s="1"/>
  <c r="I183" i="12"/>
  <c r="AJ183" i="12"/>
  <c r="AZ183" i="12" s="1"/>
  <c r="AK183" i="12"/>
  <c r="AL183" i="12"/>
  <c r="AM183" i="12"/>
  <c r="AO183" i="12"/>
  <c r="AP183" i="12"/>
  <c r="AQ183" i="12"/>
  <c r="AS183" i="12"/>
  <c r="AT183" i="12"/>
  <c r="AU183" i="12"/>
  <c r="AV183" i="12"/>
  <c r="AW183" i="12"/>
  <c r="AX183" i="12"/>
  <c r="AY183" i="12"/>
  <c r="BA183" i="12"/>
  <c r="BB183" i="12"/>
  <c r="BC183" i="12"/>
  <c r="BD183" i="12"/>
  <c r="BE183" i="12"/>
  <c r="F184" i="12"/>
  <c r="G184" i="12"/>
  <c r="AQ184" i="12" s="1"/>
  <c r="H184" i="12"/>
  <c r="I184" i="12"/>
  <c r="AR184" i="12" s="1"/>
  <c r="AJ184" i="12"/>
  <c r="AK184" i="12"/>
  <c r="AZ184" i="12" s="1"/>
  <c r="AL184" i="12"/>
  <c r="AM184" i="12"/>
  <c r="BC184" i="12" s="1"/>
  <c r="AO184" i="12"/>
  <c r="AP184" i="12"/>
  <c r="AS184" i="12"/>
  <c r="AT184" i="12"/>
  <c r="AU184" i="12"/>
  <c r="AV184" i="12"/>
  <c r="AW184" i="12"/>
  <c r="AX184" i="12"/>
  <c r="AY184" i="12"/>
  <c r="BA184" i="12"/>
  <c r="BB184" i="12"/>
  <c r="BD184" i="12"/>
  <c r="BE184" i="12"/>
  <c r="F185" i="12"/>
  <c r="G185" i="12"/>
  <c r="H185" i="12"/>
  <c r="AR185" i="12" s="1"/>
  <c r="I185" i="12"/>
  <c r="AJ185" i="12"/>
  <c r="AK185" i="12"/>
  <c r="AL185" i="12"/>
  <c r="BC185" i="12" s="1"/>
  <c r="AM185" i="12"/>
  <c r="AO185" i="12"/>
  <c r="AP185" i="12"/>
  <c r="AQ185" i="12"/>
  <c r="AS185" i="12"/>
  <c r="AT185" i="12"/>
  <c r="AU185" i="12"/>
  <c r="AV185" i="12"/>
  <c r="AW185" i="12"/>
  <c r="AX185" i="12"/>
  <c r="AY185" i="12"/>
  <c r="BA185" i="12"/>
  <c r="BB185" i="12"/>
  <c r="BD185" i="12"/>
  <c r="BE185" i="12"/>
  <c r="F186" i="12"/>
  <c r="G186" i="12"/>
  <c r="AQ186" i="12" s="1"/>
  <c r="H186" i="12"/>
  <c r="I186" i="12"/>
  <c r="AR186" i="12" s="1"/>
  <c r="AJ186" i="12"/>
  <c r="AK186" i="12"/>
  <c r="AZ186" i="12" s="1"/>
  <c r="AL186" i="12"/>
  <c r="AM186" i="12"/>
  <c r="BC186" i="12" s="1"/>
  <c r="AO186" i="12"/>
  <c r="AP186" i="12"/>
  <c r="AS186" i="12"/>
  <c r="AT186" i="12"/>
  <c r="AU186" i="12"/>
  <c r="AV186" i="12"/>
  <c r="AW186" i="12"/>
  <c r="AX186" i="12"/>
  <c r="AY186" i="12"/>
  <c r="BA186" i="12"/>
  <c r="BB186" i="12"/>
  <c r="BD186" i="12"/>
  <c r="BE186" i="12"/>
  <c r="F187" i="12"/>
  <c r="G187" i="12"/>
  <c r="H187" i="12"/>
  <c r="AR187" i="12" s="1"/>
  <c r="I187" i="12"/>
  <c r="AJ187" i="12"/>
  <c r="AZ187" i="12" s="1"/>
  <c r="AK187" i="12"/>
  <c r="AL187" i="12"/>
  <c r="AM187" i="12"/>
  <c r="AO187" i="12"/>
  <c r="AP187" i="12"/>
  <c r="AQ187" i="12"/>
  <c r="AS187" i="12"/>
  <c r="AT187" i="12"/>
  <c r="AU187" i="12"/>
  <c r="AV187" i="12"/>
  <c r="AW187" i="12"/>
  <c r="AX187" i="12"/>
  <c r="AY187" i="12"/>
  <c r="BA187" i="12"/>
  <c r="BB187" i="12"/>
  <c r="BC187" i="12"/>
  <c r="BD187" i="12"/>
  <c r="BE187" i="12"/>
  <c r="F188" i="12"/>
  <c r="G188" i="12"/>
  <c r="AQ188" i="12" s="1"/>
  <c r="H188" i="12"/>
  <c r="I188" i="12"/>
  <c r="AR188" i="12" s="1"/>
  <c r="AJ188" i="12"/>
  <c r="AK188" i="12"/>
  <c r="AZ188" i="12" s="1"/>
  <c r="AL188" i="12"/>
  <c r="AM188" i="12"/>
  <c r="BC188" i="12" s="1"/>
  <c r="AO188" i="12"/>
  <c r="AP188" i="12"/>
  <c r="AS188" i="12"/>
  <c r="AT188" i="12"/>
  <c r="AU188" i="12"/>
  <c r="AV188" i="12"/>
  <c r="AW188" i="12"/>
  <c r="AX188" i="12"/>
  <c r="AY188" i="12"/>
  <c r="BA188" i="12"/>
  <c r="BB188" i="12"/>
  <c r="BD188" i="12"/>
  <c r="BE188" i="12"/>
  <c r="F189" i="12"/>
  <c r="G189" i="12"/>
  <c r="H189" i="12"/>
  <c r="AR189" i="12" s="1"/>
  <c r="I189" i="12"/>
  <c r="AJ189" i="12"/>
  <c r="AK189" i="12"/>
  <c r="AL189" i="12"/>
  <c r="BC189" i="12" s="1"/>
  <c r="AM189" i="12"/>
  <c r="AO189" i="12"/>
  <c r="AP189" i="12"/>
  <c r="AQ189" i="12"/>
  <c r="AS189" i="12"/>
  <c r="AT189" i="12"/>
  <c r="AU189" i="12"/>
  <c r="AV189" i="12"/>
  <c r="AW189" i="12"/>
  <c r="AX189" i="12"/>
  <c r="AY189" i="12"/>
  <c r="BA189" i="12"/>
  <c r="BB189" i="12"/>
  <c r="BD189" i="12"/>
  <c r="BE189" i="12"/>
  <c r="F190" i="12"/>
  <c r="G190" i="12"/>
  <c r="AQ190" i="12" s="1"/>
  <c r="H190" i="12"/>
  <c r="I190" i="12"/>
  <c r="AR190" i="12" s="1"/>
  <c r="AJ190" i="12"/>
  <c r="AK190" i="12"/>
  <c r="AZ190" i="12" s="1"/>
  <c r="AL190" i="12"/>
  <c r="AM190" i="12"/>
  <c r="BC190" i="12" s="1"/>
  <c r="AO190" i="12"/>
  <c r="AP190" i="12"/>
  <c r="AS190" i="12"/>
  <c r="AT190" i="12"/>
  <c r="AU190" i="12"/>
  <c r="AV190" i="12"/>
  <c r="AW190" i="12"/>
  <c r="AX190" i="12"/>
  <c r="AY190" i="12"/>
  <c r="BA190" i="12"/>
  <c r="BB190" i="12"/>
  <c r="BD190" i="12"/>
  <c r="BE190" i="12"/>
  <c r="F191" i="12"/>
  <c r="AQ191" i="12" s="1"/>
  <c r="G191" i="12"/>
  <c r="H191" i="12"/>
  <c r="AR191" i="12" s="1"/>
  <c r="I191" i="12"/>
  <c r="AJ191" i="12"/>
  <c r="AZ191" i="12" s="1"/>
  <c r="AK191" i="12"/>
  <c r="AL191" i="12"/>
  <c r="AM191" i="12"/>
  <c r="AO191" i="12"/>
  <c r="AP191" i="12"/>
  <c r="AS191" i="12"/>
  <c r="AT191" i="12"/>
  <c r="AU191" i="12"/>
  <c r="AV191" i="12"/>
  <c r="AW191" i="12"/>
  <c r="AX191" i="12"/>
  <c r="AY191" i="12"/>
  <c r="BA191" i="12"/>
  <c r="BB191" i="12"/>
  <c r="BC191" i="12"/>
  <c r="BD191" i="12"/>
  <c r="BE191" i="12"/>
  <c r="F192" i="12"/>
  <c r="G192" i="12"/>
  <c r="AQ192" i="12" s="1"/>
  <c r="H192" i="12"/>
  <c r="I192" i="12"/>
  <c r="AJ192" i="12"/>
  <c r="AK192" i="12"/>
  <c r="AL192" i="12"/>
  <c r="AM192" i="12"/>
  <c r="BC192" i="12" s="1"/>
  <c r="AO192" i="12"/>
  <c r="AP192" i="12"/>
  <c r="AR192" i="12"/>
  <c r="AS192" i="12"/>
  <c r="AT192" i="12"/>
  <c r="AU192" i="12"/>
  <c r="AV192" i="12"/>
  <c r="AW192" i="12"/>
  <c r="AX192" i="12"/>
  <c r="AY192" i="12"/>
  <c r="AZ192" i="12"/>
  <c r="BA192" i="12"/>
  <c r="BB192" i="12"/>
  <c r="BD192" i="12"/>
  <c r="BE192" i="12"/>
  <c r="F193" i="12"/>
  <c r="G193" i="12"/>
  <c r="H193" i="12"/>
  <c r="AR193" i="12" s="1"/>
  <c r="I193" i="12"/>
  <c r="AJ193" i="12"/>
  <c r="AK193" i="12"/>
  <c r="AL193" i="12"/>
  <c r="BC193" i="12" s="1"/>
  <c r="AM193" i="12"/>
  <c r="AO193" i="12"/>
  <c r="AP193" i="12"/>
  <c r="AQ193" i="12"/>
  <c r="AS193" i="12"/>
  <c r="AT193" i="12"/>
  <c r="AU193" i="12"/>
  <c r="AV193" i="12"/>
  <c r="AW193" i="12"/>
  <c r="AX193" i="12"/>
  <c r="AY193" i="12"/>
  <c r="BA193" i="12"/>
  <c r="BB193" i="12"/>
  <c r="BD193" i="12"/>
  <c r="BE193" i="12"/>
  <c r="F194" i="12"/>
  <c r="G194" i="12"/>
  <c r="AQ194" i="12" s="1"/>
  <c r="H194" i="12"/>
  <c r="I194" i="12"/>
  <c r="AR194" i="12" s="1"/>
  <c r="AJ194" i="12"/>
  <c r="AK194" i="12"/>
  <c r="AZ194" i="12" s="1"/>
  <c r="AL194" i="12"/>
  <c r="AM194" i="12"/>
  <c r="BC194" i="12" s="1"/>
  <c r="AO194" i="12"/>
  <c r="AP194" i="12"/>
  <c r="AS194" i="12"/>
  <c r="AT194" i="12"/>
  <c r="AU194" i="12"/>
  <c r="AV194" i="12"/>
  <c r="AW194" i="12"/>
  <c r="AX194" i="12"/>
  <c r="AY194" i="12"/>
  <c r="BA194" i="12"/>
  <c r="BB194" i="12"/>
  <c r="BD194" i="12"/>
  <c r="BE194" i="12"/>
  <c r="F195" i="12"/>
  <c r="AQ195" i="12" s="1"/>
  <c r="G195" i="12"/>
  <c r="H195" i="12"/>
  <c r="AR195" i="12" s="1"/>
  <c r="I195" i="12"/>
  <c r="AJ195" i="12"/>
  <c r="AZ195" i="12" s="1"/>
  <c r="AK195" i="12"/>
  <c r="AL195" i="12"/>
  <c r="AM195" i="12"/>
  <c r="AO195" i="12"/>
  <c r="AP195" i="12"/>
  <c r="AS195" i="12"/>
  <c r="AT195" i="12"/>
  <c r="AU195" i="12"/>
  <c r="AV195" i="12"/>
  <c r="AW195" i="12"/>
  <c r="AX195" i="12"/>
  <c r="AY195" i="12"/>
  <c r="BA195" i="12"/>
  <c r="BB195" i="12"/>
  <c r="BC195" i="12"/>
  <c r="BD195" i="12"/>
  <c r="BE195" i="12"/>
  <c r="F196" i="12"/>
  <c r="G196" i="12"/>
  <c r="AQ196" i="12" s="1"/>
  <c r="H196" i="12"/>
  <c r="I196" i="12"/>
  <c r="AJ196" i="12"/>
  <c r="AK196" i="12"/>
  <c r="AL196" i="12"/>
  <c r="AM196" i="12"/>
  <c r="BC196" i="12" s="1"/>
  <c r="AO196" i="12"/>
  <c r="AP196" i="12"/>
  <c r="AR196" i="12"/>
  <c r="AS196" i="12"/>
  <c r="AT196" i="12"/>
  <c r="AU196" i="12"/>
  <c r="AV196" i="12"/>
  <c r="AW196" i="12"/>
  <c r="AX196" i="12"/>
  <c r="AY196" i="12"/>
  <c r="AZ196" i="12"/>
  <c r="BA196" i="12"/>
  <c r="BB196" i="12"/>
  <c r="BD196" i="12"/>
  <c r="BE196" i="12"/>
  <c r="F197" i="12"/>
  <c r="G197" i="12"/>
  <c r="H197" i="12"/>
  <c r="AR197" i="12" s="1"/>
  <c r="I197" i="12"/>
  <c r="AJ197" i="12"/>
  <c r="AK197" i="12"/>
  <c r="AZ197" i="12" s="1"/>
  <c r="AL197" i="12"/>
  <c r="AM197" i="12"/>
  <c r="AO197" i="12"/>
  <c r="AP197" i="12"/>
  <c r="AQ197" i="12"/>
  <c r="AS197" i="12"/>
  <c r="AT197" i="12"/>
  <c r="AU197" i="12"/>
  <c r="AV197" i="12"/>
  <c r="AW197" i="12"/>
  <c r="AX197" i="12"/>
  <c r="AY197" i="12"/>
  <c r="BA197" i="12"/>
  <c r="BB197" i="12"/>
  <c r="BC197" i="12"/>
  <c r="BD197" i="12"/>
  <c r="BE197" i="12"/>
  <c r="F198" i="12"/>
  <c r="G198" i="12"/>
  <c r="AQ198" i="12" s="1"/>
  <c r="H198" i="12"/>
  <c r="I198" i="12"/>
  <c r="AJ198" i="12"/>
  <c r="AK198" i="12"/>
  <c r="AZ198" i="12" s="1"/>
  <c r="AL198" i="12"/>
  <c r="AM198" i="12"/>
  <c r="BC198" i="12" s="1"/>
  <c r="AO198" i="12"/>
  <c r="AP198" i="12"/>
  <c r="AR198" i="12"/>
  <c r="AS198" i="12"/>
  <c r="AT198" i="12"/>
  <c r="AU198" i="12"/>
  <c r="AV198" i="12"/>
  <c r="AW198" i="12"/>
  <c r="AX198" i="12"/>
  <c r="AY198" i="12"/>
  <c r="BA198" i="12"/>
  <c r="BB198" i="12"/>
  <c r="BD198" i="12"/>
  <c r="BE198" i="12"/>
  <c r="F199" i="12"/>
  <c r="AQ199" i="12" s="1"/>
  <c r="G199" i="12"/>
  <c r="H199" i="12"/>
  <c r="AR199" i="12" s="1"/>
  <c r="I199" i="12"/>
  <c r="AJ199" i="12"/>
  <c r="AZ199" i="12" s="1"/>
  <c r="AK199" i="12"/>
  <c r="AL199" i="12"/>
  <c r="AM199" i="12"/>
  <c r="AO199" i="12"/>
  <c r="AP199" i="12"/>
  <c r="AS199" i="12"/>
  <c r="AT199" i="12"/>
  <c r="AU199" i="12"/>
  <c r="AV199" i="12"/>
  <c r="AW199" i="12"/>
  <c r="AX199" i="12"/>
  <c r="AY199" i="12"/>
  <c r="BA199" i="12"/>
  <c r="BB199" i="12"/>
  <c r="BC199" i="12"/>
  <c r="BD199" i="12"/>
  <c r="BE199" i="12"/>
  <c r="F200" i="12"/>
  <c r="G200" i="12"/>
  <c r="AQ200" i="12" s="1"/>
  <c r="H200" i="12"/>
  <c r="I200" i="12"/>
  <c r="AJ200" i="12"/>
  <c r="AK200" i="12"/>
  <c r="AL200" i="12"/>
  <c r="AM200" i="12"/>
  <c r="BC200" i="12" s="1"/>
  <c r="AO200" i="12"/>
  <c r="AP200" i="12"/>
  <c r="AR200" i="12"/>
  <c r="AS200" i="12"/>
  <c r="AT200" i="12"/>
  <c r="AU200" i="12"/>
  <c r="AV200" i="12"/>
  <c r="AW200" i="12"/>
  <c r="AX200" i="12"/>
  <c r="AY200" i="12"/>
  <c r="AZ200" i="12"/>
  <c r="BA200" i="12"/>
  <c r="BB200" i="12"/>
  <c r="BD200" i="12"/>
  <c r="BE200" i="12"/>
  <c r="F201" i="12"/>
  <c r="G201" i="12"/>
  <c r="H201" i="12"/>
  <c r="AR201" i="12" s="1"/>
  <c r="I201" i="12"/>
  <c r="AJ201" i="12"/>
  <c r="AK201" i="12"/>
  <c r="AZ201" i="12" s="1"/>
  <c r="AL201" i="12"/>
  <c r="AM201" i="12"/>
  <c r="AO201" i="12"/>
  <c r="AP201" i="12"/>
  <c r="AQ201" i="12"/>
  <c r="AS201" i="12"/>
  <c r="AT201" i="12"/>
  <c r="AU201" i="12"/>
  <c r="AV201" i="12"/>
  <c r="AW201" i="12"/>
  <c r="AX201" i="12"/>
  <c r="AY201" i="12"/>
  <c r="BA201" i="12"/>
  <c r="BB201" i="12"/>
  <c r="BC201" i="12"/>
  <c r="BD201" i="12"/>
  <c r="BE201" i="12"/>
  <c r="F202" i="12"/>
  <c r="G202" i="12"/>
  <c r="AQ202" i="12" s="1"/>
  <c r="H202" i="12"/>
  <c r="I202" i="12"/>
  <c r="AJ202" i="12"/>
  <c r="AK202" i="12"/>
  <c r="AZ202" i="12" s="1"/>
  <c r="AL202" i="12"/>
  <c r="AM202" i="12"/>
  <c r="BC202" i="12" s="1"/>
  <c r="AO202" i="12"/>
  <c r="AP202" i="12"/>
  <c r="AR202" i="12"/>
  <c r="AS202" i="12"/>
  <c r="AT202" i="12"/>
  <c r="AU202" i="12"/>
  <c r="AV202" i="12"/>
  <c r="AW202" i="12"/>
  <c r="AX202" i="12"/>
  <c r="AY202" i="12"/>
  <c r="BA202" i="12"/>
  <c r="BB202" i="12"/>
  <c r="BD202" i="12"/>
  <c r="BE202" i="12"/>
  <c r="F203" i="12"/>
  <c r="AQ203" i="12" s="1"/>
  <c r="G203" i="12"/>
  <c r="H203" i="12"/>
  <c r="AR203" i="12" s="1"/>
  <c r="I203" i="12"/>
  <c r="AJ203" i="12"/>
  <c r="AZ203" i="12" s="1"/>
  <c r="AK203" i="12"/>
  <c r="AL203" i="12"/>
  <c r="AM203" i="12"/>
  <c r="AO203" i="12"/>
  <c r="AP203" i="12"/>
  <c r="AS203" i="12"/>
  <c r="AT203" i="12"/>
  <c r="AU203" i="12"/>
  <c r="AV203" i="12"/>
  <c r="AW203" i="12"/>
  <c r="AX203" i="12"/>
  <c r="AY203" i="12"/>
  <c r="BA203" i="12"/>
  <c r="BB203" i="12"/>
  <c r="BC203" i="12"/>
  <c r="BD203" i="12"/>
  <c r="BE203" i="12"/>
  <c r="F204" i="12"/>
  <c r="G204" i="12"/>
  <c r="AQ204" i="12" s="1"/>
  <c r="H204" i="12"/>
  <c r="I204" i="12"/>
  <c r="AJ204" i="12"/>
  <c r="AK204" i="12"/>
  <c r="AL204" i="12"/>
  <c r="AM204" i="12"/>
  <c r="BC204" i="12" s="1"/>
  <c r="AO204" i="12"/>
  <c r="AP204" i="12"/>
  <c r="AR204" i="12"/>
  <c r="AS204" i="12"/>
  <c r="AT204" i="12"/>
  <c r="AU204" i="12"/>
  <c r="AV204" i="12"/>
  <c r="AW204" i="12"/>
  <c r="AX204" i="12"/>
  <c r="AY204" i="12"/>
  <c r="AZ204" i="12"/>
  <c r="BA204" i="12"/>
  <c r="BB204" i="12"/>
  <c r="BD204" i="12"/>
  <c r="BE204" i="12"/>
  <c r="F205" i="12"/>
  <c r="G205" i="12"/>
  <c r="H205" i="12"/>
  <c r="AR205" i="12" s="1"/>
  <c r="I205" i="12"/>
  <c r="AJ205" i="12"/>
  <c r="AK205" i="12"/>
  <c r="AZ205" i="12" s="1"/>
  <c r="AL205" i="12"/>
  <c r="AM205" i="12"/>
  <c r="AO205" i="12"/>
  <c r="AP205" i="12"/>
  <c r="AQ205" i="12"/>
  <c r="AS205" i="12"/>
  <c r="AT205" i="12"/>
  <c r="AU205" i="12"/>
  <c r="AV205" i="12"/>
  <c r="AW205" i="12"/>
  <c r="AX205" i="12"/>
  <c r="AY205" i="12"/>
  <c r="BA205" i="12"/>
  <c r="BB205" i="12"/>
  <c r="BC205" i="12"/>
  <c r="BD205" i="12"/>
  <c r="BE205" i="12"/>
  <c r="F206" i="12"/>
  <c r="G206" i="12"/>
  <c r="AQ206" i="12" s="1"/>
  <c r="H206" i="12"/>
  <c r="I206" i="12"/>
  <c r="AJ206" i="12"/>
  <c r="AK206" i="12"/>
  <c r="AZ206" i="12" s="1"/>
  <c r="AL206" i="12"/>
  <c r="AM206" i="12"/>
  <c r="BC206" i="12" s="1"/>
  <c r="AO206" i="12"/>
  <c r="AP206" i="12"/>
  <c r="AR206" i="12"/>
  <c r="AS206" i="12"/>
  <c r="AT206" i="12"/>
  <c r="AU206" i="12"/>
  <c r="AV206" i="12"/>
  <c r="AW206" i="12"/>
  <c r="AX206" i="12"/>
  <c r="AY206" i="12"/>
  <c r="BA206" i="12"/>
  <c r="BB206" i="12"/>
  <c r="BD206" i="12"/>
  <c r="BE206" i="12"/>
  <c r="F207" i="12"/>
  <c r="AQ207" i="12" s="1"/>
  <c r="G207" i="12"/>
  <c r="H207" i="12"/>
  <c r="AR207" i="12" s="1"/>
  <c r="I207" i="12"/>
  <c r="AJ207" i="12"/>
  <c r="AZ207" i="12" s="1"/>
  <c r="AK207" i="12"/>
  <c r="AL207" i="12"/>
  <c r="AM207" i="12"/>
  <c r="AO207" i="12"/>
  <c r="AP207" i="12"/>
  <c r="AS207" i="12"/>
  <c r="AT207" i="12"/>
  <c r="AU207" i="12"/>
  <c r="AV207" i="12"/>
  <c r="AW207" i="12"/>
  <c r="AX207" i="12"/>
  <c r="AY207" i="12"/>
  <c r="BA207" i="12"/>
  <c r="BB207" i="12"/>
  <c r="BC207" i="12"/>
  <c r="BD207" i="12"/>
  <c r="BE207" i="12"/>
  <c r="F208" i="12"/>
  <c r="G208" i="12"/>
  <c r="AQ208" i="12" s="1"/>
  <c r="H208" i="12"/>
  <c r="I208" i="12"/>
  <c r="AJ208" i="12"/>
  <c r="AK208" i="12"/>
  <c r="AL208" i="12"/>
  <c r="AM208" i="12"/>
  <c r="BC208" i="12" s="1"/>
  <c r="AO208" i="12"/>
  <c r="AP208" i="12"/>
  <c r="AR208" i="12"/>
  <c r="AS208" i="12"/>
  <c r="AT208" i="12"/>
  <c r="AU208" i="12"/>
  <c r="AV208" i="12"/>
  <c r="AW208" i="12"/>
  <c r="AX208" i="12"/>
  <c r="AY208" i="12"/>
  <c r="AZ208" i="12"/>
  <c r="BA208" i="12"/>
  <c r="BB208" i="12"/>
  <c r="BD208" i="12"/>
  <c r="BE208" i="12"/>
  <c r="F209" i="12"/>
  <c r="G209" i="12"/>
  <c r="H209" i="12"/>
  <c r="AR209" i="12" s="1"/>
  <c r="I209" i="12"/>
  <c r="AJ209" i="12"/>
  <c r="AK209" i="12"/>
  <c r="AZ209" i="12" s="1"/>
  <c r="AL209" i="12"/>
  <c r="AM209" i="12"/>
  <c r="AO209" i="12"/>
  <c r="AP209" i="12"/>
  <c r="AQ209" i="12"/>
  <c r="AS209" i="12"/>
  <c r="AT209" i="12"/>
  <c r="AU209" i="12"/>
  <c r="AV209" i="12"/>
  <c r="AW209" i="12"/>
  <c r="AX209" i="12"/>
  <c r="AY209" i="12"/>
  <c r="BA209" i="12"/>
  <c r="BB209" i="12"/>
  <c r="BC209" i="12"/>
  <c r="BD209" i="12"/>
  <c r="BE209" i="12"/>
  <c r="F210" i="12"/>
  <c r="G210" i="12"/>
  <c r="AQ210" i="12" s="1"/>
  <c r="H210" i="12"/>
  <c r="I210" i="12"/>
  <c r="AJ210" i="12"/>
  <c r="AK210" i="12"/>
  <c r="AZ210" i="12" s="1"/>
  <c r="AL210" i="12"/>
  <c r="AM210" i="12"/>
  <c r="BC210" i="12" s="1"/>
  <c r="AO210" i="12"/>
  <c r="AP210" i="12"/>
  <c r="AR210" i="12"/>
  <c r="AS210" i="12"/>
  <c r="AT210" i="12"/>
  <c r="AU210" i="12"/>
  <c r="AV210" i="12"/>
  <c r="AW210" i="12"/>
  <c r="AX210" i="12"/>
  <c r="AY210" i="12"/>
  <c r="BA210" i="12"/>
  <c r="BB210" i="12"/>
  <c r="BD210" i="12"/>
  <c r="BE210" i="12"/>
  <c r="F211" i="12"/>
  <c r="AQ211" i="12" s="1"/>
  <c r="G211" i="12"/>
  <c r="H211" i="12"/>
  <c r="AR211" i="12" s="1"/>
  <c r="I211" i="12"/>
  <c r="AJ211" i="12"/>
  <c r="AZ211" i="12" s="1"/>
  <c r="AK211" i="12"/>
  <c r="AL211" i="12"/>
  <c r="AM211" i="12"/>
  <c r="AO211" i="12"/>
  <c r="AP211" i="12"/>
  <c r="AS211" i="12"/>
  <c r="AT211" i="12"/>
  <c r="AU211" i="12"/>
  <c r="AV211" i="12"/>
  <c r="AW211" i="12"/>
  <c r="AX211" i="12"/>
  <c r="AY211" i="12"/>
  <c r="BA211" i="12"/>
  <c r="BB211" i="12"/>
  <c r="BC211" i="12"/>
  <c r="BD211" i="12"/>
  <c r="BE211" i="12"/>
  <c r="F212" i="12"/>
  <c r="G212" i="12"/>
  <c r="AQ212" i="12" s="1"/>
  <c r="H212" i="12"/>
  <c r="I212" i="12"/>
  <c r="AJ212" i="12"/>
  <c r="AK212" i="12"/>
  <c r="AL212" i="12"/>
  <c r="AM212" i="12"/>
  <c r="BC212" i="12" s="1"/>
  <c r="AO212" i="12"/>
  <c r="AP212" i="12"/>
  <c r="AR212" i="12"/>
  <c r="AS212" i="12"/>
  <c r="AT212" i="12"/>
  <c r="AU212" i="12"/>
  <c r="AV212" i="12"/>
  <c r="AW212" i="12"/>
  <c r="AX212" i="12"/>
  <c r="AY212" i="12"/>
  <c r="AZ212" i="12"/>
  <c r="BA212" i="12"/>
  <c r="BB212" i="12"/>
  <c r="BD212" i="12"/>
  <c r="BE212" i="12"/>
  <c r="F213" i="12"/>
  <c r="G213" i="12"/>
  <c r="H213" i="12"/>
  <c r="AR213" i="12" s="1"/>
  <c r="I213" i="12"/>
  <c r="AJ213" i="12"/>
  <c r="AK213" i="12"/>
  <c r="AZ213" i="12" s="1"/>
  <c r="AL213" i="12"/>
  <c r="AM213" i="12"/>
  <c r="AO213" i="12"/>
  <c r="AP213" i="12"/>
  <c r="AQ213" i="12"/>
  <c r="AS213" i="12"/>
  <c r="AT213" i="12"/>
  <c r="AU213" i="12"/>
  <c r="AV213" i="12"/>
  <c r="AW213" i="12"/>
  <c r="AX213" i="12"/>
  <c r="AY213" i="12"/>
  <c r="BA213" i="12"/>
  <c r="BB213" i="12"/>
  <c r="BC213" i="12"/>
  <c r="BD213" i="12"/>
  <c r="BE213" i="12"/>
  <c r="F214" i="12"/>
  <c r="G214" i="12"/>
  <c r="AQ214" i="12" s="1"/>
  <c r="H214" i="12"/>
  <c r="I214" i="12"/>
  <c r="AJ214" i="12"/>
  <c r="AK214" i="12"/>
  <c r="AZ214" i="12" s="1"/>
  <c r="AL214" i="12"/>
  <c r="AM214" i="12"/>
  <c r="BC214" i="12" s="1"/>
  <c r="AO214" i="12"/>
  <c r="AP214" i="12"/>
  <c r="AR214" i="12"/>
  <c r="AS214" i="12"/>
  <c r="AT214" i="12"/>
  <c r="AU214" i="12"/>
  <c r="AV214" i="12"/>
  <c r="AW214" i="12"/>
  <c r="AX214" i="12"/>
  <c r="AY214" i="12"/>
  <c r="BA214" i="12"/>
  <c r="BB214" i="12"/>
  <c r="BD214" i="12"/>
  <c r="BE214" i="12"/>
  <c r="F215" i="12"/>
  <c r="AQ215" i="12" s="1"/>
  <c r="G215" i="12"/>
  <c r="H215" i="12"/>
  <c r="AR215" i="12" s="1"/>
  <c r="I215" i="12"/>
  <c r="AJ215" i="12"/>
  <c r="AZ215" i="12" s="1"/>
  <c r="AK215" i="12"/>
  <c r="AL215" i="12"/>
  <c r="AM215" i="12"/>
  <c r="AO215" i="12"/>
  <c r="AP215" i="12"/>
  <c r="AS215" i="12"/>
  <c r="AT215" i="12"/>
  <c r="AU215" i="12"/>
  <c r="AV215" i="12"/>
  <c r="AW215" i="12"/>
  <c r="AX215" i="12"/>
  <c r="AY215" i="12"/>
  <c r="BA215" i="12"/>
  <c r="BB215" i="12"/>
  <c r="BC215" i="12"/>
  <c r="BD215" i="12"/>
  <c r="BE215" i="12"/>
  <c r="F216" i="12"/>
  <c r="G216" i="12"/>
  <c r="AQ216" i="12" s="1"/>
  <c r="H216" i="12"/>
  <c r="I216" i="12"/>
  <c r="AJ216" i="12"/>
  <c r="AK216" i="12"/>
  <c r="AL216" i="12"/>
  <c r="AM216" i="12"/>
  <c r="BC216" i="12" s="1"/>
  <c r="AO216" i="12"/>
  <c r="AP216" i="12"/>
  <c r="AR216" i="12"/>
  <c r="AS216" i="12"/>
  <c r="AT216" i="12"/>
  <c r="AU216" i="12"/>
  <c r="AV216" i="12"/>
  <c r="AW216" i="12"/>
  <c r="AX216" i="12"/>
  <c r="AY216" i="12"/>
  <c r="AZ216" i="12"/>
  <c r="BA216" i="12"/>
  <c r="BB216" i="12"/>
  <c r="BD216" i="12"/>
  <c r="BE216" i="12"/>
  <c r="F217" i="12"/>
  <c r="G217" i="12"/>
  <c r="H217" i="12"/>
  <c r="AR217" i="12" s="1"/>
  <c r="I217" i="12"/>
  <c r="AJ217" i="12"/>
  <c r="AK217" i="12"/>
  <c r="AZ217" i="12" s="1"/>
  <c r="AL217" i="12"/>
  <c r="AM217" i="12"/>
  <c r="AO217" i="12"/>
  <c r="AP217" i="12"/>
  <c r="AQ217" i="12"/>
  <c r="AS217" i="12"/>
  <c r="AT217" i="12"/>
  <c r="AU217" i="12"/>
  <c r="AV217" i="12"/>
  <c r="AW217" i="12"/>
  <c r="AX217" i="12"/>
  <c r="AY217" i="12"/>
  <c r="BA217" i="12"/>
  <c r="BB217" i="12"/>
  <c r="BC217" i="12"/>
  <c r="BD217" i="12"/>
  <c r="BE217" i="12"/>
  <c r="F218" i="12"/>
  <c r="G218" i="12"/>
  <c r="AQ218" i="12" s="1"/>
  <c r="H218" i="12"/>
  <c r="I218" i="12"/>
  <c r="AJ218" i="12"/>
  <c r="AK218" i="12"/>
  <c r="AZ218" i="12" s="1"/>
  <c r="AL218" i="12"/>
  <c r="AM218" i="12"/>
  <c r="BC218" i="12" s="1"/>
  <c r="AO218" i="12"/>
  <c r="AP218" i="12"/>
  <c r="AR218" i="12"/>
  <c r="AS218" i="12"/>
  <c r="AT218" i="12"/>
  <c r="AU218" i="12"/>
  <c r="AV218" i="12"/>
  <c r="AW218" i="12"/>
  <c r="AX218" i="12"/>
  <c r="AY218" i="12"/>
  <c r="BA218" i="12"/>
  <c r="BB218" i="12"/>
  <c r="BD218" i="12"/>
  <c r="BE218" i="12"/>
  <c r="F219" i="12"/>
  <c r="AQ219" i="12" s="1"/>
  <c r="G219" i="12"/>
  <c r="H219" i="12"/>
  <c r="AR219" i="12" s="1"/>
  <c r="I219" i="12"/>
  <c r="AJ219" i="12"/>
  <c r="AZ219" i="12" s="1"/>
  <c r="AK219" i="12"/>
  <c r="AL219" i="12"/>
  <c r="AM219" i="12"/>
  <c r="AO219" i="12"/>
  <c r="AP219" i="12"/>
  <c r="AS219" i="12"/>
  <c r="AT219" i="12"/>
  <c r="AU219" i="12"/>
  <c r="AV219" i="12"/>
  <c r="AW219" i="12"/>
  <c r="AX219" i="12"/>
  <c r="AY219" i="12"/>
  <c r="BA219" i="12"/>
  <c r="BB219" i="12"/>
  <c r="BC219" i="12"/>
  <c r="BD219" i="12"/>
  <c r="BE219" i="12"/>
  <c r="F220" i="12"/>
  <c r="G220" i="12"/>
  <c r="AQ220" i="12" s="1"/>
  <c r="H220" i="12"/>
  <c r="I220" i="12"/>
  <c r="AJ220" i="12"/>
  <c r="AK220" i="12"/>
  <c r="AL220" i="12"/>
  <c r="AM220" i="12"/>
  <c r="BC220" i="12" s="1"/>
  <c r="AO220" i="12"/>
  <c r="AP220" i="12"/>
  <c r="AR220" i="12"/>
  <c r="AS220" i="12"/>
  <c r="AT220" i="12"/>
  <c r="AU220" i="12"/>
  <c r="AV220" i="12"/>
  <c r="AW220" i="12"/>
  <c r="AX220" i="12"/>
  <c r="AY220" i="12"/>
  <c r="AZ220" i="12"/>
  <c r="BA220" i="12"/>
  <c r="BB220" i="12"/>
  <c r="BD220" i="12"/>
  <c r="BE220" i="12"/>
  <c r="F221" i="12"/>
  <c r="G221" i="12"/>
  <c r="H221" i="12"/>
  <c r="AR221" i="12" s="1"/>
  <c r="I221" i="12"/>
  <c r="AJ221" i="12"/>
  <c r="AK221" i="12"/>
  <c r="AZ221" i="12" s="1"/>
  <c r="AL221" i="12"/>
  <c r="AM221" i="12"/>
  <c r="AO221" i="12"/>
  <c r="AP221" i="12"/>
  <c r="AQ221" i="12"/>
  <c r="AS221" i="12"/>
  <c r="AT221" i="12"/>
  <c r="AU221" i="12"/>
  <c r="AV221" i="12"/>
  <c r="AW221" i="12"/>
  <c r="AX221" i="12"/>
  <c r="AY221" i="12"/>
  <c r="BA221" i="12"/>
  <c r="BB221" i="12"/>
  <c r="BC221" i="12"/>
  <c r="BD221" i="12"/>
  <c r="BE221" i="12"/>
  <c r="F222" i="12"/>
  <c r="G222" i="12"/>
  <c r="AQ222" i="12" s="1"/>
  <c r="H222" i="12"/>
  <c r="I222" i="12"/>
  <c r="AJ222" i="12"/>
  <c r="AK222" i="12"/>
  <c r="AZ222" i="12" s="1"/>
  <c r="AL222" i="12"/>
  <c r="AM222" i="12"/>
  <c r="BC222" i="12" s="1"/>
  <c r="AO222" i="12"/>
  <c r="AP222" i="12"/>
  <c r="AR222" i="12"/>
  <c r="AS222" i="12"/>
  <c r="AT222" i="12"/>
  <c r="AU222" i="12"/>
  <c r="AV222" i="12"/>
  <c r="AW222" i="12"/>
  <c r="AX222" i="12"/>
  <c r="AY222" i="12"/>
  <c r="BA222" i="12"/>
  <c r="BB222" i="12"/>
  <c r="BD222" i="12"/>
  <c r="BE222" i="12"/>
  <c r="F223" i="12"/>
  <c r="AQ223" i="12" s="1"/>
  <c r="G223" i="12"/>
  <c r="H223" i="12"/>
  <c r="AR223" i="12" s="1"/>
  <c r="I223" i="12"/>
  <c r="AJ223" i="12"/>
  <c r="AZ223" i="12" s="1"/>
  <c r="AK223" i="12"/>
  <c r="AL223" i="12"/>
  <c r="AM223" i="12"/>
  <c r="AO223" i="12"/>
  <c r="AP223" i="12"/>
  <c r="AS223" i="12"/>
  <c r="AT223" i="12"/>
  <c r="AU223" i="12"/>
  <c r="AV223" i="12"/>
  <c r="AW223" i="12"/>
  <c r="AX223" i="12"/>
  <c r="AY223" i="12"/>
  <c r="BA223" i="12"/>
  <c r="BB223" i="12"/>
  <c r="BC223" i="12"/>
  <c r="BD223" i="12"/>
  <c r="BE223" i="12"/>
  <c r="F224" i="12"/>
  <c r="G224" i="12"/>
  <c r="AQ224" i="12" s="1"/>
  <c r="H224" i="12"/>
  <c r="I224" i="12"/>
  <c r="AJ224" i="12"/>
  <c r="AK224" i="12"/>
  <c r="AL224" i="12"/>
  <c r="AM224" i="12"/>
  <c r="BC224" i="12" s="1"/>
  <c r="AO224" i="12"/>
  <c r="AP224" i="12"/>
  <c r="AR224" i="12"/>
  <c r="AS224" i="12"/>
  <c r="AT224" i="12"/>
  <c r="AU224" i="12"/>
  <c r="AV224" i="12"/>
  <c r="AW224" i="12"/>
  <c r="AX224" i="12"/>
  <c r="AY224" i="12"/>
  <c r="AZ224" i="12"/>
  <c r="BA224" i="12"/>
  <c r="BB224" i="12"/>
  <c r="BD224" i="12"/>
  <c r="BE224" i="12"/>
  <c r="F225" i="12"/>
  <c r="G225" i="12"/>
  <c r="H225" i="12"/>
  <c r="AR225" i="12" s="1"/>
  <c r="I225" i="12"/>
  <c r="AJ225" i="12"/>
  <c r="AK225" i="12"/>
  <c r="AZ225" i="12" s="1"/>
  <c r="AL225" i="12"/>
  <c r="AM225" i="12"/>
  <c r="AO225" i="12"/>
  <c r="AP225" i="12"/>
  <c r="AQ225" i="12"/>
  <c r="AS225" i="12"/>
  <c r="AT225" i="12"/>
  <c r="AU225" i="12"/>
  <c r="AV225" i="12"/>
  <c r="AW225" i="12"/>
  <c r="AX225" i="12"/>
  <c r="AY225" i="12"/>
  <c r="BA225" i="12"/>
  <c r="BB225" i="12"/>
  <c r="BC225" i="12"/>
  <c r="BD225" i="12"/>
  <c r="BE225" i="12"/>
  <c r="F226" i="12"/>
  <c r="G226" i="12"/>
  <c r="AQ226" i="12" s="1"/>
  <c r="H226" i="12"/>
  <c r="I226" i="12"/>
  <c r="AJ226" i="12"/>
  <c r="AK226" i="12"/>
  <c r="AZ226" i="12" s="1"/>
  <c r="AL226" i="12"/>
  <c r="AM226" i="12"/>
  <c r="BC226" i="12" s="1"/>
  <c r="AO226" i="12"/>
  <c r="AP226" i="12"/>
  <c r="AR226" i="12"/>
  <c r="AS226" i="12"/>
  <c r="AT226" i="12"/>
  <c r="AU226" i="12"/>
  <c r="AV226" i="12"/>
  <c r="AW226" i="12"/>
  <c r="AX226" i="12"/>
  <c r="AY226" i="12"/>
  <c r="BA226" i="12"/>
  <c r="BB226" i="12"/>
  <c r="BD226" i="12"/>
  <c r="BE226" i="12"/>
  <c r="F227" i="12"/>
  <c r="AQ227" i="12" s="1"/>
  <c r="G227" i="12"/>
  <c r="H227" i="12"/>
  <c r="AR227" i="12" s="1"/>
  <c r="I227" i="12"/>
  <c r="AJ227" i="12"/>
  <c r="AZ227" i="12" s="1"/>
  <c r="AK227" i="12"/>
  <c r="AL227" i="12"/>
  <c r="AM227" i="12"/>
  <c r="AO227" i="12"/>
  <c r="AP227" i="12"/>
  <c r="AS227" i="12"/>
  <c r="AT227" i="12"/>
  <c r="AU227" i="12"/>
  <c r="AV227" i="12"/>
  <c r="AW227" i="12"/>
  <c r="AX227" i="12"/>
  <c r="AY227" i="12"/>
  <c r="BA227" i="12"/>
  <c r="BB227" i="12"/>
  <c r="BC227" i="12"/>
  <c r="BD227" i="12"/>
  <c r="BE227" i="12"/>
  <c r="F228" i="12"/>
  <c r="G228" i="12"/>
  <c r="AQ228" i="12" s="1"/>
  <c r="H228" i="12"/>
  <c r="I228" i="12"/>
  <c r="AJ228" i="12"/>
  <c r="AK228" i="12"/>
  <c r="AL228" i="12"/>
  <c r="AM228" i="12"/>
  <c r="BC228" i="12" s="1"/>
  <c r="AO228" i="12"/>
  <c r="AP228" i="12"/>
  <c r="AR228" i="12"/>
  <c r="AS228" i="12"/>
  <c r="AT228" i="12"/>
  <c r="AU228" i="12"/>
  <c r="AV228" i="12"/>
  <c r="AW228" i="12"/>
  <c r="AX228" i="12"/>
  <c r="AY228" i="12"/>
  <c r="AZ228" i="12"/>
  <c r="BA228" i="12"/>
  <c r="BB228" i="12"/>
  <c r="BD228" i="12"/>
  <c r="BE228" i="12"/>
  <c r="F229" i="12"/>
  <c r="G229" i="12"/>
  <c r="H229" i="12"/>
  <c r="AR229" i="12" s="1"/>
  <c r="I229" i="12"/>
  <c r="AJ229" i="12"/>
  <c r="AK229" i="12"/>
  <c r="AZ229" i="12" s="1"/>
  <c r="AL229" i="12"/>
  <c r="AM229" i="12"/>
  <c r="AO229" i="12"/>
  <c r="AP229" i="12"/>
  <c r="AQ229" i="12"/>
  <c r="AS229" i="12"/>
  <c r="AT229" i="12"/>
  <c r="AU229" i="12"/>
  <c r="AV229" i="12"/>
  <c r="AW229" i="12"/>
  <c r="AX229" i="12"/>
  <c r="AY229" i="12"/>
  <c r="BA229" i="12"/>
  <c r="BB229" i="12"/>
  <c r="BC229" i="12"/>
  <c r="BD229" i="12"/>
  <c r="BE229" i="12"/>
  <c r="F230" i="12"/>
  <c r="G230" i="12"/>
  <c r="AQ230" i="12" s="1"/>
  <c r="H230" i="12"/>
  <c r="I230" i="12"/>
  <c r="AJ230" i="12"/>
  <c r="AK230" i="12"/>
  <c r="AZ230" i="12" s="1"/>
  <c r="AL230" i="12"/>
  <c r="AM230" i="12"/>
  <c r="BC230" i="12" s="1"/>
  <c r="AO230" i="12"/>
  <c r="AP230" i="12"/>
  <c r="AR230" i="12"/>
  <c r="AS230" i="12"/>
  <c r="AT230" i="12"/>
  <c r="AU230" i="12"/>
  <c r="AV230" i="12"/>
  <c r="AW230" i="12"/>
  <c r="AX230" i="12"/>
  <c r="AY230" i="12"/>
  <c r="BA230" i="12"/>
  <c r="BB230" i="12"/>
  <c r="BD230" i="12"/>
  <c r="BE230" i="12"/>
  <c r="F231" i="12"/>
  <c r="AQ231" i="12" s="1"/>
  <c r="G231" i="12"/>
  <c r="H231" i="12"/>
  <c r="AR231" i="12" s="1"/>
  <c r="I231" i="12"/>
  <c r="AJ231" i="12"/>
  <c r="AZ231" i="12" s="1"/>
  <c r="AK231" i="12"/>
  <c r="AL231" i="12"/>
  <c r="AM231" i="12"/>
  <c r="AO231" i="12"/>
  <c r="AP231" i="12"/>
  <c r="AS231" i="12"/>
  <c r="AT231" i="12"/>
  <c r="AU231" i="12"/>
  <c r="AV231" i="12"/>
  <c r="AW231" i="12"/>
  <c r="AX231" i="12"/>
  <c r="AY231" i="12"/>
  <c r="BA231" i="12"/>
  <c r="BB231" i="12"/>
  <c r="BC231" i="12"/>
  <c r="BD231" i="12"/>
  <c r="BE231" i="12"/>
  <c r="F232" i="12"/>
  <c r="G232" i="12"/>
  <c r="AQ232" i="12" s="1"/>
  <c r="H232" i="12"/>
  <c r="I232" i="12"/>
  <c r="AJ232" i="12"/>
  <c r="AK232" i="12"/>
  <c r="AL232" i="12"/>
  <c r="AM232" i="12"/>
  <c r="BC232" i="12" s="1"/>
  <c r="AO232" i="12"/>
  <c r="AP232" i="12"/>
  <c r="AR232" i="12"/>
  <c r="AS232" i="12"/>
  <c r="AT232" i="12"/>
  <c r="AU232" i="12"/>
  <c r="AV232" i="12"/>
  <c r="AW232" i="12"/>
  <c r="AX232" i="12"/>
  <c r="AY232" i="12"/>
  <c r="AZ232" i="12"/>
  <c r="BA232" i="12"/>
  <c r="BB232" i="12"/>
  <c r="BD232" i="12"/>
  <c r="BE232" i="12"/>
  <c r="F233" i="12"/>
  <c r="G233" i="12"/>
  <c r="H233" i="12"/>
  <c r="AR233" i="12" s="1"/>
  <c r="I233" i="12"/>
  <c r="AJ233" i="12"/>
  <c r="AK233" i="12"/>
  <c r="AZ233" i="12" s="1"/>
  <c r="AL233" i="12"/>
  <c r="AM233" i="12"/>
  <c r="AO233" i="12"/>
  <c r="AP233" i="12"/>
  <c r="AQ233" i="12"/>
  <c r="AS233" i="12"/>
  <c r="AT233" i="12"/>
  <c r="AU233" i="12"/>
  <c r="AV233" i="12"/>
  <c r="AW233" i="12"/>
  <c r="AX233" i="12"/>
  <c r="AY233" i="12"/>
  <c r="BA233" i="12"/>
  <c r="BB233" i="12"/>
  <c r="BC233" i="12"/>
  <c r="BD233" i="12"/>
  <c r="BE233" i="12"/>
  <c r="F234" i="12"/>
  <c r="G234" i="12"/>
  <c r="AQ234" i="12" s="1"/>
  <c r="H234" i="12"/>
  <c r="I234" i="12"/>
  <c r="AJ234" i="12"/>
  <c r="AK234" i="12"/>
  <c r="AZ234" i="12" s="1"/>
  <c r="AL234" i="12"/>
  <c r="AM234" i="12"/>
  <c r="BC234" i="12" s="1"/>
  <c r="AO234" i="12"/>
  <c r="AP234" i="12"/>
  <c r="AR234" i="12"/>
  <c r="AS234" i="12"/>
  <c r="AT234" i="12"/>
  <c r="AU234" i="12"/>
  <c r="AV234" i="12"/>
  <c r="AW234" i="12"/>
  <c r="AX234" i="12"/>
  <c r="AY234" i="12"/>
  <c r="BA234" i="12"/>
  <c r="BB234" i="12"/>
  <c r="BD234" i="12"/>
  <c r="BE234" i="12"/>
  <c r="F235" i="12"/>
  <c r="AQ235" i="12" s="1"/>
  <c r="G235" i="12"/>
  <c r="H235" i="12"/>
  <c r="AR235" i="12" s="1"/>
  <c r="I235" i="12"/>
  <c r="AJ235" i="12"/>
  <c r="AZ235" i="12" s="1"/>
  <c r="AK235" i="12"/>
  <c r="AL235" i="12"/>
  <c r="AM235" i="12"/>
  <c r="AO235" i="12"/>
  <c r="AP235" i="12"/>
  <c r="AS235" i="12"/>
  <c r="AT235" i="12"/>
  <c r="AU235" i="12"/>
  <c r="AV235" i="12"/>
  <c r="AW235" i="12"/>
  <c r="AX235" i="12"/>
  <c r="AY235" i="12"/>
  <c r="BA235" i="12"/>
  <c r="BB235" i="12"/>
  <c r="BC235" i="12"/>
  <c r="BD235" i="12"/>
  <c r="BE235" i="12"/>
  <c r="F236" i="12"/>
  <c r="G236" i="12"/>
  <c r="AQ236" i="12" s="1"/>
  <c r="H236" i="12"/>
  <c r="I236" i="12"/>
  <c r="AJ236" i="12"/>
  <c r="AK236" i="12"/>
  <c r="AL236" i="12"/>
  <c r="AM236" i="12"/>
  <c r="BC236" i="12" s="1"/>
  <c r="AO236" i="12"/>
  <c r="AP236" i="12"/>
  <c r="AR236" i="12"/>
  <c r="AS236" i="12"/>
  <c r="AT236" i="12"/>
  <c r="AU236" i="12"/>
  <c r="AV236" i="12"/>
  <c r="AW236" i="12"/>
  <c r="AX236" i="12"/>
  <c r="AY236" i="12"/>
  <c r="AZ236" i="12"/>
  <c r="BA236" i="12"/>
  <c r="BB236" i="12"/>
  <c r="BD236" i="12"/>
  <c r="BE236" i="12"/>
  <c r="F237" i="12"/>
  <c r="G237" i="12"/>
  <c r="H237" i="12"/>
  <c r="AR237" i="12" s="1"/>
  <c r="I237" i="12"/>
  <c r="AJ237" i="12"/>
  <c r="AK237" i="12"/>
  <c r="AZ237" i="12" s="1"/>
  <c r="AL237" i="12"/>
  <c r="AM237" i="12"/>
  <c r="AO237" i="12"/>
  <c r="AP237" i="12"/>
  <c r="AQ237" i="12"/>
  <c r="AS237" i="12"/>
  <c r="AT237" i="12"/>
  <c r="AU237" i="12"/>
  <c r="AV237" i="12"/>
  <c r="AW237" i="12"/>
  <c r="AX237" i="12"/>
  <c r="AY237" i="12"/>
  <c r="BA237" i="12"/>
  <c r="BB237" i="12"/>
  <c r="BC237" i="12"/>
  <c r="BD237" i="12"/>
  <c r="BE237" i="12"/>
  <c r="F238" i="12"/>
  <c r="G238" i="12"/>
  <c r="AQ238" i="12" s="1"/>
  <c r="H238" i="12"/>
  <c r="I238" i="12"/>
  <c r="AJ238" i="12"/>
  <c r="AK238" i="12"/>
  <c r="AZ238" i="12" s="1"/>
  <c r="AL238" i="12"/>
  <c r="AM238" i="12"/>
  <c r="BC238" i="12" s="1"/>
  <c r="AO238" i="12"/>
  <c r="AP238" i="12"/>
  <c r="AR238" i="12"/>
  <c r="AS238" i="12"/>
  <c r="AT238" i="12"/>
  <c r="AU238" i="12"/>
  <c r="AV238" i="12"/>
  <c r="AW238" i="12"/>
  <c r="AX238" i="12"/>
  <c r="AY238" i="12"/>
  <c r="BA238" i="12"/>
  <c r="BB238" i="12"/>
  <c r="BD238" i="12"/>
  <c r="BE238" i="12"/>
  <c r="F239" i="12"/>
  <c r="AQ239" i="12" s="1"/>
  <c r="G239" i="12"/>
  <c r="H239" i="12"/>
  <c r="AR239" i="12" s="1"/>
  <c r="I239" i="12"/>
  <c r="AJ239" i="12"/>
  <c r="AZ239" i="12" s="1"/>
  <c r="AK239" i="12"/>
  <c r="AL239" i="12"/>
  <c r="AM239" i="12"/>
  <c r="AO239" i="12"/>
  <c r="AP239" i="12"/>
  <c r="AS239" i="12"/>
  <c r="AT239" i="12"/>
  <c r="AU239" i="12"/>
  <c r="AV239" i="12"/>
  <c r="AW239" i="12"/>
  <c r="AX239" i="12"/>
  <c r="AY239" i="12"/>
  <c r="BA239" i="12"/>
  <c r="BB239" i="12"/>
  <c r="BC239" i="12"/>
  <c r="BD239" i="12"/>
  <c r="BE239" i="12"/>
  <c r="F240" i="12"/>
  <c r="G240" i="12"/>
  <c r="AQ240" i="12" s="1"/>
  <c r="H240" i="12"/>
  <c r="I240" i="12"/>
  <c r="AJ240" i="12"/>
  <c r="AK240" i="12"/>
  <c r="AL240" i="12"/>
  <c r="AM240" i="12"/>
  <c r="BC240" i="12" s="1"/>
  <c r="AO240" i="12"/>
  <c r="AP240" i="12"/>
  <c r="AR240" i="12"/>
  <c r="AS240" i="12"/>
  <c r="AT240" i="12"/>
  <c r="AU240" i="12"/>
  <c r="AV240" i="12"/>
  <c r="AW240" i="12"/>
  <c r="AX240" i="12"/>
  <c r="AY240" i="12"/>
  <c r="AZ240" i="12"/>
  <c r="BA240" i="12"/>
  <c r="BB240" i="12"/>
  <c r="BD240" i="12"/>
  <c r="BE240" i="12"/>
  <c r="F241" i="12"/>
  <c r="G241" i="12"/>
  <c r="H241" i="12"/>
  <c r="AR241" i="12" s="1"/>
  <c r="I241" i="12"/>
  <c r="AJ241" i="12"/>
  <c r="AK241" i="12"/>
  <c r="AZ241" i="12" s="1"/>
  <c r="AL241" i="12"/>
  <c r="AM241" i="12"/>
  <c r="AO241" i="12"/>
  <c r="AP241" i="12"/>
  <c r="AQ241" i="12"/>
  <c r="AS241" i="12"/>
  <c r="AT241" i="12"/>
  <c r="AU241" i="12"/>
  <c r="AV241" i="12"/>
  <c r="AW241" i="12"/>
  <c r="AX241" i="12"/>
  <c r="AY241" i="12"/>
  <c r="BA241" i="12"/>
  <c r="BB241" i="12"/>
  <c r="BC241" i="12"/>
  <c r="BD241" i="12"/>
  <c r="BE241" i="12"/>
  <c r="F242" i="12"/>
  <c r="G242" i="12"/>
  <c r="AQ242" i="12" s="1"/>
  <c r="H242" i="12"/>
  <c r="I242" i="12"/>
  <c r="AJ242" i="12"/>
  <c r="AK242" i="12"/>
  <c r="AZ242" i="12" s="1"/>
  <c r="AL242" i="12"/>
  <c r="AM242" i="12"/>
  <c r="BC242" i="12" s="1"/>
  <c r="AO242" i="12"/>
  <c r="AP242" i="12"/>
  <c r="AR242" i="12"/>
  <c r="AS242" i="12"/>
  <c r="AT242" i="12"/>
  <c r="AU242" i="12"/>
  <c r="AV242" i="12"/>
  <c r="AW242" i="12"/>
  <c r="AX242" i="12"/>
  <c r="AY242" i="12"/>
  <c r="BA242" i="12"/>
  <c r="BB242" i="12"/>
  <c r="BD242" i="12"/>
  <c r="BE242" i="12"/>
  <c r="F243" i="12"/>
  <c r="AQ243" i="12" s="1"/>
  <c r="G243" i="12"/>
  <c r="H243" i="12"/>
  <c r="AR243" i="12" s="1"/>
  <c r="I243" i="12"/>
  <c r="AJ243" i="12"/>
  <c r="AZ243" i="12" s="1"/>
  <c r="AK243" i="12"/>
  <c r="AL243" i="12"/>
  <c r="AM243" i="12"/>
  <c r="AO243" i="12"/>
  <c r="AP243" i="12"/>
  <c r="AS243" i="12"/>
  <c r="AT243" i="12"/>
  <c r="AU243" i="12"/>
  <c r="AV243" i="12"/>
  <c r="AW243" i="12"/>
  <c r="AX243" i="12"/>
  <c r="AY243" i="12"/>
  <c r="BA243" i="12"/>
  <c r="BB243" i="12"/>
  <c r="BC243" i="12"/>
  <c r="BD243" i="12"/>
  <c r="BE243" i="12"/>
  <c r="F244" i="12"/>
  <c r="G244" i="12"/>
  <c r="AQ244" i="12" s="1"/>
  <c r="H244" i="12"/>
  <c r="I244" i="12"/>
  <c r="AJ244" i="12"/>
  <c r="AK244" i="12"/>
  <c r="AL244" i="12"/>
  <c r="AM244" i="12"/>
  <c r="BC244" i="12" s="1"/>
  <c r="AO244" i="12"/>
  <c r="AP244" i="12"/>
  <c r="AR244" i="12"/>
  <c r="AS244" i="12"/>
  <c r="AT244" i="12"/>
  <c r="AU244" i="12"/>
  <c r="AV244" i="12"/>
  <c r="AW244" i="12"/>
  <c r="AX244" i="12"/>
  <c r="AY244" i="12"/>
  <c r="AZ244" i="12"/>
  <c r="BA244" i="12"/>
  <c r="BB244" i="12"/>
  <c r="BD244" i="12"/>
  <c r="BE244" i="12"/>
  <c r="F245" i="12"/>
  <c r="G245" i="12"/>
  <c r="H245" i="12"/>
  <c r="AR245" i="12" s="1"/>
  <c r="I245" i="12"/>
  <c r="AJ245" i="12"/>
  <c r="AK245" i="12"/>
  <c r="AZ245" i="12" s="1"/>
  <c r="AL245" i="12"/>
  <c r="AM245" i="12"/>
  <c r="AO245" i="12"/>
  <c r="AP245" i="12"/>
  <c r="AQ245" i="12"/>
  <c r="AS245" i="12"/>
  <c r="AT245" i="12"/>
  <c r="AU245" i="12"/>
  <c r="AV245" i="12"/>
  <c r="AW245" i="12"/>
  <c r="AX245" i="12"/>
  <c r="AY245" i="12"/>
  <c r="BA245" i="12"/>
  <c r="BB245" i="12"/>
  <c r="BC245" i="12"/>
  <c r="BD245" i="12"/>
  <c r="BE245" i="12"/>
  <c r="AZ193" i="12" l="1"/>
  <c r="AZ189" i="12"/>
  <c r="AZ185" i="12"/>
  <c r="AZ94" i="12"/>
  <c r="AQ94" i="12"/>
  <c r="AZ126" i="12"/>
  <c r="AZ122" i="12"/>
  <c r="AZ118" i="12"/>
  <c r="AZ114" i="12"/>
  <c r="AZ110" i="12"/>
  <c r="AZ106" i="12"/>
  <c r="AZ102" i="12"/>
  <c r="AZ98" i="12"/>
  <c r="AQ98" i="12"/>
  <c r="BJ227" i="2"/>
  <c r="BI227" i="2"/>
  <c r="AW246" i="1"/>
  <c r="AV246" i="1"/>
  <c r="AO246" i="1"/>
  <c r="AW245" i="1"/>
  <c r="AV245" i="1"/>
  <c r="AO245" i="1"/>
  <c r="AW244" i="1"/>
  <c r="AV244" i="1"/>
  <c r="AO244" i="1"/>
  <c r="AW243" i="1"/>
  <c r="AV243" i="1"/>
  <c r="AO243" i="1"/>
  <c r="AW242" i="1"/>
  <c r="AV242" i="1"/>
  <c r="AO242" i="1"/>
  <c r="AW241" i="1"/>
  <c r="AV241" i="1"/>
  <c r="AO241" i="1"/>
  <c r="AW240" i="1"/>
  <c r="AV240" i="1"/>
  <c r="AO240" i="1"/>
  <c r="AW239" i="1"/>
  <c r="AV239" i="1"/>
  <c r="AO239" i="1"/>
  <c r="AW238" i="1"/>
  <c r="AV238" i="1"/>
  <c r="AO238" i="1"/>
  <c r="AW237" i="1"/>
  <c r="AV237" i="1"/>
  <c r="AO237" i="1"/>
  <c r="AW236" i="1"/>
  <c r="AV236" i="1"/>
  <c r="AO236" i="1"/>
  <c r="AW235" i="1"/>
  <c r="AV235" i="1"/>
  <c r="AO235" i="1"/>
  <c r="AW234" i="1"/>
  <c r="AV234" i="1"/>
  <c r="AO234" i="1"/>
  <c r="AW233" i="1"/>
  <c r="AV233" i="1"/>
  <c r="AO233" i="1"/>
  <c r="AW232" i="1"/>
  <c r="AV232" i="1"/>
  <c r="AO232" i="1"/>
  <c r="AW231" i="1"/>
  <c r="AV231" i="1"/>
  <c r="AO231" i="1"/>
  <c r="AW230" i="1"/>
  <c r="AV230" i="1"/>
  <c r="AO230" i="1"/>
  <c r="AW229" i="1"/>
  <c r="AV229" i="1"/>
  <c r="AO229" i="1"/>
  <c r="AW228" i="1"/>
  <c r="AV228" i="1"/>
  <c r="AO228" i="1"/>
  <c r="AW227" i="1"/>
  <c r="AV227" i="1"/>
  <c r="AO227" i="1"/>
  <c r="AW226" i="1"/>
  <c r="AV226" i="1"/>
  <c r="AO226" i="1"/>
  <c r="AW225" i="1"/>
  <c r="AV225" i="1"/>
  <c r="AO225" i="1"/>
  <c r="AW224" i="1"/>
  <c r="AV224" i="1"/>
  <c r="AO224" i="1"/>
  <c r="AW223" i="1"/>
  <c r="AV223" i="1"/>
  <c r="AO223" i="1"/>
  <c r="AW222" i="1"/>
  <c r="AV222" i="1"/>
  <c r="AO222" i="1"/>
  <c r="AW221" i="1"/>
  <c r="AV221" i="1"/>
  <c r="AO221" i="1"/>
  <c r="AW220" i="1"/>
  <c r="AV220" i="1"/>
  <c r="AO220" i="1"/>
  <c r="AW219" i="1"/>
  <c r="AV219" i="1"/>
  <c r="AO219" i="1"/>
  <c r="AW218" i="1"/>
  <c r="AV218" i="1"/>
  <c r="AO218" i="1"/>
  <c r="AW217" i="1"/>
  <c r="AV217" i="1"/>
  <c r="AO217" i="1"/>
  <c r="AW216" i="1"/>
  <c r="AV216" i="1"/>
  <c r="AO216" i="1"/>
  <c r="AW215" i="1"/>
  <c r="AV215" i="1"/>
  <c r="AO215" i="1"/>
  <c r="AW214" i="1"/>
  <c r="AV214" i="1"/>
  <c r="AO214" i="1"/>
  <c r="AW213" i="1"/>
  <c r="AV213" i="1"/>
  <c r="AO213" i="1"/>
  <c r="AW212" i="1"/>
  <c r="AV212" i="1"/>
  <c r="AO212" i="1"/>
  <c r="AW211" i="1"/>
  <c r="AV211" i="1"/>
  <c r="AO211" i="1"/>
  <c r="AW210" i="1"/>
  <c r="AV210" i="1"/>
  <c r="AO210" i="1"/>
  <c r="AW209" i="1"/>
  <c r="AV209" i="1"/>
  <c r="AO209" i="1"/>
  <c r="AW208" i="1"/>
  <c r="AV208" i="1"/>
  <c r="AO208" i="1"/>
  <c r="AW207" i="1"/>
  <c r="AV207" i="1"/>
  <c r="AO207" i="1"/>
  <c r="AW206" i="1"/>
  <c r="AV206" i="1"/>
  <c r="AO206" i="1"/>
  <c r="AW205" i="1"/>
  <c r="AV205" i="1"/>
  <c r="AO205" i="1"/>
  <c r="AW204" i="1"/>
  <c r="AV204" i="1"/>
  <c r="AO204" i="1"/>
  <c r="AW203" i="1"/>
  <c r="AV203" i="1"/>
  <c r="AO203" i="1"/>
  <c r="AW202" i="1"/>
  <c r="AV202" i="1"/>
  <c r="AO202" i="1"/>
  <c r="AW201" i="1"/>
  <c r="AV201" i="1"/>
  <c r="AO201" i="1"/>
  <c r="AW200" i="1"/>
  <c r="AV200" i="1"/>
  <c r="AO200" i="1"/>
  <c r="AW199" i="1"/>
  <c r="AV199" i="1"/>
  <c r="AO199" i="1"/>
  <c r="AW198" i="1"/>
  <c r="AV198" i="1"/>
  <c r="AO198" i="1"/>
  <c r="AW197" i="1"/>
  <c r="AV197" i="1"/>
  <c r="AO197" i="1"/>
  <c r="AW196" i="1"/>
  <c r="AV196" i="1"/>
  <c r="AO196" i="1"/>
  <c r="AW195" i="1"/>
  <c r="AV195" i="1"/>
  <c r="AO195" i="1"/>
  <c r="AW194" i="1"/>
  <c r="AV194" i="1"/>
  <c r="AO194" i="1"/>
  <c r="AW193" i="1"/>
  <c r="AV193" i="1"/>
  <c r="AO193" i="1"/>
  <c r="AW192" i="1"/>
  <c r="AV192" i="1"/>
  <c r="AO192" i="1"/>
  <c r="AW191" i="1"/>
  <c r="AV191" i="1"/>
  <c r="AO191" i="1"/>
  <c r="AW190" i="1"/>
  <c r="AV190" i="1"/>
  <c r="AO190" i="1"/>
  <c r="AW189" i="1"/>
  <c r="AV189" i="1"/>
  <c r="AO189" i="1"/>
  <c r="AW188" i="1"/>
  <c r="AV188" i="1"/>
  <c r="AO188" i="1"/>
  <c r="AW187" i="1"/>
  <c r="AV187" i="1"/>
  <c r="AO187" i="1"/>
  <c r="AW186" i="1"/>
  <c r="AV186" i="1"/>
  <c r="AO186" i="1"/>
  <c r="AW185" i="1"/>
  <c r="AV185" i="1"/>
  <c r="AO185" i="1"/>
  <c r="AO184" i="1"/>
  <c r="AO183" i="1"/>
  <c r="AO182" i="1"/>
  <c r="AO181" i="1"/>
  <c r="AO180" i="1"/>
  <c r="AO179" i="1"/>
  <c r="AO178" i="1"/>
  <c r="AO177" i="1"/>
  <c r="AO176" i="1"/>
  <c r="AO175" i="1"/>
  <c r="AO174" i="1"/>
  <c r="AO173" i="1"/>
  <c r="AO172" i="1"/>
  <c r="AO171" i="1"/>
  <c r="AO170" i="1"/>
  <c r="AO169" i="1"/>
  <c r="AO168" i="1"/>
  <c r="AO167" i="1"/>
  <c r="AO166" i="1"/>
  <c r="AO165" i="1"/>
  <c r="AO164" i="1"/>
  <c r="AO163" i="1"/>
  <c r="AO162" i="1"/>
  <c r="AO161" i="1"/>
  <c r="AO160" i="1"/>
  <c r="AO159" i="1"/>
  <c r="AO158" i="1"/>
  <c r="AO157" i="1"/>
  <c r="AO156" i="1"/>
  <c r="AO155" i="1"/>
  <c r="AW154" i="1"/>
  <c r="AV154" i="1"/>
  <c r="AO154" i="1"/>
  <c r="AW153" i="1"/>
  <c r="AV153" i="1"/>
  <c r="AO153" i="1"/>
  <c r="AW152" i="1"/>
  <c r="AV152" i="1"/>
  <c r="AO152" i="1"/>
  <c r="AW151" i="1"/>
  <c r="AV151" i="1"/>
  <c r="AO151" i="1"/>
  <c r="AW150" i="1"/>
  <c r="AV150" i="1"/>
  <c r="AO150" i="1"/>
  <c r="AW149" i="1"/>
  <c r="AV149" i="1"/>
  <c r="AO149" i="1"/>
  <c r="AW148" i="1"/>
  <c r="AV148" i="1"/>
  <c r="AO148" i="1"/>
  <c r="AW147" i="1"/>
  <c r="AV147" i="1"/>
  <c r="AO147" i="1"/>
  <c r="AW146" i="1"/>
  <c r="AV146" i="1"/>
  <c r="AO146" i="1"/>
  <c r="AW145" i="1"/>
  <c r="AV145" i="1"/>
  <c r="AO145" i="1"/>
  <c r="AW144" i="1"/>
  <c r="AV144" i="1"/>
  <c r="AO144" i="1"/>
  <c r="AW143" i="1"/>
  <c r="AV143" i="1"/>
  <c r="AO143" i="1"/>
  <c r="AW142" i="1"/>
  <c r="AV142" i="1"/>
  <c r="AO142" i="1"/>
  <c r="AW141" i="1"/>
  <c r="AV141" i="1"/>
  <c r="AO141" i="1"/>
  <c r="AW140" i="1"/>
  <c r="AV140" i="1"/>
  <c r="AO140" i="1"/>
  <c r="AW139" i="1"/>
  <c r="AV139" i="1"/>
  <c r="AO139" i="1"/>
  <c r="AW138" i="1"/>
  <c r="AV138" i="1"/>
  <c r="AO138" i="1"/>
  <c r="AW137" i="1"/>
  <c r="AV137" i="1"/>
  <c r="AO137" i="1"/>
  <c r="AW136" i="1"/>
  <c r="AV136" i="1"/>
  <c r="AO136" i="1"/>
  <c r="AW135" i="1"/>
  <c r="AV135" i="1"/>
  <c r="AO135" i="1"/>
  <c r="AW134" i="1"/>
  <c r="AV134" i="1"/>
  <c r="AO134" i="1"/>
  <c r="AW133" i="1"/>
  <c r="AV133" i="1"/>
  <c r="AO133" i="1"/>
  <c r="AW132" i="1"/>
  <c r="AV132" i="1"/>
  <c r="AO132" i="1"/>
  <c r="AW131" i="1"/>
  <c r="AV131" i="1"/>
  <c r="AO131" i="1"/>
  <c r="AW130" i="1"/>
  <c r="AV130" i="1"/>
  <c r="AO130" i="1"/>
  <c r="AW129" i="1"/>
  <c r="AV129" i="1"/>
  <c r="AO129" i="1"/>
  <c r="AW128" i="1"/>
  <c r="AV128" i="1"/>
  <c r="AO128" i="1"/>
  <c r="AW127" i="1"/>
  <c r="AV127" i="1"/>
  <c r="AO127" i="1"/>
  <c r="AW126" i="1"/>
  <c r="AV126" i="1"/>
  <c r="AO126" i="1"/>
  <c r="AW125" i="1"/>
  <c r="AV125" i="1"/>
  <c r="AO125" i="1"/>
  <c r="AW124" i="1"/>
  <c r="AV124" i="1"/>
  <c r="AO124" i="1"/>
  <c r="AW123" i="1"/>
  <c r="AV123" i="1"/>
  <c r="AO123" i="1"/>
  <c r="AW122" i="1"/>
  <c r="AV122" i="1"/>
  <c r="AO122" i="1"/>
  <c r="AW121" i="1"/>
  <c r="AV121" i="1"/>
  <c r="AO121" i="1"/>
  <c r="AW120" i="1"/>
  <c r="AV120" i="1"/>
  <c r="AO120" i="1"/>
  <c r="AW119" i="1"/>
  <c r="AV119" i="1"/>
  <c r="AO119" i="1"/>
  <c r="AW118" i="1"/>
  <c r="AV118" i="1"/>
  <c r="AO118" i="1"/>
  <c r="AW117" i="1"/>
  <c r="AV117" i="1"/>
  <c r="AO117" i="1"/>
  <c r="AW116" i="1"/>
  <c r="AV116" i="1"/>
  <c r="AO116" i="1"/>
  <c r="AW115" i="1"/>
  <c r="AV115" i="1"/>
  <c r="AO115" i="1"/>
  <c r="AW114" i="1"/>
  <c r="AV114" i="1"/>
  <c r="AO114" i="1"/>
  <c r="AW113" i="1"/>
  <c r="AV113" i="1"/>
  <c r="AO113" i="1"/>
  <c r="AW112" i="1"/>
  <c r="AV112" i="1"/>
  <c r="AO112" i="1"/>
  <c r="AW111" i="1"/>
  <c r="AV111" i="1"/>
  <c r="AO111" i="1"/>
  <c r="AW110" i="1"/>
  <c r="AV110" i="1"/>
  <c r="AO110" i="1"/>
  <c r="AW109" i="1"/>
  <c r="AV109" i="1"/>
  <c r="AO109" i="1"/>
  <c r="AW108" i="1"/>
  <c r="AV108" i="1"/>
  <c r="AO108" i="1"/>
  <c r="AW107" i="1"/>
  <c r="AV107" i="1"/>
  <c r="AO107" i="1"/>
  <c r="AW106" i="1"/>
  <c r="AV106" i="1"/>
  <c r="AO106" i="1"/>
  <c r="AW105" i="1"/>
  <c r="AV105" i="1"/>
  <c r="AO105" i="1"/>
  <c r="AW104" i="1"/>
  <c r="AV104" i="1"/>
  <c r="AO104" i="1"/>
  <c r="AW103" i="1"/>
  <c r="AV103" i="1"/>
  <c r="AO103" i="1"/>
  <c r="AW102" i="1"/>
  <c r="AV102" i="1"/>
  <c r="AO102" i="1"/>
  <c r="AW101" i="1"/>
  <c r="AV101" i="1"/>
  <c r="AO101" i="1"/>
  <c r="AW100" i="1"/>
  <c r="AV100" i="1"/>
  <c r="AO100" i="1"/>
  <c r="AW99" i="1"/>
  <c r="AV99" i="1"/>
  <c r="AO99" i="1"/>
  <c r="AW98" i="1"/>
  <c r="AV98" i="1"/>
  <c r="AO98" i="1"/>
  <c r="AW97" i="1"/>
  <c r="AV97" i="1"/>
  <c r="AO97" i="1"/>
  <c r="AW96" i="1"/>
  <c r="AV96" i="1"/>
  <c r="AO96" i="1"/>
  <c r="AW95" i="1"/>
  <c r="AV95" i="1"/>
  <c r="AO95" i="1"/>
  <c r="AW94" i="1"/>
  <c r="AV94" i="1"/>
  <c r="BA116" i="1"/>
  <c r="BB94" i="1"/>
  <c r="AO94" i="1"/>
  <c r="AW93" i="1"/>
  <c r="AV93" i="1"/>
  <c r="AO93" i="1"/>
  <c r="AW92" i="1"/>
  <c r="AV92" i="1"/>
  <c r="AO92" i="1"/>
  <c r="AW91" i="1"/>
  <c r="AV91" i="1"/>
  <c r="AO91" i="1"/>
  <c r="AW90" i="1"/>
  <c r="AV90" i="1"/>
  <c r="AO90" i="1"/>
  <c r="AW89" i="1"/>
  <c r="AV89" i="1"/>
  <c r="AO89" i="1"/>
  <c r="AW88" i="1"/>
  <c r="AV88" i="1"/>
  <c r="AO88" i="1"/>
  <c r="AW87" i="1"/>
  <c r="AV87" i="1"/>
  <c r="AO87" i="1"/>
  <c r="AW86" i="1"/>
  <c r="AV86" i="1"/>
  <c r="AO86" i="1"/>
  <c r="AW85" i="1"/>
  <c r="AV85" i="1"/>
  <c r="AO85" i="1"/>
  <c r="AW84" i="1"/>
  <c r="AV84" i="1"/>
  <c r="AO84" i="1"/>
  <c r="AW83" i="1"/>
  <c r="AV83" i="1"/>
  <c r="AO83" i="1"/>
  <c r="AW82" i="1"/>
  <c r="AV82" i="1"/>
  <c r="AO82" i="1"/>
  <c r="AW81" i="1"/>
  <c r="BD81" i="1" s="1"/>
  <c r="AV81" i="1"/>
  <c r="AO81" i="1"/>
  <c r="AW80" i="1"/>
  <c r="AV80" i="1"/>
  <c r="AO80" i="1"/>
  <c r="AW79" i="1"/>
  <c r="BD79" i="1" s="1"/>
  <c r="AV79" i="1"/>
  <c r="BC79" i="1" s="1"/>
  <c r="AO79" i="1"/>
  <c r="AW78" i="1"/>
  <c r="AV78" i="1"/>
  <c r="AZ78" i="1" s="1"/>
  <c r="AO78" i="1"/>
  <c r="AW77" i="1"/>
  <c r="BD77" i="1" s="1"/>
  <c r="AV77" i="1"/>
  <c r="BC77" i="1" s="1"/>
  <c r="AO77" i="1"/>
  <c r="AW76" i="1"/>
  <c r="AV76" i="1"/>
  <c r="AZ76" i="1" s="1"/>
  <c r="AO76" i="1"/>
  <c r="AW75" i="1"/>
  <c r="BD75" i="1" s="1"/>
  <c r="AV75" i="1"/>
  <c r="BC75" i="1" s="1"/>
  <c r="AO75" i="1"/>
  <c r="AW74" i="1"/>
  <c r="AV74" i="1"/>
  <c r="AZ74" i="1" s="1"/>
  <c r="AO74" i="1"/>
  <c r="AW73" i="1"/>
  <c r="BD73" i="1" s="1"/>
  <c r="AV73" i="1"/>
  <c r="BC73" i="1" s="1"/>
  <c r="AO73" i="1"/>
  <c r="AW72" i="1"/>
  <c r="AV72" i="1"/>
  <c r="AO72" i="1"/>
  <c r="AW71" i="1"/>
  <c r="BD71" i="1" s="1"/>
  <c r="AV71" i="1"/>
  <c r="BC71" i="1" s="1"/>
  <c r="AO71" i="1"/>
  <c r="AW70" i="1"/>
  <c r="AV70" i="1"/>
  <c r="AZ70" i="1" s="1"/>
  <c r="AO70" i="1"/>
  <c r="AW69" i="1"/>
  <c r="BD69" i="1" s="1"/>
  <c r="AV69" i="1"/>
  <c r="AX69" i="1" s="1"/>
  <c r="AO69" i="1"/>
  <c r="AW68" i="1"/>
  <c r="BD68" i="1" s="1"/>
  <c r="AV68" i="1"/>
  <c r="AO68" i="1"/>
  <c r="AW67" i="1"/>
  <c r="AY67" i="1" s="1"/>
  <c r="AV67" i="1"/>
  <c r="AO67" i="1"/>
  <c r="AW66" i="1"/>
  <c r="AV66" i="1"/>
  <c r="AO66" i="1"/>
  <c r="AW65" i="1"/>
  <c r="AY65" i="1" s="1"/>
  <c r="AV65" i="1"/>
  <c r="AO65" i="1"/>
  <c r="BF64" i="1"/>
  <c r="BF67" i="1" s="1"/>
  <c r="AW64" i="1"/>
  <c r="AV64" i="1"/>
  <c r="BC64" i="1"/>
  <c r="AO64" i="1"/>
  <c r="AW63" i="1"/>
  <c r="AV63" i="1"/>
  <c r="BF63" i="1"/>
  <c r="BB63" i="1"/>
  <c r="AO63" i="1"/>
  <c r="AW62" i="1"/>
  <c r="AY62" i="1" s="1"/>
  <c r="AV62" i="1"/>
  <c r="AO62" i="1"/>
  <c r="AW61" i="1"/>
  <c r="BD61" i="1" s="1"/>
  <c r="AV61" i="1"/>
  <c r="AO61" i="1"/>
  <c r="AW60" i="1"/>
  <c r="AV60" i="1"/>
  <c r="AT60" i="1"/>
  <c r="AO60" i="1"/>
  <c r="AW59" i="1"/>
  <c r="AY59" i="1" s="1"/>
  <c r="AV59" i="1"/>
  <c r="AX59" i="1" s="1"/>
  <c r="AO59" i="1"/>
  <c r="AW58" i="1"/>
  <c r="AY58" i="1" s="1"/>
  <c r="AV58" i="1"/>
  <c r="AT58" i="1"/>
  <c r="AO58" i="1"/>
  <c r="AW57" i="1"/>
  <c r="BD57" i="1" s="1"/>
  <c r="AV57" i="1"/>
  <c r="AU57" i="1"/>
  <c r="AO57" i="1"/>
  <c r="AW56" i="1"/>
  <c r="AV56" i="1"/>
  <c r="AO56" i="1"/>
  <c r="AW55" i="1"/>
  <c r="AY55" i="1" s="1"/>
  <c r="AV55" i="1"/>
  <c r="AX55" i="1" s="1"/>
  <c r="AO55" i="1"/>
  <c r="AW54" i="1"/>
  <c r="AY54" i="1" s="1"/>
  <c r="AV54" i="1"/>
  <c r="AT54" i="1"/>
  <c r="AO54" i="1"/>
  <c r="AW53" i="1"/>
  <c r="BD53" i="1" s="1"/>
  <c r="AV53" i="1"/>
  <c r="AU53" i="1"/>
  <c r="AO53" i="1"/>
  <c r="AW52" i="1"/>
  <c r="AV52" i="1"/>
  <c r="AO52" i="1"/>
  <c r="AW51" i="1"/>
  <c r="AY51" i="1" s="1"/>
  <c r="AV51" i="1"/>
  <c r="AX51" i="1" s="1"/>
  <c r="AO51" i="1"/>
  <c r="AW50" i="1"/>
  <c r="AY50" i="1" s="1"/>
  <c r="AV50" i="1"/>
  <c r="AT50" i="1"/>
  <c r="AO50" i="1"/>
  <c r="AW49" i="1"/>
  <c r="BD49" i="1" s="1"/>
  <c r="AV49" i="1"/>
  <c r="AU49" i="1"/>
  <c r="AO49" i="1"/>
  <c r="AW48" i="1"/>
  <c r="AV48" i="1"/>
  <c r="AO48" i="1"/>
  <c r="AW47" i="1"/>
  <c r="BD47" i="1" s="1"/>
  <c r="AV47" i="1"/>
  <c r="AX47" i="1" s="1"/>
  <c r="AO47" i="1"/>
  <c r="AW46" i="1"/>
  <c r="AY46" i="1" s="1"/>
  <c r="AV46" i="1"/>
  <c r="AT46" i="1"/>
  <c r="AO46" i="1"/>
  <c r="AW45" i="1"/>
  <c r="AY45" i="1" s="1"/>
  <c r="AV45" i="1"/>
  <c r="AU45" i="1"/>
  <c r="AO45" i="1"/>
  <c r="AW44" i="1"/>
  <c r="AY44" i="1" s="1"/>
  <c r="AV44" i="1"/>
  <c r="AO44" i="1"/>
  <c r="AW43" i="1"/>
  <c r="BD43" i="1" s="1"/>
  <c r="AV43" i="1"/>
  <c r="AU43" i="1"/>
  <c r="AO43" i="1"/>
  <c r="AW42" i="1"/>
  <c r="AV42" i="1"/>
  <c r="AO42" i="1"/>
  <c r="AW41" i="1"/>
  <c r="BD41" i="1" s="1"/>
  <c r="AV41" i="1"/>
  <c r="AO41" i="1"/>
  <c r="AW40" i="1"/>
  <c r="AV40" i="1"/>
  <c r="AT40" i="1"/>
  <c r="AO40" i="1"/>
  <c r="AW39" i="1"/>
  <c r="AY39" i="1" s="1"/>
  <c r="AV39" i="1"/>
  <c r="AX39" i="1" s="1"/>
  <c r="AO39" i="1"/>
  <c r="AW38" i="1"/>
  <c r="AY38" i="1" s="1"/>
  <c r="AV38" i="1"/>
  <c r="BC38" i="1" s="1"/>
  <c r="AO38" i="1"/>
  <c r="AW37" i="1"/>
  <c r="BD37" i="1" s="1"/>
  <c r="AV37" i="1"/>
  <c r="AO37" i="1"/>
  <c r="AW36" i="1"/>
  <c r="AY36" i="1" s="1"/>
  <c r="AV36" i="1"/>
  <c r="AX36" i="1" s="1"/>
  <c r="AO36" i="1"/>
  <c r="AW35" i="1"/>
  <c r="BD35" i="1" s="1"/>
  <c r="AV35" i="1"/>
  <c r="AU35" i="1"/>
  <c r="AO35" i="1"/>
  <c r="AW34" i="1"/>
  <c r="AV34" i="1"/>
  <c r="BC34" i="1" s="1"/>
  <c r="AO34" i="1"/>
  <c r="AW33" i="1"/>
  <c r="BD33" i="1" s="1"/>
  <c r="AV33" i="1"/>
  <c r="BC33" i="1" s="1"/>
  <c r="AO33" i="1"/>
  <c r="AW32" i="1"/>
  <c r="AY32" i="1" s="1"/>
  <c r="AV32" i="1"/>
  <c r="AX32" i="1" s="1"/>
  <c r="AT32" i="1"/>
  <c r="AO32" i="1"/>
  <c r="AW31" i="1"/>
  <c r="AV31" i="1"/>
  <c r="AX31" i="1" s="1"/>
  <c r="BD31" i="1"/>
  <c r="AU31" i="1"/>
  <c r="AO31" i="1"/>
  <c r="AW30" i="1"/>
  <c r="BD30" i="1" s="1"/>
  <c r="AV30" i="1"/>
  <c r="BC30" i="1" s="1"/>
  <c r="AO30" i="1"/>
  <c r="AW29" i="1"/>
  <c r="BD29" i="1" s="1"/>
  <c r="AV29" i="1"/>
  <c r="BC29" i="1" s="1"/>
  <c r="AO29" i="1"/>
  <c r="AW28" i="1"/>
  <c r="AY28" i="1" s="1"/>
  <c r="AV28" i="1"/>
  <c r="AO28" i="1"/>
  <c r="AW27" i="1"/>
  <c r="BD27" i="1" s="1"/>
  <c r="AV27" i="1"/>
  <c r="AO27" i="1"/>
  <c r="AW26" i="1"/>
  <c r="AV26" i="1"/>
  <c r="AT26" i="1"/>
  <c r="AO26" i="1"/>
  <c r="AW25" i="1"/>
  <c r="AY25" i="1" s="1"/>
  <c r="AV25" i="1"/>
  <c r="BC25" i="1" s="1"/>
  <c r="AU25" i="1"/>
  <c r="AO25" i="1"/>
  <c r="AW24" i="1"/>
  <c r="AY24" i="1" s="1"/>
  <c r="AV24" i="1"/>
  <c r="AX24" i="1" s="1"/>
  <c r="AO24" i="1"/>
  <c r="AW23" i="1"/>
  <c r="BD23" i="1" s="1"/>
  <c r="AV23" i="1"/>
  <c r="AX23" i="1" s="1"/>
  <c r="AU23" i="1"/>
  <c r="AT23" i="1"/>
  <c r="AO23" i="1"/>
  <c r="AW22" i="1"/>
  <c r="BD22" i="1" s="1"/>
  <c r="AV22" i="1"/>
  <c r="AO22" i="1"/>
  <c r="AW21" i="1"/>
  <c r="BD21" i="1" s="1"/>
  <c r="AV21" i="1"/>
  <c r="BC21" i="1" s="1"/>
  <c r="AU21" i="1"/>
  <c r="AO21" i="1"/>
  <c r="AW20" i="1"/>
  <c r="BD20" i="1" s="1"/>
  <c r="AV20" i="1"/>
  <c r="AO20" i="1"/>
  <c r="AW19" i="1"/>
  <c r="BD19" i="1" s="1"/>
  <c r="AV19" i="1"/>
  <c r="AX19" i="1" s="1"/>
  <c r="AO19" i="1"/>
  <c r="AW18" i="1"/>
  <c r="BD18" i="1" s="1"/>
  <c r="AV18" i="1"/>
  <c r="AO18" i="1"/>
  <c r="AW17" i="1"/>
  <c r="AY17" i="1" s="1"/>
  <c r="AV17" i="1"/>
  <c r="AO17" i="1"/>
  <c r="AW16" i="1"/>
  <c r="AV16" i="1"/>
  <c r="BC16" i="1" s="1"/>
  <c r="AO16" i="1"/>
  <c r="AW15" i="1"/>
  <c r="BD15" i="1" s="1"/>
  <c r="AV15" i="1"/>
  <c r="AT15" i="1"/>
  <c r="AO15" i="1"/>
  <c r="AW14" i="1"/>
  <c r="AV14" i="1"/>
  <c r="AO14" i="1"/>
  <c r="AW13" i="1"/>
  <c r="AV13" i="1"/>
  <c r="AT13" i="1"/>
  <c r="AO13" i="1"/>
  <c r="AW12" i="1"/>
  <c r="BD12" i="1" s="1"/>
  <c r="AV12" i="1"/>
  <c r="AO12" i="1"/>
  <c r="AW11" i="1"/>
  <c r="AV11" i="1"/>
  <c r="BC11" i="1" s="1"/>
  <c r="AO11" i="1"/>
  <c r="AW10" i="1"/>
  <c r="BD10" i="1" s="1"/>
  <c r="AV10" i="1"/>
  <c r="AO10" i="1"/>
  <c r="AW9" i="1"/>
  <c r="AY9" i="1" s="1"/>
  <c r="AV9" i="1"/>
  <c r="BC9" i="1" s="1"/>
  <c r="AO9" i="1"/>
  <c r="AW8" i="1"/>
  <c r="AY8" i="1" s="1"/>
  <c r="AV8" i="1"/>
  <c r="AO8" i="1"/>
  <c r="AW7" i="1"/>
  <c r="AY7" i="1" s="1"/>
  <c r="AV7" i="1"/>
  <c r="AT7" i="1"/>
  <c r="AO7" i="1"/>
  <c r="AW6" i="1"/>
  <c r="AV6" i="1"/>
  <c r="AO6" i="1"/>
  <c r="AW5" i="1"/>
  <c r="AV5" i="1"/>
  <c r="AT5" i="1"/>
  <c r="AO5" i="1"/>
  <c r="AW4" i="1"/>
  <c r="AV4" i="1"/>
  <c r="AO4" i="1"/>
  <c r="G225" i="2"/>
  <c r="AX4" i="1" l="1"/>
  <c r="AY43" i="1"/>
  <c r="AZ43" i="1"/>
  <c r="AZ72" i="1"/>
  <c r="AZ45" i="1"/>
  <c r="BF66" i="1"/>
  <c r="AZ44" i="1"/>
  <c r="AY63" i="1"/>
  <c r="BD55" i="1"/>
  <c r="AX63" i="1"/>
  <c r="AZ42" i="1"/>
  <c r="BD59" i="1"/>
  <c r="AY15" i="1"/>
  <c r="BD25" i="1"/>
  <c r="BD63" i="1"/>
  <c r="AZ10" i="1"/>
  <c r="AZ35" i="1"/>
  <c r="BD45" i="1"/>
  <c r="AZ65" i="1"/>
  <c r="AZ80" i="1"/>
  <c r="AY21" i="1"/>
  <c r="AY47" i="1"/>
  <c r="BD51" i="1"/>
  <c r="AY23" i="1"/>
  <c r="AZ27" i="1"/>
  <c r="AY6" i="1"/>
  <c r="BD6" i="1"/>
  <c r="AY4" i="1"/>
  <c r="BD7" i="1"/>
  <c r="AZ8" i="1"/>
  <c r="BD8" i="1"/>
  <c r="AX9" i="1"/>
  <c r="AY14" i="1"/>
  <c r="BD14" i="1"/>
  <c r="BD9" i="1"/>
  <c r="AX11" i="1"/>
  <c r="BD17" i="1"/>
  <c r="AZ19" i="1"/>
  <c r="BD4" i="1"/>
  <c r="BC5" i="1"/>
  <c r="AX5" i="1"/>
  <c r="AT9" i="1"/>
  <c r="AY10" i="1"/>
  <c r="AY11" i="1"/>
  <c r="BD11" i="1"/>
  <c r="BC13" i="1"/>
  <c r="AX13" i="1"/>
  <c r="AU17" i="1"/>
  <c r="BC18" i="1"/>
  <c r="AU19" i="1"/>
  <c r="AY20" i="1"/>
  <c r="BC22" i="1"/>
  <c r="AT24" i="1"/>
  <c r="AZ24" i="1"/>
  <c r="BC26" i="1"/>
  <c r="AZ26" i="1"/>
  <c r="AU27" i="1"/>
  <c r="AX28" i="1"/>
  <c r="AY30" i="1"/>
  <c r="AY31" i="1"/>
  <c r="AT33" i="1"/>
  <c r="AY34" i="1"/>
  <c r="BD34" i="1"/>
  <c r="AY35" i="1"/>
  <c r="AU37" i="1"/>
  <c r="AT39" i="1"/>
  <c r="AZ39" i="1"/>
  <c r="BD39" i="1"/>
  <c r="AZ40" i="1"/>
  <c r="AX40" i="1"/>
  <c r="AU41" i="1"/>
  <c r="AY42" i="1"/>
  <c r="BD42" i="1"/>
  <c r="AT44" i="1"/>
  <c r="AY48" i="1"/>
  <c r="BD48" i="1"/>
  <c r="AX49" i="1"/>
  <c r="AY49" i="1"/>
  <c r="AY52" i="1"/>
  <c r="BD52" i="1"/>
  <c r="AX53" i="1"/>
  <c r="AY53" i="1"/>
  <c r="AY56" i="1"/>
  <c r="BD56" i="1"/>
  <c r="AX57" i="1"/>
  <c r="AY57" i="1"/>
  <c r="AY60" i="1"/>
  <c r="BD60" i="1"/>
  <c r="AX61" i="1"/>
  <c r="AY61" i="1"/>
  <c r="BD64" i="1"/>
  <c r="AY64" i="1"/>
  <c r="AY66" i="1"/>
  <c r="BD66" i="1"/>
  <c r="AX67" i="1"/>
  <c r="BC67" i="1"/>
  <c r="AX68" i="1"/>
  <c r="AY68" i="1"/>
  <c r="BC70" i="1"/>
  <c r="AZ71" i="1"/>
  <c r="AX71" i="1"/>
  <c r="BC72" i="1"/>
  <c r="AZ73" i="1"/>
  <c r="AX73" i="1"/>
  <c r="BC74" i="1"/>
  <c r="AZ75" i="1"/>
  <c r="AX75" i="1"/>
  <c r="BC76" i="1"/>
  <c r="AZ77" i="1"/>
  <c r="AX77" i="1"/>
  <c r="BC78" i="1"/>
  <c r="AZ79" i="1"/>
  <c r="AX79" i="1"/>
  <c r="BC80" i="1"/>
  <c r="AZ81" i="1"/>
  <c r="AX81" i="1"/>
  <c r="AY5" i="1"/>
  <c r="BD5" i="1"/>
  <c r="AX6" i="1"/>
  <c r="BC7" i="1"/>
  <c r="AX7" i="1"/>
  <c r="AT11" i="1"/>
  <c r="AY12" i="1"/>
  <c r="AY13" i="1"/>
  <c r="BD13" i="1"/>
  <c r="AZ14" i="1"/>
  <c r="BC15" i="1"/>
  <c r="AX15" i="1"/>
  <c r="BD16" i="1"/>
  <c r="BC17" i="1"/>
  <c r="AY19" i="1"/>
  <c r="AX20" i="1"/>
  <c r="AY22" i="1"/>
  <c r="AT25" i="1"/>
  <c r="AY26" i="1"/>
  <c r="BD26" i="1"/>
  <c r="AY27" i="1"/>
  <c r="AU29" i="1"/>
  <c r="AT31" i="1"/>
  <c r="AZ31" i="1"/>
  <c r="AU33" i="1"/>
  <c r="AT34" i="1"/>
  <c r="BD36" i="1"/>
  <c r="BC37" i="1"/>
  <c r="AY37" i="1"/>
  <c r="AU39" i="1"/>
  <c r="AY40" i="1"/>
  <c r="BD40" i="1"/>
  <c r="AY41" i="1"/>
  <c r="AT42" i="1"/>
  <c r="AZ46" i="1"/>
  <c r="AX46" i="1"/>
  <c r="AU47" i="1"/>
  <c r="AT48" i="1"/>
  <c r="AZ50" i="1"/>
  <c r="AX50" i="1"/>
  <c r="AU51" i="1"/>
  <c r="AT52" i="1"/>
  <c r="AZ54" i="1"/>
  <c r="AX54" i="1"/>
  <c r="AU55" i="1"/>
  <c r="AT56" i="1"/>
  <c r="AZ58" i="1"/>
  <c r="AX58" i="1"/>
  <c r="AU59" i="1"/>
  <c r="AZ62" i="1"/>
  <c r="AX62" i="1"/>
  <c r="AY69" i="1"/>
  <c r="AY71" i="1"/>
  <c r="AY73" i="1"/>
  <c r="AY75" i="1"/>
  <c r="AY77" i="1"/>
  <c r="AY79" i="1"/>
  <c r="AY81" i="1"/>
  <c r="AZ18" i="1"/>
  <c r="AZ23" i="1"/>
  <c r="BD28" i="1"/>
  <c r="AY29" i="1"/>
  <c r="BD32" i="1"/>
  <c r="AY33" i="1"/>
  <c r="BD38" i="1"/>
  <c r="AZ41" i="1"/>
  <c r="AX44" i="1"/>
  <c r="BD46" i="1"/>
  <c r="BD50" i="1"/>
  <c r="BD54" i="1"/>
  <c r="BD58" i="1"/>
  <c r="BD62" i="1"/>
  <c r="AX65" i="1"/>
  <c r="AX70" i="1"/>
  <c r="AX72" i="1"/>
  <c r="AX74" i="1"/>
  <c r="AX76" i="1"/>
  <c r="AX78" i="1"/>
  <c r="AX80" i="1"/>
  <c r="BC81" i="1"/>
  <c r="BD24" i="1"/>
  <c r="AZ32" i="1"/>
  <c r="AZ34" i="1"/>
  <c r="AX42" i="1"/>
  <c r="BD44" i="1"/>
  <c r="AZ48" i="1"/>
  <c r="AX48" i="1"/>
  <c r="AZ52" i="1"/>
  <c r="AX52" i="1"/>
  <c r="AZ56" i="1"/>
  <c r="AX56" i="1"/>
  <c r="AZ60" i="1"/>
  <c r="AX60" i="1"/>
  <c r="AU61" i="1"/>
  <c r="AT62" i="1"/>
  <c r="AZ64" i="1"/>
  <c r="AX64" i="1"/>
  <c r="BD65" i="1"/>
  <c r="AZ66" i="1"/>
  <c r="AX66" i="1"/>
  <c r="BD70" i="1"/>
  <c r="AY70" i="1"/>
  <c r="BD72" i="1"/>
  <c r="AY72" i="1"/>
  <c r="BD74" i="1"/>
  <c r="AY74" i="1"/>
  <c r="BD76" i="1"/>
  <c r="AY76" i="1"/>
  <c r="BD78" i="1"/>
  <c r="AY78" i="1"/>
  <c r="BD80" i="1"/>
  <c r="AY80" i="1"/>
  <c r="AT12" i="1"/>
  <c r="BB64" i="1"/>
  <c r="BA64" i="1"/>
  <c r="BB65" i="1"/>
  <c r="BB66" i="1"/>
  <c r="BB67" i="1"/>
  <c r="BB68" i="1"/>
  <c r="BA68" i="1"/>
  <c r="BB69" i="1"/>
  <c r="BA69" i="1"/>
  <c r="BB70" i="1"/>
  <c r="BA70" i="1"/>
  <c r="BB71" i="1"/>
  <c r="BA71" i="1"/>
  <c r="BB72" i="1"/>
  <c r="BA72" i="1"/>
  <c r="BB73" i="1"/>
  <c r="BA73" i="1"/>
  <c r="BB74" i="1"/>
  <c r="BA74" i="1"/>
  <c r="BB75" i="1"/>
  <c r="BA75" i="1"/>
  <c r="BB76" i="1"/>
  <c r="BA76" i="1"/>
  <c r="BB77" i="1"/>
  <c r="BA77" i="1"/>
  <c r="BB78" i="1"/>
  <c r="BA78" i="1"/>
  <c r="BB79" i="1"/>
  <c r="BA79" i="1"/>
  <c r="BB80" i="1"/>
  <c r="BA80" i="1"/>
  <c r="BB81" i="1"/>
  <c r="BA81" i="1"/>
  <c r="BB82" i="1"/>
  <c r="BA82" i="1"/>
  <c r="BB83" i="1"/>
  <c r="BA83" i="1"/>
  <c r="BB84" i="1"/>
  <c r="BA84" i="1"/>
  <c r="BB85" i="1"/>
  <c r="BA85" i="1"/>
  <c r="BB86" i="1"/>
  <c r="BA86" i="1"/>
  <c r="BB87" i="1"/>
  <c r="BA87" i="1"/>
  <c r="BB88" i="1"/>
  <c r="BA88" i="1"/>
  <c r="BB89" i="1"/>
  <c r="BA89" i="1"/>
  <c r="BB90" i="1"/>
  <c r="BA90" i="1"/>
  <c r="BB91" i="1"/>
  <c r="BA91" i="1"/>
  <c r="BB92" i="1"/>
  <c r="BA92" i="1"/>
  <c r="BB93" i="1"/>
  <c r="BA93" i="1"/>
  <c r="BB95" i="1"/>
  <c r="BA95" i="1"/>
  <c r="BB96" i="1"/>
  <c r="BA96" i="1"/>
  <c r="BB97" i="1"/>
  <c r="BA97" i="1"/>
  <c r="BB98" i="1"/>
  <c r="BA98" i="1"/>
  <c r="BB99" i="1"/>
  <c r="BA99" i="1"/>
  <c r="BB100" i="1"/>
  <c r="BA100" i="1"/>
  <c r="BB101" i="1"/>
  <c r="BA101" i="1"/>
  <c r="BB102" i="1"/>
  <c r="BA102" i="1"/>
  <c r="BA103" i="1"/>
  <c r="BA104" i="1"/>
  <c r="BB105" i="1"/>
  <c r="BA106" i="1"/>
  <c r="BB107" i="1"/>
  <c r="BA108" i="1"/>
  <c r="BB109" i="1"/>
  <c r="BA110" i="1"/>
  <c r="BB111" i="1"/>
  <c r="BA112" i="1"/>
  <c r="BF157" i="1"/>
  <c r="AZ4" i="1"/>
  <c r="AZ6" i="1"/>
  <c r="AZ12" i="1"/>
  <c r="AZ17" i="1"/>
  <c r="BC4" i="1"/>
  <c r="AU5" i="1"/>
  <c r="BC6" i="1"/>
  <c r="AU7" i="1"/>
  <c r="BC8" i="1"/>
  <c r="AU9" i="1"/>
  <c r="BC10" i="1"/>
  <c r="AU11" i="1"/>
  <c r="BC12" i="1"/>
  <c r="AU13" i="1"/>
  <c r="BC14" i="1"/>
  <c r="AU15" i="1"/>
  <c r="AY16" i="1"/>
  <c r="AU16" i="1"/>
  <c r="AX16" i="1"/>
  <c r="BC19" i="1"/>
  <c r="BC20" i="1"/>
  <c r="AX21" i="1"/>
  <c r="AX22" i="1"/>
  <c r="AZ25" i="1"/>
  <c r="BC27" i="1"/>
  <c r="BC28" i="1"/>
  <c r="AX29" i="1"/>
  <c r="AX30" i="1"/>
  <c r="AZ33" i="1"/>
  <c r="BC35" i="1"/>
  <c r="BC36" i="1"/>
  <c r="AX37" i="1"/>
  <c r="AX38" i="1"/>
  <c r="AX41" i="1"/>
  <c r="AT41" i="1"/>
  <c r="BC41" i="1"/>
  <c r="AX43" i="1"/>
  <c r="AT43" i="1"/>
  <c r="BC43" i="1"/>
  <c r="AX45" i="1"/>
  <c r="AT45" i="1"/>
  <c r="BC45" i="1"/>
  <c r="AT4" i="1"/>
  <c r="AZ5" i="1"/>
  <c r="AT6" i="1"/>
  <c r="AZ7" i="1"/>
  <c r="AX8" i="1"/>
  <c r="AZ9" i="1"/>
  <c r="AX10" i="1"/>
  <c r="AX12" i="1"/>
  <c r="AT16" i="1"/>
  <c r="AZ16" i="1"/>
  <c r="AY18" i="1"/>
  <c r="AU18" i="1"/>
  <c r="AZ22" i="1"/>
  <c r="AX27" i="1"/>
  <c r="AT29" i="1"/>
  <c r="AT30" i="1"/>
  <c r="AZ30" i="1"/>
  <c r="AX35" i="1"/>
  <c r="AT37" i="1"/>
  <c r="AT38" i="1"/>
  <c r="AZ38" i="1"/>
  <c r="AT8" i="1"/>
  <c r="AT10" i="1"/>
  <c r="AZ11" i="1"/>
  <c r="AZ13" i="1"/>
  <c r="AT14" i="1"/>
  <c r="AX14" i="1"/>
  <c r="AZ15" i="1"/>
  <c r="AT17" i="1"/>
  <c r="AX17" i="1"/>
  <c r="AX18" i="1"/>
  <c r="AT21" i="1"/>
  <c r="AT22" i="1"/>
  <c r="AU4" i="1"/>
  <c r="AU6" i="1"/>
  <c r="AU8" i="1"/>
  <c r="AU10" i="1"/>
  <c r="AU12" i="1"/>
  <c r="AU14" i="1"/>
  <c r="AT18" i="1"/>
  <c r="AT19" i="1"/>
  <c r="AT20" i="1"/>
  <c r="AZ20" i="1"/>
  <c r="AZ21" i="1"/>
  <c r="BC23" i="1"/>
  <c r="BC24" i="1"/>
  <c r="AX25" i="1"/>
  <c r="AX26" i="1"/>
  <c r="AT27" i="1"/>
  <c r="AT28" i="1"/>
  <c r="AZ28" i="1"/>
  <c r="AZ29" i="1"/>
  <c r="BC31" i="1"/>
  <c r="BC32" i="1"/>
  <c r="AX33" i="1"/>
  <c r="AX34" i="1"/>
  <c r="AT35" i="1"/>
  <c r="AT36" i="1"/>
  <c r="AZ36" i="1"/>
  <c r="AZ37" i="1"/>
  <c r="BC39" i="1"/>
  <c r="BF69" i="1"/>
  <c r="BC40" i="1"/>
  <c r="BC42" i="1"/>
  <c r="BC44" i="1"/>
  <c r="BC46" i="1"/>
  <c r="BC48" i="1"/>
  <c r="BC50" i="1"/>
  <c r="BC52" i="1"/>
  <c r="BC54" i="1"/>
  <c r="BC56" i="1"/>
  <c r="BC58" i="1"/>
  <c r="BC60" i="1"/>
  <c r="BC62" i="1"/>
  <c r="AU63" i="1"/>
  <c r="BC63" i="1"/>
  <c r="AT64" i="1"/>
  <c r="BA65" i="1"/>
  <c r="BA66" i="1"/>
  <c r="AZ67" i="1"/>
  <c r="BD67" i="1"/>
  <c r="AU68" i="1"/>
  <c r="BC68" i="1"/>
  <c r="AU69" i="1"/>
  <c r="BC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BB103" i="1"/>
  <c r="BB104" i="1"/>
  <c r="BB108" i="1"/>
  <c r="BB112" i="1"/>
  <c r="BB114" i="1"/>
  <c r="AZ47" i="1"/>
  <c r="AZ49" i="1"/>
  <c r="AZ51" i="1"/>
  <c r="AZ53" i="1"/>
  <c r="AZ55" i="1"/>
  <c r="AZ57" i="1"/>
  <c r="AZ59" i="1"/>
  <c r="AZ61" i="1"/>
  <c r="AZ63" i="1"/>
  <c r="AU64" i="1"/>
  <c r="AT65" i="1"/>
  <c r="AT66" i="1"/>
  <c r="BA67" i="1"/>
  <c r="AZ68" i="1"/>
  <c r="AZ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BA123" i="1"/>
  <c r="BA122" i="1"/>
  <c r="BA121" i="1"/>
  <c r="BA120" i="1"/>
  <c r="BA119" i="1"/>
  <c r="BA118" i="1"/>
  <c r="BA117" i="1"/>
  <c r="BA107" i="1"/>
  <c r="BA111" i="1"/>
  <c r="BA113" i="1"/>
  <c r="BB115" i="1"/>
  <c r="AU20" i="1"/>
  <c r="AU22" i="1"/>
  <c r="AU24" i="1"/>
  <c r="AU26" i="1"/>
  <c r="AU28" i="1"/>
  <c r="AU30" i="1"/>
  <c r="AU32" i="1"/>
  <c r="AU34" i="1"/>
  <c r="AU36" i="1"/>
  <c r="AU38" i="1"/>
  <c r="AU40" i="1"/>
  <c r="AU42" i="1"/>
  <c r="AU44" i="1"/>
  <c r="AU46" i="1"/>
  <c r="BC47" i="1"/>
  <c r="AU48" i="1"/>
  <c r="BC49" i="1"/>
  <c r="AU50" i="1"/>
  <c r="BC51" i="1"/>
  <c r="AU52" i="1"/>
  <c r="BC53" i="1"/>
  <c r="AU54" i="1"/>
  <c r="BC55" i="1"/>
  <c r="AU56" i="1"/>
  <c r="BC57" i="1"/>
  <c r="AU58" i="1"/>
  <c r="BC59" i="1"/>
  <c r="AU60" i="1"/>
  <c r="BC61" i="1"/>
  <c r="AU62" i="1"/>
  <c r="BA63" i="1"/>
  <c r="AU65" i="1"/>
  <c r="BC65" i="1"/>
  <c r="AU66" i="1"/>
  <c r="BC66" i="1"/>
  <c r="AT67" i="1"/>
  <c r="BB106" i="1"/>
  <c r="BB110" i="1"/>
  <c r="BA114" i="1"/>
  <c r="BB116" i="1"/>
  <c r="AT47" i="1"/>
  <c r="AT49" i="1"/>
  <c r="AT51" i="1"/>
  <c r="AT53" i="1"/>
  <c r="AT55" i="1"/>
  <c r="AT57" i="1"/>
  <c r="AT59" i="1"/>
  <c r="AT61" i="1"/>
  <c r="AT63" i="1"/>
  <c r="AU67" i="1"/>
  <c r="AT68" i="1"/>
  <c r="AT69" i="1"/>
  <c r="BA94" i="1"/>
  <c r="BA105" i="1"/>
  <c r="BA109" i="1"/>
  <c r="BB113" i="1"/>
  <c r="BA115" i="1"/>
  <c r="BB117" i="1"/>
  <c r="BB118" i="1"/>
  <c r="BB119" i="1"/>
  <c r="BB120" i="1"/>
  <c r="BB121" i="1"/>
  <c r="BB122" i="1"/>
  <c r="BB123" i="1"/>
  <c r="BF159" i="1"/>
  <c r="BF161" i="1"/>
  <c r="BF163" i="1"/>
  <c r="BF167" i="1"/>
  <c r="BF171" i="1"/>
  <c r="BF166" i="1"/>
  <c r="BF170" i="1"/>
  <c r="BF156" i="1"/>
  <c r="BF158" i="1"/>
  <c r="BF160" i="1"/>
  <c r="BF162" i="1"/>
  <c r="BF165" i="1"/>
  <c r="BF169" i="1"/>
  <c r="BF155" i="1"/>
  <c r="BF164" i="1"/>
  <c r="BF168" i="1"/>
  <c r="BF172" i="1"/>
  <c r="BF173" i="1"/>
  <c r="BF174" i="1"/>
  <c r="BF175" i="1"/>
  <c r="BF176" i="1"/>
  <c r="BF177" i="1"/>
  <c r="BF178" i="1"/>
  <c r="BF179" i="1"/>
  <c r="BF180" i="1"/>
  <c r="BF181" i="1"/>
  <c r="BF182" i="1"/>
  <c r="BF183" i="1"/>
  <c r="BF184" i="1"/>
  <c r="BI216" i="2"/>
  <c r="BK216" i="2"/>
  <c r="BJ216" i="2"/>
  <c r="BJ218" i="2" s="1"/>
  <c r="BH216" i="2"/>
  <c r="BJ221" i="2" l="1"/>
  <c r="BH218" i="2"/>
  <c r="BI221" i="2"/>
  <c r="BI222" i="2" s="1"/>
  <c r="AV216" i="2"/>
  <c r="AP185" i="2" l="1"/>
  <c r="AP216" i="2"/>
  <c r="M61" i="8"/>
  <c r="M46" i="8"/>
  <c r="L46" i="8"/>
  <c r="L60" i="8" s="1"/>
  <c r="K46" i="8"/>
  <c r="K75" i="8" s="1"/>
  <c r="J46" i="8"/>
  <c r="I46" i="8"/>
  <c r="H46" i="8"/>
  <c r="H75" i="8" s="1"/>
  <c r="G46" i="8"/>
  <c r="G60" i="8" s="1"/>
  <c r="F46" i="8"/>
  <c r="E46" i="8"/>
  <c r="D46" i="8"/>
  <c r="D75" i="8" s="1"/>
  <c r="Y45" i="8"/>
  <c r="R45" i="8"/>
  <c r="AF45" i="8" s="1"/>
  <c r="M45" i="8"/>
  <c r="L45" i="8"/>
  <c r="L59" i="8" s="1"/>
  <c r="K45" i="8"/>
  <c r="J45" i="8"/>
  <c r="J74" i="8" s="1"/>
  <c r="I45" i="8"/>
  <c r="I59" i="8" s="1"/>
  <c r="H45" i="8"/>
  <c r="H59" i="8" s="1"/>
  <c r="G45" i="8"/>
  <c r="F45" i="8"/>
  <c r="F74" i="8" s="1"/>
  <c r="E45" i="8"/>
  <c r="D45" i="8"/>
  <c r="D74" i="8" s="1"/>
  <c r="Y44" i="8"/>
  <c r="M44" i="8"/>
  <c r="L44" i="8"/>
  <c r="L58" i="8" s="1"/>
  <c r="K44" i="8"/>
  <c r="J44" i="8"/>
  <c r="I44" i="8"/>
  <c r="H44" i="8"/>
  <c r="H73" i="8" s="1"/>
  <c r="G44" i="8"/>
  <c r="G73" i="8" s="1"/>
  <c r="F44" i="8"/>
  <c r="E44" i="8"/>
  <c r="E58" i="8" s="1"/>
  <c r="D44" i="8"/>
  <c r="D73" i="8" s="1"/>
  <c r="AF43" i="8"/>
  <c r="Y43" i="8"/>
  <c r="R43" i="8"/>
  <c r="M43" i="8"/>
  <c r="L43" i="8"/>
  <c r="L57" i="8" s="1"/>
  <c r="K43" i="8"/>
  <c r="J43" i="8"/>
  <c r="I43" i="8"/>
  <c r="H43" i="8"/>
  <c r="G43" i="8"/>
  <c r="F43" i="8"/>
  <c r="F72" i="8" s="1"/>
  <c r="E43" i="8"/>
  <c r="D43" i="8"/>
  <c r="D72" i="8" s="1"/>
  <c r="S42" i="8"/>
  <c r="AG42" i="8" s="1"/>
  <c r="R42" i="8"/>
  <c r="M42" i="8"/>
  <c r="L42" i="8"/>
  <c r="L56" i="8" s="1"/>
  <c r="K42" i="8"/>
  <c r="J42" i="8"/>
  <c r="J71" i="8" s="1"/>
  <c r="I42" i="8"/>
  <c r="I56" i="8" s="1"/>
  <c r="H42" i="8"/>
  <c r="G42" i="8"/>
  <c r="G71" i="8" s="1"/>
  <c r="F42" i="8"/>
  <c r="F71" i="8" s="1"/>
  <c r="E42" i="8"/>
  <c r="E56" i="8" s="1"/>
  <c r="D42" i="8"/>
  <c r="D56" i="8" s="1"/>
  <c r="Y41" i="8"/>
  <c r="M41" i="8"/>
  <c r="L41" i="8"/>
  <c r="L55" i="8" s="1"/>
  <c r="K41" i="8"/>
  <c r="J41" i="8"/>
  <c r="I41" i="8"/>
  <c r="I55" i="8" s="1"/>
  <c r="H41" i="8"/>
  <c r="G41" i="8"/>
  <c r="G70" i="8" s="1"/>
  <c r="F41" i="8"/>
  <c r="E41" i="8"/>
  <c r="D41" i="8"/>
  <c r="S40" i="8"/>
  <c r="R40" i="8"/>
  <c r="M40" i="8"/>
  <c r="L40" i="8"/>
  <c r="L54" i="8" s="1"/>
  <c r="K40" i="8"/>
  <c r="K54" i="8" s="1"/>
  <c r="J40" i="8"/>
  <c r="J69" i="8" s="1"/>
  <c r="I40" i="8"/>
  <c r="H40" i="8"/>
  <c r="G40" i="8"/>
  <c r="G69" i="8" s="1"/>
  <c r="F40" i="8"/>
  <c r="F69" i="8" s="1"/>
  <c r="E40" i="8"/>
  <c r="D40" i="8"/>
  <c r="Y39" i="8"/>
  <c r="M39" i="8"/>
  <c r="L39" i="8"/>
  <c r="L53" i="8" s="1"/>
  <c r="K39" i="8"/>
  <c r="K53" i="8" s="1"/>
  <c r="J39" i="8"/>
  <c r="J68" i="8" s="1"/>
  <c r="I39" i="8"/>
  <c r="H39" i="8"/>
  <c r="H53" i="8" s="1"/>
  <c r="G39" i="8"/>
  <c r="G53" i="8" s="1"/>
  <c r="F39" i="8"/>
  <c r="F53" i="8" s="1"/>
  <c r="E39" i="8"/>
  <c r="D39" i="8"/>
  <c r="D53" i="8" s="1"/>
  <c r="Z38" i="8"/>
  <c r="Y38" i="8"/>
  <c r="R38" i="8"/>
  <c r="M38" i="8"/>
  <c r="L38" i="8"/>
  <c r="K38" i="8"/>
  <c r="K67" i="8" s="1"/>
  <c r="J38" i="8"/>
  <c r="I38" i="8"/>
  <c r="H38" i="8"/>
  <c r="G38" i="8"/>
  <c r="G67" i="8" s="1"/>
  <c r="F38" i="8"/>
  <c r="F52" i="8" s="1"/>
  <c r="E38" i="8"/>
  <c r="D38" i="8"/>
  <c r="M30" i="8"/>
  <c r="L30" i="8"/>
  <c r="K30" i="8"/>
  <c r="J30" i="8"/>
  <c r="I30" i="8"/>
  <c r="H30" i="8"/>
  <c r="G30" i="8"/>
  <c r="F30" i="8"/>
  <c r="E30" i="8"/>
  <c r="D30" i="8"/>
  <c r="O29" i="8"/>
  <c r="Z46" i="8" s="1"/>
  <c r="N29" i="8"/>
  <c r="S46" i="8" s="1"/>
  <c r="AG46" i="8" s="1"/>
  <c r="C29" i="8"/>
  <c r="O28" i="8"/>
  <c r="N28" i="8"/>
  <c r="S45" i="8" s="1"/>
  <c r="C28" i="8"/>
  <c r="O27" i="8"/>
  <c r="Z44" i="8" s="1"/>
  <c r="N27" i="8"/>
  <c r="S44" i="8" s="1"/>
  <c r="C27" i="8"/>
  <c r="O26" i="8"/>
  <c r="Z43" i="8" s="1"/>
  <c r="N26" i="8"/>
  <c r="S43" i="8" s="1"/>
  <c r="AG43" i="8" s="1"/>
  <c r="C26" i="8"/>
  <c r="O25" i="8"/>
  <c r="Z42" i="8" s="1"/>
  <c r="N25" i="8"/>
  <c r="C25" i="8"/>
  <c r="C30" i="8" s="1"/>
  <c r="O24" i="8"/>
  <c r="Z41" i="8" s="1"/>
  <c r="N24" i="8"/>
  <c r="S41" i="8" s="1"/>
  <c r="C24" i="8"/>
  <c r="O23" i="8"/>
  <c r="N23" i="8"/>
  <c r="C23" i="8"/>
  <c r="O22" i="8"/>
  <c r="Z39" i="8" s="1"/>
  <c r="N22" i="8"/>
  <c r="C22" i="8"/>
  <c r="O21" i="8"/>
  <c r="N21" i="8"/>
  <c r="C21" i="8"/>
  <c r="R13" i="8"/>
  <c r="Q13" i="8"/>
  <c r="P13" i="8"/>
  <c r="Y46" i="8" s="1"/>
  <c r="O13" i="8"/>
  <c r="R46" i="8" s="1"/>
  <c r="AF46" i="8" s="1"/>
  <c r="R12" i="8"/>
  <c r="Q12" i="8"/>
  <c r="P12" i="8"/>
  <c r="T12" i="8" s="1"/>
  <c r="O12" i="8"/>
  <c r="R11" i="8"/>
  <c r="Q11" i="8"/>
  <c r="P11" i="8"/>
  <c r="O11" i="8"/>
  <c r="R44" i="8" s="1"/>
  <c r="AF44" i="8" s="1"/>
  <c r="R10" i="8"/>
  <c r="Q10" i="8"/>
  <c r="P10" i="8"/>
  <c r="O10" i="8"/>
  <c r="R9" i="8"/>
  <c r="Q9" i="8"/>
  <c r="P9" i="8"/>
  <c r="Y42" i="8" s="1"/>
  <c r="O9" i="8"/>
  <c r="R8" i="8"/>
  <c r="Q8" i="8"/>
  <c r="P8" i="8"/>
  <c r="O8" i="8"/>
  <c r="R41" i="8" s="1"/>
  <c r="AF41" i="8" s="1"/>
  <c r="R7" i="8"/>
  <c r="Q7" i="8"/>
  <c r="P7" i="8"/>
  <c r="Y40" i="8" s="1"/>
  <c r="O7" i="8"/>
  <c r="R6" i="8"/>
  <c r="Q6" i="8"/>
  <c r="P6" i="8"/>
  <c r="O6" i="8"/>
  <c r="R39" i="8" s="1"/>
  <c r="AF39" i="8" s="1"/>
  <c r="R5" i="8"/>
  <c r="Q5" i="8"/>
  <c r="P5" i="8"/>
  <c r="P14" i="8" s="1"/>
  <c r="O5" i="8"/>
  <c r="O14" i="8" s="1"/>
  <c r="O16" i="8" s="1"/>
  <c r="J51" i="7"/>
  <c r="AA51" i="7" s="1"/>
  <c r="G51" i="7"/>
  <c r="E51" i="7"/>
  <c r="V51" i="7" s="1"/>
  <c r="J50" i="7"/>
  <c r="AA50" i="7" s="1"/>
  <c r="G50" i="7"/>
  <c r="X50" i="7" s="1"/>
  <c r="E50" i="7"/>
  <c r="V50" i="7" s="1"/>
  <c r="F49" i="7"/>
  <c r="W49" i="7" s="1"/>
  <c r="J48" i="7"/>
  <c r="AA48" i="7" s="1"/>
  <c r="G48" i="7"/>
  <c r="X48" i="7" s="1"/>
  <c r="E48" i="7"/>
  <c r="V48" i="7" s="1"/>
  <c r="L37" i="7"/>
  <c r="K37" i="7"/>
  <c r="J37" i="7"/>
  <c r="L36" i="7"/>
  <c r="K36" i="7"/>
  <c r="J36" i="7"/>
  <c r="L35" i="7"/>
  <c r="S35" i="7" s="1"/>
  <c r="K35" i="7"/>
  <c r="J35" i="7"/>
  <c r="L34" i="7"/>
  <c r="S34" i="7" s="1"/>
  <c r="K34" i="7"/>
  <c r="J34" i="7"/>
  <c r="L33" i="7"/>
  <c r="S33" i="7" s="1"/>
  <c r="K33" i="7"/>
  <c r="J33" i="7"/>
  <c r="L32" i="7"/>
  <c r="S32" i="7" s="1"/>
  <c r="K32" i="7"/>
  <c r="J32" i="7"/>
  <c r="L31" i="7"/>
  <c r="S31" i="7" s="1"/>
  <c r="K31" i="7"/>
  <c r="J31" i="7"/>
  <c r="L30" i="7"/>
  <c r="S30" i="7" s="1"/>
  <c r="K30" i="7"/>
  <c r="J30" i="7"/>
  <c r="L29" i="7"/>
  <c r="S29" i="7" s="1"/>
  <c r="K29" i="7"/>
  <c r="J29" i="7"/>
  <c r="L28" i="7"/>
  <c r="S28" i="7" s="1"/>
  <c r="K28" i="7"/>
  <c r="J28" i="7"/>
  <c r="L27" i="7"/>
  <c r="S27" i="7" s="1"/>
  <c r="K27" i="7"/>
  <c r="J27" i="7"/>
  <c r="L26" i="7"/>
  <c r="S26" i="7" s="1"/>
  <c r="K26" i="7"/>
  <c r="J26" i="7"/>
  <c r="L25" i="7"/>
  <c r="S25" i="7" s="1"/>
  <c r="K25" i="7"/>
  <c r="J25" i="7"/>
  <c r="L24" i="7"/>
  <c r="S24" i="7" s="1"/>
  <c r="K24" i="7"/>
  <c r="J24" i="7"/>
  <c r="L23" i="7"/>
  <c r="S23" i="7" s="1"/>
  <c r="K23" i="7"/>
  <c r="J23" i="7"/>
  <c r="L22" i="7"/>
  <c r="S22" i="7" s="1"/>
  <c r="K22" i="7"/>
  <c r="J22" i="7"/>
  <c r="L21" i="7"/>
  <c r="S21" i="7" s="1"/>
  <c r="K21" i="7"/>
  <c r="J21" i="7"/>
  <c r="L20" i="7"/>
  <c r="S20" i="7" s="1"/>
  <c r="K20" i="7"/>
  <c r="J20" i="7"/>
  <c r="L19" i="7"/>
  <c r="K19" i="7"/>
  <c r="J19" i="7"/>
  <c r="C19" i="7"/>
  <c r="L18" i="7"/>
  <c r="K18" i="7"/>
  <c r="J18" i="7"/>
  <c r="C18" i="7"/>
  <c r="L17" i="7"/>
  <c r="K17" i="7"/>
  <c r="J17" i="7"/>
  <c r="C17" i="7"/>
  <c r="L16" i="7"/>
  <c r="K16" i="7"/>
  <c r="J16" i="7"/>
  <c r="C16" i="7"/>
  <c r="L15" i="7"/>
  <c r="K15" i="7"/>
  <c r="J15" i="7"/>
  <c r="C15" i="7"/>
  <c r="L14" i="7"/>
  <c r="K14" i="7"/>
  <c r="J14" i="7"/>
  <c r="C14" i="7"/>
  <c r="L13" i="7"/>
  <c r="K13" i="7"/>
  <c r="J13" i="7"/>
  <c r="C13" i="7"/>
  <c r="L12" i="7"/>
  <c r="K12" i="7"/>
  <c r="J12" i="7"/>
  <c r="C12" i="7"/>
  <c r="L11" i="7"/>
  <c r="K11" i="7"/>
  <c r="J11" i="7"/>
  <c r="C11" i="7"/>
  <c r="L10" i="7"/>
  <c r="K10" i="7"/>
  <c r="J10" i="7"/>
  <c r="C10" i="7"/>
  <c r="L9" i="7"/>
  <c r="K9" i="7"/>
  <c r="J9" i="7"/>
  <c r="C9" i="7"/>
  <c r="L8" i="7"/>
  <c r="J8" i="7"/>
  <c r="I8" i="7" s="1"/>
  <c r="C8" i="7"/>
  <c r="L7" i="7"/>
  <c r="K7" i="7"/>
  <c r="J7" i="7"/>
  <c r="C7" i="7"/>
  <c r="L6" i="7"/>
  <c r="K6" i="7"/>
  <c r="J6" i="7"/>
  <c r="C6" i="7"/>
  <c r="H19" i="6"/>
  <c r="G19" i="6"/>
  <c r="I19" i="6" s="1"/>
  <c r="D19" i="6"/>
  <c r="J19" i="6" s="1"/>
  <c r="L19" i="6" s="1"/>
  <c r="C19" i="6"/>
  <c r="G18" i="6"/>
  <c r="D18" i="6"/>
  <c r="D20" i="6" s="1"/>
  <c r="C18" i="6"/>
  <c r="C20" i="6" s="1"/>
  <c r="Y17" i="6"/>
  <c r="U17" i="6" s="1"/>
  <c r="V17" i="6"/>
  <c r="T17" i="6"/>
  <c r="V16" i="6"/>
  <c r="V15" i="6"/>
  <c r="V14" i="6"/>
  <c r="U14" i="6"/>
  <c r="V13" i="6"/>
  <c r="U13" i="6"/>
  <c r="N13" i="6"/>
  <c r="K13" i="6"/>
  <c r="V12" i="6"/>
  <c r="U12" i="6"/>
  <c r="D12" i="6"/>
  <c r="C12" i="6"/>
  <c r="E12" i="6" s="1"/>
  <c r="V11" i="6"/>
  <c r="U11" i="6"/>
  <c r="M11" i="6"/>
  <c r="E11" i="6"/>
  <c r="D11" i="6"/>
  <c r="C11" i="6"/>
  <c r="V10" i="6"/>
  <c r="U10" i="6"/>
  <c r="E10" i="6"/>
  <c r="D10" i="6"/>
  <c r="J13" i="6" s="1"/>
  <c r="V9" i="6"/>
  <c r="U9" i="6"/>
  <c r="Q9" i="6"/>
  <c r="N9" i="6"/>
  <c r="L9" i="6"/>
  <c r="K9" i="6"/>
  <c r="G9" i="6"/>
  <c r="V8" i="6"/>
  <c r="U8" i="6"/>
  <c r="Q8" i="6"/>
  <c r="N8" i="6"/>
  <c r="M8" i="6"/>
  <c r="L8" i="6"/>
  <c r="L11" i="6" s="1"/>
  <c r="N11" i="6" s="1"/>
  <c r="I8" i="6"/>
  <c r="K8" i="6" s="1"/>
  <c r="G8" i="6"/>
  <c r="F8" i="6"/>
  <c r="H8" i="6" s="1"/>
  <c r="E8" i="6"/>
  <c r="V7" i="6"/>
  <c r="U7" i="6"/>
  <c r="Q7" i="6"/>
  <c r="N7" i="6"/>
  <c r="M7" i="6"/>
  <c r="L7" i="6"/>
  <c r="G7" i="6"/>
  <c r="F7" i="6"/>
  <c r="F11" i="6" s="1"/>
  <c r="E7" i="6"/>
  <c r="V6" i="6"/>
  <c r="U6" i="6"/>
  <c r="Q6" i="6"/>
  <c r="K6" i="6"/>
  <c r="H6" i="6"/>
  <c r="I6" i="6" s="1"/>
  <c r="G6" i="6"/>
  <c r="F6" i="6"/>
  <c r="E6" i="6"/>
  <c r="Q5" i="6"/>
  <c r="G5" i="6"/>
  <c r="F5" i="6"/>
  <c r="E5" i="6"/>
  <c r="Q4" i="6"/>
  <c r="I4" i="6"/>
  <c r="G4" i="6"/>
  <c r="F4" i="6"/>
  <c r="H4" i="6" s="1"/>
  <c r="E4" i="6"/>
  <c r="Q3" i="6"/>
  <c r="Q10" i="6" s="1"/>
  <c r="H3" i="6"/>
  <c r="I3" i="6" s="1"/>
  <c r="G3" i="6"/>
  <c r="G10" i="6" s="1"/>
  <c r="F3" i="6"/>
  <c r="F12" i="6" s="1"/>
  <c r="E3" i="6"/>
  <c r="H148" i="5"/>
  <c r="G148" i="5"/>
  <c r="F148" i="5"/>
  <c r="E148" i="5"/>
  <c r="D148" i="5"/>
  <c r="H147" i="5"/>
  <c r="G147" i="5"/>
  <c r="F147" i="5"/>
  <c r="E147" i="5"/>
  <c r="D147" i="5"/>
  <c r="G143" i="5"/>
  <c r="H141" i="5"/>
  <c r="G141" i="5"/>
  <c r="F141" i="5"/>
  <c r="F149" i="5" s="1"/>
  <c r="E141" i="5"/>
  <c r="E149" i="5" s="1"/>
  <c r="D141" i="5"/>
  <c r="O140" i="5"/>
  <c r="L140" i="5"/>
  <c r="I140" i="5"/>
  <c r="I139" i="5"/>
  <c r="K138" i="5"/>
  <c r="I138" i="5"/>
  <c r="L137" i="5"/>
  <c r="K137" i="5"/>
  <c r="I137" i="5"/>
  <c r="I136" i="5"/>
  <c r="I135" i="5"/>
  <c r="K134" i="5"/>
  <c r="I134" i="5"/>
  <c r="L133" i="5"/>
  <c r="K133" i="5"/>
  <c r="I133" i="5"/>
  <c r="L132" i="5"/>
  <c r="I132" i="5"/>
  <c r="D126" i="5"/>
  <c r="G125" i="5"/>
  <c r="F125" i="5"/>
  <c r="E125" i="5"/>
  <c r="D125" i="5"/>
  <c r="G124" i="5"/>
  <c r="F124" i="5"/>
  <c r="E124" i="5"/>
  <c r="D124" i="5"/>
  <c r="O118" i="5"/>
  <c r="K118" i="5"/>
  <c r="G118" i="5"/>
  <c r="F118" i="5"/>
  <c r="E118" i="5"/>
  <c r="D118" i="5"/>
  <c r="O117" i="5"/>
  <c r="N117" i="5"/>
  <c r="N140" i="5" s="1"/>
  <c r="M117" i="5"/>
  <c r="M140" i="5" s="1"/>
  <c r="L117" i="5"/>
  <c r="K117" i="5"/>
  <c r="K140" i="5" s="1"/>
  <c r="J117" i="5"/>
  <c r="J140" i="5" s="1"/>
  <c r="I117" i="5"/>
  <c r="H117" i="5"/>
  <c r="O116" i="5"/>
  <c r="O139" i="5" s="1"/>
  <c r="N116" i="5"/>
  <c r="N139" i="5" s="1"/>
  <c r="M116" i="5"/>
  <c r="M139" i="5" s="1"/>
  <c r="L116" i="5"/>
  <c r="L139" i="5" s="1"/>
  <c r="K116" i="5"/>
  <c r="K139" i="5" s="1"/>
  <c r="J116" i="5"/>
  <c r="J139" i="5" s="1"/>
  <c r="I116" i="5"/>
  <c r="H116" i="5"/>
  <c r="P116" i="5" s="1"/>
  <c r="O115" i="5"/>
  <c r="O138" i="5" s="1"/>
  <c r="N115" i="5"/>
  <c r="N138" i="5" s="1"/>
  <c r="M115" i="5"/>
  <c r="M138" i="5" s="1"/>
  <c r="L115" i="5"/>
  <c r="L138" i="5" s="1"/>
  <c r="K115" i="5"/>
  <c r="J115" i="5"/>
  <c r="J138" i="5" s="1"/>
  <c r="I115" i="5"/>
  <c r="H115" i="5"/>
  <c r="O114" i="5"/>
  <c r="O137" i="5" s="1"/>
  <c r="N114" i="5"/>
  <c r="N137" i="5" s="1"/>
  <c r="M114" i="5"/>
  <c r="M137" i="5" s="1"/>
  <c r="L114" i="5"/>
  <c r="K114" i="5"/>
  <c r="J114" i="5"/>
  <c r="J137" i="5" s="1"/>
  <c r="I114" i="5"/>
  <c r="H114" i="5"/>
  <c r="H113" i="5"/>
  <c r="O112" i="5"/>
  <c r="O135" i="5" s="1"/>
  <c r="N112" i="5"/>
  <c r="N135" i="5" s="1"/>
  <c r="M112" i="5"/>
  <c r="M135" i="5" s="1"/>
  <c r="L112" i="5"/>
  <c r="L135" i="5" s="1"/>
  <c r="K112" i="5"/>
  <c r="K135" i="5" s="1"/>
  <c r="P135" i="5" s="1"/>
  <c r="J112" i="5"/>
  <c r="J135" i="5" s="1"/>
  <c r="I112" i="5"/>
  <c r="H112" i="5"/>
  <c r="P112" i="5" s="1"/>
  <c r="O111" i="5"/>
  <c r="O134" i="5" s="1"/>
  <c r="N111" i="5"/>
  <c r="N134" i="5" s="1"/>
  <c r="M111" i="5"/>
  <c r="M134" i="5" s="1"/>
  <c r="L111" i="5"/>
  <c r="L134" i="5" s="1"/>
  <c r="K111" i="5"/>
  <c r="J111" i="5"/>
  <c r="J134" i="5" s="1"/>
  <c r="I111" i="5"/>
  <c r="H111" i="5"/>
  <c r="P111" i="5" s="1"/>
  <c r="O110" i="5"/>
  <c r="O133" i="5" s="1"/>
  <c r="N110" i="5"/>
  <c r="N133" i="5" s="1"/>
  <c r="M110" i="5"/>
  <c r="M133" i="5" s="1"/>
  <c r="L110" i="5"/>
  <c r="K110" i="5"/>
  <c r="J110" i="5"/>
  <c r="J133" i="5" s="1"/>
  <c r="I110" i="5"/>
  <c r="H110" i="5"/>
  <c r="O109" i="5"/>
  <c r="O132" i="5" s="1"/>
  <c r="N109" i="5"/>
  <c r="N132" i="5" s="1"/>
  <c r="M109" i="5"/>
  <c r="M132" i="5" s="1"/>
  <c r="L109" i="5"/>
  <c r="K109" i="5"/>
  <c r="K132" i="5" s="1"/>
  <c r="J109" i="5"/>
  <c r="J132" i="5" s="1"/>
  <c r="I109" i="5"/>
  <c r="H109" i="5"/>
  <c r="G103" i="5"/>
  <c r="D103" i="5"/>
  <c r="H102" i="5"/>
  <c r="G102" i="5"/>
  <c r="F102" i="5"/>
  <c r="E102" i="5"/>
  <c r="D102" i="5"/>
  <c r="H101" i="5"/>
  <c r="G101" i="5"/>
  <c r="F101" i="5"/>
  <c r="E101" i="5"/>
  <c r="D101" i="5"/>
  <c r="H100" i="5"/>
  <c r="G100" i="5"/>
  <c r="F100" i="5"/>
  <c r="E100" i="5"/>
  <c r="D100" i="5"/>
  <c r="H99" i="5"/>
  <c r="G99" i="5"/>
  <c r="F99" i="5"/>
  <c r="E99" i="5"/>
  <c r="D99" i="5"/>
  <c r="H98" i="5"/>
  <c r="G98" i="5"/>
  <c r="F98" i="5"/>
  <c r="E98" i="5"/>
  <c r="D98" i="5"/>
  <c r="P94" i="5"/>
  <c r="P95" i="5" s="1"/>
  <c r="O94" i="5"/>
  <c r="N94" i="5"/>
  <c r="N118" i="5" s="1"/>
  <c r="N141" i="5" s="1"/>
  <c r="M94" i="5"/>
  <c r="M118" i="5" s="1"/>
  <c r="L94" i="5"/>
  <c r="L118" i="5" s="1"/>
  <c r="K94" i="5"/>
  <c r="J94" i="5"/>
  <c r="J118" i="5" s="1"/>
  <c r="I94" i="5"/>
  <c r="H94" i="5"/>
  <c r="H95" i="5" s="1"/>
  <c r="G94" i="5"/>
  <c r="F94" i="5"/>
  <c r="E94" i="5"/>
  <c r="D94" i="5"/>
  <c r="O69" i="5"/>
  <c r="N69" i="5"/>
  <c r="M69" i="5"/>
  <c r="L69" i="5"/>
  <c r="K69" i="5"/>
  <c r="J69" i="5"/>
  <c r="I69" i="5"/>
  <c r="H69" i="5"/>
  <c r="G69" i="5"/>
  <c r="E68" i="5"/>
  <c r="D68" i="5"/>
  <c r="E67" i="5"/>
  <c r="E78" i="5" s="1"/>
  <c r="D67" i="5"/>
  <c r="D78" i="5" s="1"/>
  <c r="E66" i="5"/>
  <c r="E77" i="5" s="1"/>
  <c r="D66" i="5"/>
  <c r="D77" i="5" s="1"/>
  <c r="E65" i="5"/>
  <c r="E76" i="5" s="1"/>
  <c r="D65" i="5"/>
  <c r="D76" i="5" s="1"/>
  <c r="E63" i="5"/>
  <c r="D63" i="5"/>
  <c r="E62" i="5"/>
  <c r="D62" i="5"/>
  <c r="E61" i="5"/>
  <c r="D61" i="5"/>
  <c r="E60" i="5"/>
  <c r="D60" i="5"/>
  <c r="H52" i="5"/>
  <c r="O46" i="5"/>
  <c r="N46" i="5"/>
  <c r="M46" i="5"/>
  <c r="L46" i="5"/>
  <c r="K46" i="5"/>
  <c r="J46" i="5"/>
  <c r="I46" i="5"/>
  <c r="H46" i="5"/>
  <c r="G46" i="5"/>
  <c r="F46" i="5"/>
  <c r="E46" i="5"/>
  <c r="D46" i="5"/>
  <c r="K40" i="5"/>
  <c r="K47" i="5" s="1"/>
  <c r="O39" i="5"/>
  <c r="N39" i="5"/>
  <c r="M39" i="5"/>
  <c r="L39" i="5"/>
  <c r="K39" i="5"/>
  <c r="K50" i="5" s="1"/>
  <c r="J39" i="5"/>
  <c r="I39" i="5"/>
  <c r="H39" i="5"/>
  <c r="G39" i="5"/>
  <c r="F39" i="5"/>
  <c r="E39" i="5"/>
  <c r="D39" i="5"/>
  <c r="O38" i="5"/>
  <c r="M41" i="5" s="1"/>
  <c r="N38" i="5"/>
  <c r="M38" i="5"/>
  <c r="L38" i="5"/>
  <c r="K38" i="5"/>
  <c r="J38" i="5"/>
  <c r="I38" i="5"/>
  <c r="H38" i="5"/>
  <c r="G36" i="5" s="1"/>
  <c r="G38" i="5"/>
  <c r="G41" i="5" s="1"/>
  <c r="F38" i="5"/>
  <c r="E38" i="5"/>
  <c r="D38" i="5"/>
  <c r="O32" i="5"/>
  <c r="N32" i="5"/>
  <c r="M32" i="5"/>
  <c r="L32" i="5"/>
  <c r="K32" i="5"/>
  <c r="J32" i="5"/>
  <c r="I32" i="5"/>
  <c r="H32" i="5"/>
  <c r="G32" i="5"/>
  <c r="F32" i="5"/>
  <c r="E32" i="5"/>
  <c r="D32" i="5"/>
  <c r="O31" i="5"/>
  <c r="N31" i="5"/>
  <c r="M31" i="5"/>
  <c r="L31" i="5"/>
  <c r="K31" i="5"/>
  <c r="J31" i="5"/>
  <c r="I31" i="5"/>
  <c r="H31" i="5"/>
  <c r="G31" i="5"/>
  <c r="F51" i="7" s="1"/>
  <c r="W51" i="7" s="1"/>
  <c r="F31" i="5"/>
  <c r="E31" i="5"/>
  <c r="D31" i="5"/>
  <c r="O30" i="5"/>
  <c r="O34" i="5" s="1"/>
  <c r="N30" i="5"/>
  <c r="N34" i="5" s="1"/>
  <c r="M30" i="5"/>
  <c r="M34" i="5" s="1"/>
  <c r="L30" i="5"/>
  <c r="L34" i="5" s="1"/>
  <c r="K30" i="5"/>
  <c r="K34" i="5" s="1"/>
  <c r="J30" i="5"/>
  <c r="I30" i="5"/>
  <c r="I34" i="5" s="1"/>
  <c r="H30" i="5"/>
  <c r="H34" i="5" s="1"/>
  <c r="G30" i="5"/>
  <c r="F30" i="5"/>
  <c r="F34" i="5" s="1"/>
  <c r="E30" i="5"/>
  <c r="E34" i="5" s="1"/>
  <c r="D30" i="5"/>
  <c r="D34" i="5" s="1"/>
  <c r="O29" i="5"/>
  <c r="N29" i="5"/>
  <c r="M29" i="5"/>
  <c r="L29" i="5"/>
  <c r="K29" i="5"/>
  <c r="J29" i="5"/>
  <c r="K76" i="4" s="1"/>
  <c r="I29" i="5"/>
  <c r="H29" i="5"/>
  <c r="G29" i="5"/>
  <c r="F48" i="7" s="1"/>
  <c r="F29" i="5"/>
  <c r="E29" i="5"/>
  <c r="D29" i="5"/>
  <c r="N25" i="5"/>
  <c r="F25" i="5"/>
  <c r="P24" i="5"/>
  <c r="O24" i="5"/>
  <c r="N24" i="5"/>
  <c r="O25" i="5" s="1"/>
  <c r="M24" i="5"/>
  <c r="M25" i="5" s="1"/>
  <c r="L24" i="5"/>
  <c r="K24" i="5"/>
  <c r="K25" i="5" s="1"/>
  <c r="J24" i="5"/>
  <c r="J25" i="5" s="1"/>
  <c r="I24" i="5"/>
  <c r="I25" i="5" s="1"/>
  <c r="H24" i="5"/>
  <c r="G24" i="5"/>
  <c r="G120" i="5" s="1"/>
  <c r="F24" i="5"/>
  <c r="G25" i="5" s="1"/>
  <c r="E24" i="5"/>
  <c r="E25" i="5" s="1"/>
  <c r="D24" i="5"/>
  <c r="R17" i="5"/>
  <c r="AV83" i="4"/>
  <c r="AT83" i="4"/>
  <c r="AV82" i="4"/>
  <c r="AT82" i="4"/>
  <c r="G82" i="4"/>
  <c r="AV81" i="4"/>
  <c r="AT81" i="4"/>
  <c r="AV80" i="4"/>
  <c r="AT80" i="4"/>
  <c r="O80" i="4"/>
  <c r="AF80" i="4" s="1"/>
  <c r="J80" i="4"/>
  <c r="AA80" i="4" s="1"/>
  <c r="G80" i="4"/>
  <c r="X80" i="4" s="1"/>
  <c r="E80" i="4"/>
  <c r="O79" i="4"/>
  <c r="AF79" i="4" s="1"/>
  <c r="J79" i="4"/>
  <c r="AA79" i="4" s="1"/>
  <c r="G79" i="4"/>
  <c r="X79" i="4" s="1"/>
  <c r="E79" i="4"/>
  <c r="AV78" i="4"/>
  <c r="AT78" i="4"/>
  <c r="K78" i="4"/>
  <c r="AB78" i="4" s="1"/>
  <c r="F78" i="4"/>
  <c r="W78" i="4" s="1"/>
  <c r="AV77" i="4"/>
  <c r="AV76" i="4" s="1"/>
  <c r="AT77" i="4"/>
  <c r="AT76" i="4" s="1"/>
  <c r="O77" i="4"/>
  <c r="R77" i="4" s="1"/>
  <c r="J77" i="4"/>
  <c r="AA77" i="4" s="1"/>
  <c r="G77" i="4"/>
  <c r="E77" i="4"/>
  <c r="V77" i="4" s="1"/>
  <c r="O76" i="4"/>
  <c r="AF76" i="4" s="1"/>
  <c r="J76" i="4"/>
  <c r="G76" i="4"/>
  <c r="X76" i="4" s="1"/>
  <c r="E76" i="4"/>
  <c r="G68" i="4"/>
  <c r="X68" i="4" s="1"/>
  <c r="P66" i="4"/>
  <c r="O66" i="4"/>
  <c r="AF66" i="4" s="1"/>
  <c r="K66" i="4"/>
  <c r="AB66" i="4" s="1"/>
  <c r="J66" i="4"/>
  <c r="AA66" i="4" s="1"/>
  <c r="G66" i="4"/>
  <c r="F66" i="4"/>
  <c r="W66" i="4" s="1"/>
  <c r="E66" i="4"/>
  <c r="V66" i="4" s="1"/>
  <c r="O65" i="4"/>
  <c r="AF65" i="4" s="1"/>
  <c r="J65" i="4"/>
  <c r="AA65" i="4" s="1"/>
  <c r="G65" i="4"/>
  <c r="L65" i="4" s="1"/>
  <c r="F65" i="4"/>
  <c r="W65" i="4" s="1"/>
  <c r="E65" i="4"/>
  <c r="V65" i="4" s="1"/>
  <c r="K64" i="4"/>
  <c r="AB64" i="4" s="1"/>
  <c r="O63" i="4"/>
  <c r="AF63" i="4" s="1"/>
  <c r="J63" i="4"/>
  <c r="AA63" i="4" s="1"/>
  <c r="G63" i="4"/>
  <c r="X63" i="4" s="1"/>
  <c r="E63" i="4"/>
  <c r="V63" i="4" s="1"/>
  <c r="P62" i="4"/>
  <c r="O62" i="4"/>
  <c r="K62" i="4"/>
  <c r="J62" i="4"/>
  <c r="AA62" i="4" s="1"/>
  <c r="G62" i="4"/>
  <c r="L62" i="4" s="1"/>
  <c r="F62" i="4"/>
  <c r="E62" i="4"/>
  <c r="V62" i="4" s="1"/>
  <c r="G54" i="4"/>
  <c r="X54" i="4" s="1"/>
  <c r="P52" i="4"/>
  <c r="AG52" i="4" s="1"/>
  <c r="O52" i="4"/>
  <c r="AF52" i="4" s="1"/>
  <c r="J52" i="4"/>
  <c r="AA52" i="4" s="1"/>
  <c r="G52" i="4"/>
  <c r="X52" i="4" s="1"/>
  <c r="E52" i="4"/>
  <c r="V52" i="4" s="1"/>
  <c r="O51" i="4"/>
  <c r="AF51" i="4" s="1"/>
  <c r="J51" i="4"/>
  <c r="AA51" i="4" s="1"/>
  <c r="G51" i="4"/>
  <c r="E51" i="4"/>
  <c r="P50" i="4"/>
  <c r="W49" i="4"/>
  <c r="S49" i="4"/>
  <c r="O49" i="4"/>
  <c r="R49" i="4" s="1"/>
  <c r="J49" i="4"/>
  <c r="AA49" i="4" s="1"/>
  <c r="G49" i="4"/>
  <c r="E49" i="4"/>
  <c r="V49" i="4" s="1"/>
  <c r="AG48" i="4"/>
  <c r="P48" i="4"/>
  <c r="O48" i="4"/>
  <c r="J48" i="4"/>
  <c r="G48" i="4"/>
  <c r="E48" i="4"/>
  <c r="V48" i="4" s="1"/>
  <c r="AI39" i="4"/>
  <c r="AP39" i="4" s="1"/>
  <c r="G39" i="4"/>
  <c r="AH37" i="4"/>
  <c r="AO37" i="4" s="1"/>
  <c r="AG37" i="4"/>
  <c r="AN37" i="4" s="1"/>
  <c r="M37" i="4"/>
  <c r="F37" i="4"/>
  <c r="E37" i="4"/>
  <c r="AO36" i="4"/>
  <c r="AH36" i="4"/>
  <c r="AG36" i="4"/>
  <c r="AN36" i="4" s="1"/>
  <c r="F36" i="4"/>
  <c r="E36" i="4"/>
  <c r="M35" i="4"/>
  <c r="F35" i="4"/>
  <c r="AM34" i="4"/>
  <c r="AG34" i="4"/>
  <c r="AN34" i="4" s="1"/>
  <c r="AH33" i="4"/>
  <c r="AG33" i="4"/>
  <c r="F33" i="4"/>
  <c r="E33" i="4"/>
  <c r="V24" i="4"/>
  <c r="G24" i="4"/>
  <c r="AG22" i="4"/>
  <c r="P22" i="4"/>
  <c r="P51" i="7" s="1"/>
  <c r="AG51" i="7" s="1"/>
  <c r="O22" i="4"/>
  <c r="O51" i="7" s="1"/>
  <c r="AF51" i="7" s="1"/>
  <c r="J22" i="4"/>
  <c r="AA22" i="4" s="1"/>
  <c r="G22" i="4"/>
  <c r="X22" i="4" s="1"/>
  <c r="E22" i="4"/>
  <c r="V22" i="4" s="1"/>
  <c r="P21" i="4"/>
  <c r="O21" i="4"/>
  <c r="J21" i="4"/>
  <c r="AA21" i="4" s="1"/>
  <c r="G21" i="4"/>
  <c r="E21" i="4"/>
  <c r="V21" i="4" s="1"/>
  <c r="AG20" i="4"/>
  <c r="P20" i="4"/>
  <c r="P49" i="7" s="1"/>
  <c r="AG49" i="7" s="1"/>
  <c r="AG19" i="4"/>
  <c r="P19" i="4"/>
  <c r="O19" i="4"/>
  <c r="J19" i="4"/>
  <c r="AA19" i="4" s="1"/>
  <c r="G19" i="4"/>
  <c r="X19" i="4" s="1"/>
  <c r="E19" i="4"/>
  <c r="V19" i="4" s="1"/>
  <c r="V11" i="4"/>
  <c r="V10" i="4"/>
  <c r="E10" i="4"/>
  <c r="S10" i="4" s="1"/>
  <c r="AB8" i="4"/>
  <c r="N8" i="4"/>
  <c r="J8" i="4"/>
  <c r="X8" i="4" s="1"/>
  <c r="F8" i="4"/>
  <c r="AB7" i="4"/>
  <c r="N7" i="4"/>
  <c r="J7" i="4"/>
  <c r="X7" i="4" s="1"/>
  <c r="F7" i="4"/>
  <c r="AB6" i="4"/>
  <c r="N6" i="4"/>
  <c r="J6" i="4"/>
  <c r="X6" i="4" s="1"/>
  <c r="F6" i="4"/>
  <c r="AB5" i="4"/>
  <c r="N5" i="4"/>
  <c r="N9" i="4" s="1"/>
  <c r="AB9" i="4" s="1"/>
  <c r="J5" i="4"/>
  <c r="J9" i="4" s="1"/>
  <c r="X9" i="4" s="1"/>
  <c r="F5" i="4"/>
  <c r="F5" i="3" s="1"/>
  <c r="T5" i="3" s="1"/>
  <c r="AB8" i="3"/>
  <c r="N8" i="3"/>
  <c r="J8" i="3"/>
  <c r="X8" i="3" s="1"/>
  <c r="AB7" i="3"/>
  <c r="N7" i="3"/>
  <c r="J7" i="3"/>
  <c r="X7" i="3" s="1"/>
  <c r="AB6" i="3"/>
  <c r="N6" i="3"/>
  <c r="AB5" i="3"/>
  <c r="N5" i="3"/>
  <c r="N9" i="3" s="1"/>
  <c r="AB9" i="3" s="1"/>
  <c r="J5" i="3"/>
  <c r="AE368" i="1"/>
  <c r="AC368" i="1"/>
  <c r="AB368" i="1"/>
  <c r="AA368" i="1"/>
  <c r="Z368" i="1"/>
  <c r="Z1" i="1" s="1"/>
  <c r="Y368" i="1"/>
  <c r="X368" i="1"/>
  <c r="X1" i="1" s="1"/>
  <c r="W368" i="1"/>
  <c r="V368" i="1"/>
  <c r="V1" i="1" s="1"/>
  <c r="U368" i="1"/>
  <c r="T368" i="1"/>
  <c r="S368" i="1"/>
  <c r="R368" i="1"/>
  <c r="R1" i="1" s="1"/>
  <c r="Q368" i="1"/>
  <c r="P368" i="1"/>
  <c r="P1" i="1" s="1"/>
  <c r="O368" i="1"/>
  <c r="N368" i="1"/>
  <c r="N1" i="1" s="1"/>
  <c r="M368" i="1"/>
  <c r="L368" i="1"/>
  <c r="K368" i="1"/>
  <c r="J368" i="1"/>
  <c r="G368" i="1"/>
  <c r="E368" i="1"/>
  <c r="AE367" i="1"/>
  <c r="AC367" i="1"/>
  <c r="AA367" i="1"/>
  <c r="Y367" i="1"/>
  <c r="W367" i="1"/>
  <c r="U367" i="1"/>
  <c r="S367" i="1"/>
  <c r="Q367" i="1"/>
  <c r="O367" i="1"/>
  <c r="M367" i="1"/>
  <c r="K367" i="1"/>
  <c r="G367" i="1"/>
  <c r="E367" i="1"/>
  <c r="AL367" i="1" s="1"/>
  <c r="C367" i="1"/>
  <c r="AJ367" i="1" s="1"/>
  <c r="AE366" i="1"/>
  <c r="AC366" i="1"/>
  <c r="AA366" i="1"/>
  <c r="Y366" i="1"/>
  <c r="W366" i="1"/>
  <c r="U366" i="1"/>
  <c r="S366" i="1"/>
  <c r="Q366" i="1"/>
  <c r="O366" i="1"/>
  <c r="M366" i="1"/>
  <c r="K366" i="1"/>
  <c r="G366" i="1"/>
  <c r="E366" i="1"/>
  <c r="AL366" i="1" s="1"/>
  <c r="C366" i="1"/>
  <c r="AJ366" i="1" s="1"/>
  <c r="AE365" i="1"/>
  <c r="AC365" i="1"/>
  <c r="AA365" i="1"/>
  <c r="Y365" i="1"/>
  <c r="W365" i="1"/>
  <c r="U365" i="1"/>
  <c r="S365" i="1"/>
  <c r="Q365" i="1"/>
  <c r="O365" i="1"/>
  <c r="M365" i="1"/>
  <c r="K365" i="1"/>
  <c r="G365" i="1"/>
  <c r="E365" i="1"/>
  <c r="AL365" i="1" s="1"/>
  <c r="C365" i="1"/>
  <c r="AJ365" i="1" s="1"/>
  <c r="AE364" i="1"/>
  <c r="AC364" i="1"/>
  <c r="AA364" i="1"/>
  <c r="Y364" i="1"/>
  <c r="W364" i="1"/>
  <c r="U364" i="1"/>
  <c r="S364" i="1"/>
  <c r="Q364" i="1"/>
  <c r="O364" i="1"/>
  <c r="M364" i="1"/>
  <c r="K364" i="1"/>
  <c r="G364" i="1"/>
  <c r="E364" i="1"/>
  <c r="AL364" i="1" s="1"/>
  <c r="C364" i="1"/>
  <c r="AJ364" i="1" s="1"/>
  <c r="AE363" i="1"/>
  <c r="AC363" i="1"/>
  <c r="AA363" i="1"/>
  <c r="Y363" i="1"/>
  <c r="W363" i="1"/>
  <c r="U363" i="1"/>
  <c r="S363" i="1"/>
  <c r="Q363" i="1"/>
  <c r="O363" i="1"/>
  <c r="M363" i="1"/>
  <c r="K363" i="1"/>
  <c r="G363" i="1"/>
  <c r="E363" i="1"/>
  <c r="AL363" i="1" s="1"/>
  <c r="C363" i="1"/>
  <c r="AJ363" i="1" s="1"/>
  <c r="AE362" i="1"/>
  <c r="AC362" i="1"/>
  <c r="AA362" i="1"/>
  <c r="Y362" i="1"/>
  <c r="W362" i="1"/>
  <c r="U362" i="1"/>
  <c r="S362" i="1"/>
  <c r="Q362" i="1"/>
  <c r="O362" i="1"/>
  <c r="M362" i="1"/>
  <c r="K362" i="1"/>
  <c r="G362" i="1"/>
  <c r="E362" i="1"/>
  <c r="AL362" i="1" s="1"/>
  <c r="C362" i="1"/>
  <c r="AJ362" i="1" s="1"/>
  <c r="AE361" i="1"/>
  <c r="AC361" i="1"/>
  <c r="AA361" i="1"/>
  <c r="Y361" i="1"/>
  <c r="W361" i="1"/>
  <c r="U361" i="1"/>
  <c r="S361" i="1"/>
  <c r="Q361" i="1"/>
  <c r="O361" i="1"/>
  <c r="M361" i="1"/>
  <c r="K361" i="1"/>
  <c r="G361" i="1"/>
  <c r="E361" i="1"/>
  <c r="AL361" i="1" s="1"/>
  <c r="C361" i="1"/>
  <c r="AJ361" i="1" s="1"/>
  <c r="AE360" i="1"/>
  <c r="AC360" i="1"/>
  <c r="AA360" i="1"/>
  <c r="Y360" i="1"/>
  <c r="W360" i="1"/>
  <c r="U360" i="1"/>
  <c r="S360" i="1"/>
  <c r="Q360" i="1"/>
  <c r="O360" i="1"/>
  <c r="M360" i="1"/>
  <c r="K360" i="1"/>
  <c r="G360" i="1"/>
  <c r="E360" i="1"/>
  <c r="AL360" i="1" s="1"/>
  <c r="C360" i="1"/>
  <c r="AJ360" i="1" s="1"/>
  <c r="AE359" i="1"/>
  <c r="AC359" i="1"/>
  <c r="AA359" i="1"/>
  <c r="Y359" i="1"/>
  <c r="W359" i="1"/>
  <c r="U359" i="1"/>
  <c r="S359" i="1"/>
  <c r="Q359" i="1"/>
  <c r="O359" i="1"/>
  <c r="M359" i="1"/>
  <c r="K359" i="1"/>
  <c r="G359" i="1"/>
  <c r="E359" i="1"/>
  <c r="AL359" i="1" s="1"/>
  <c r="C359" i="1"/>
  <c r="AJ359" i="1" s="1"/>
  <c r="AE358" i="1"/>
  <c r="AC358" i="1"/>
  <c r="AA358" i="1"/>
  <c r="Y358" i="1"/>
  <c r="W358" i="1"/>
  <c r="U358" i="1"/>
  <c r="S358" i="1"/>
  <c r="Q358" i="1"/>
  <c r="O358" i="1"/>
  <c r="M358" i="1"/>
  <c r="K358" i="1"/>
  <c r="G358" i="1"/>
  <c r="E358" i="1"/>
  <c r="AL358" i="1" s="1"/>
  <c r="C358" i="1"/>
  <c r="AJ358" i="1" s="1"/>
  <c r="AE357" i="1"/>
  <c r="AC357" i="1"/>
  <c r="AA357" i="1"/>
  <c r="Y357" i="1"/>
  <c r="W357" i="1"/>
  <c r="U357" i="1"/>
  <c r="S357" i="1"/>
  <c r="Q357" i="1"/>
  <c r="O357" i="1"/>
  <c r="M357" i="1"/>
  <c r="K357" i="1"/>
  <c r="G357" i="1"/>
  <c r="E357" i="1"/>
  <c r="AL357" i="1" s="1"/>
  <c r="C357" i="1"/>
  <c r="AJ357" i="1" s="1"/>
  <c r="AE356" i="1"/>
  <c r="AC356" i="1"/>
  <c r="AA356" i="1"/>
  <c r="Y356" i="1"/>
  <c r="W356" i="1"/>
  <c r="U356" i="1"/>
  <c r="S356" i="1"/>
  <c r="Q356" i="1"/>
  <c r="O356" i="1"/>
  <c r="M356" i="1"/>
  <c r="K356" i="1"/>
  <c r="G356" i="1"/>
  <c r="E356" i="1"/>
  <c r="AL356" i="1" s="1"/>
  <c r="C356" i="1"/>
  <c r="AJ356" i="1" s="1"/>
  <c r="AE355" i="1"/>
  <c r="AC355" i="1"/>
  <c r="AA355" i="1"/>
  <c r="Y355" i="1"/>
  <c r="W355" i="1"/>
  <c r="U355" i="1"/>
  <c r="S355" i="1"/>
  <c r="Q355" i="1"/>
  <c r="O355" i="1"/>
  <c r="M355" i="1"/>
  <c r="K355" i="1"/>
  <c r="G355" i="1"/>
  <c r="E355" i="1"/>
  <c r="AL355" i="1" s="1"/>
  <c r="C355" i="1"/>
  <c r="AJ355" i="1" s="1"/>
  <c r="AE354" i="1"/>
  <c r="AC354" i="1"/>
  <c r="AA354" i="1"/>
  <c r="Y354" i="1"/>
  <c r="W354" i="1"/>
  <c r="U354" i="1"/>
  <c r="S354" i="1"/>
  <c r="Q354" i="1"/>
  <c r="O354" i="1"/>
  <c r="M354" i="1"/>
  <c r="K354" i="1"/>
  <c r="G354" i="1"/>
  <c r="E354" i="1"/>
  <c r="AL354" i="1" s="1"/>
  <c r="C354" i="1"/>
  <c r="AJ354" i="1" s="1"/>
  <c r="AE353" i="1"/>
  <c r="AC353" i="1"/>
  <c r="AA353" i="1"/>
  <c r="Y353" i="1"/>
  <c r="W353" i="1"/>
  <c r="U353" i="1"/>
  <c r="S353" i="1"/>
  <c r="Q353" i="1"/>
  <c r="O353" i="1"/>
  <c r="M353" i="1"/>
  <c r="K353" i="1"/>
  <c r="G353" i="1"/>
  <c r="E353" i="1"/>
  <c r="AL353" i="1" s="1"/>
  <c r="C353" i="1"/>
  <c r="AJ353" i="1" s="1"/>
  <c r="AE352" i="1"/>
  <c r="AC352" i="1"/>
  <c r="AA352" i="1"/>
  <c r="Y352" i="1"/>
  <c r="W352" i="1"/>
  <c r="U352" i="1"/>
  <c r="S352" i="1"/>
  <c r="Q352" i="1"/>
  <c r="O352" i="1"/>
  <c r="M352" i="1"/>
  <c r="K352" i="1"/>
  <c r="G352" i="1"/>
  <c r="E352" i="1"/>
  <c r="AL352" i="1" s="1"/>
  <c r="C352" i="1"/>
  <c r="AJ352" i="1" s="1"/>
  <c r="AE351" i="1"/>
  <c r="AC351" i="1"/>
  <c r="AA351" i="1"/>
  <c r="Y351" i="1"/>
  <c r="W351" i="1"/>
  <c r="U351" i="1"/>
  <c r="S351" i="1"/>
  <c r="Q351" i="1"/>
  <c r="O351" i="1"/>
  <c r="M351" i="1"/>
  <c r="K351" i="1"/>
  <c r="G351" i="1"/>
  <c r="E351" i="1"/>
  <c r="AL351" i="1" s="1"/>
  <c r="C351" i="1"/>
  <c r="AJ351" i="1" s="1"/>
  <c r="AE350" i="1"/>
  <c r="AC350" i="1"/>
  <c r="AA350" i="1"/>
  <c r="Y350" i="1"/>
  <c r="W350" i="1"/>
  <c r="U350" i="1"/>
  <c r="S350" i="1"/>
  <c r="Q350" i="1"/>
  <c r="O350" i="1"/>
  <c r="M350" i="1"/>
  <c r="K350" i="1"/>
  <c r="G350" i="1"/>
  <c r="E350" i="1"/>
  <c r="AL350" i="1" s="1"/>
  <c r="C350" i="1"/>
  <c r="AJ350" i="1" s="1"/>
  <c r="AE349" i="1"/>
  <c r="AC349" i="1"/>
  <c r="AA349" i="1"/>
  <c r="Y349" i="1"/>
  <c r="W349" i="1"/>
  <c r="U349" i="1"/>
  <c r="S349" i="1"/>
  <c r="Q349" i="1"/>
  <c r="O349" i="1"/>
  <c r="M349" i="1"/>
  <c r="K349" i="1"/>
  <c r="G349" i="1"/>
  <c r="E349" i="1"/>
  <c r="AL349" i="1" s="1"/>
  <c r="C349" i="1"/>
  <c r="AJ349" i="1" s="1"/>
  <c r="AE348" i="1"/>
  <c r="AC348" i="1"/>
  <c r="AA348" i="1"/>
  <c r="Y348" i="1"/>
  <c r="W348" i="1"/>
  <c r="U348" i="1"/>
  <c r="S348" i="1"/>
  <c r="Q348" i="1"/>
  <c r="O348" i="1"/>
  <c r="M348" i="1"/>
  <c r="K348" i="1"/>
  <c r="G348" i="1"/>
  <c r="E348" i="1"/>
  <c r="AL348" i="1" s="1"/>
  <c r="C348" i="1"/>
  <c r="AJ348" i="1" s="1"/>
  <c r="AE347" i="1"/>
  <c r="AC347" i="1"/>
  <c r="AA347" i="1"/>
  <c r="Y347" i="1"/>
  <c r="W347" i="1"/>
  <c r="U347" i="1"/>
  <c r="S347" i="1"/>
  <c r="Q347" i="1"/>
  <c r="O347" i="1"/>
  <c r="M347" i="1"/>
  <c r="K347" i="1"/>
  <c r="G347" i="1"/>
  <c r="E347" i="1"/>
  <c r="AL347" i="1" s="1"/>
  <c r="C347" i="1"/>
  <c r="AJ347" i="1" s="1"/>
  <c r="AE346" i="1"/>
  <c r="AC346" i="1"/>
  <c r="AA346" i="1"/>
  <c r="Y346" i="1"/>
  <c r="W346" i="1"/>
  <c r="U346" i="1"/>
  <c r="S346" i="1"/>
  <c r="Q346" i="1"/>
  <c r="O346" i="1"/>
  <c r="M346" i="1"/>
  <c r="K346" i="1"/>
  <c r="G346" i="1"/>
  <c r="E346" i="1"/>
  <c r="AL346" i="1" s="1"/>
  <c r="C346" i="1"/>
  <c r="AJ346" i="1" s="1"/>
  <c r="AE345" i="1"/>
  <c r="AC345" i="1"/>
  <c r="AA345" i="1"/>
  <c r="Y345" i="1"/>
  <c r="W345" i="1"/>
  <c r="U345" i="1"/>
  <c r="S345" i="1"/>
  <c r="Q345" i="1"/>
  <c r="O345" i="1"/>
  <c r="M345" i="1"/>
  <c r="K345" i="1"/>
  <c r="G345" i="1"/>
  <c r="E345" i="1"/>
  <c r="AL345" i="1" s="1"/>
  <c r="C345" i="1"/>
  <c r="AJ345" i="1" s="1"/>
  <c r="AE344" i="1"/>
  <c r="AC344" i="1"/>
  <c r="AA344" i="1"/>
  <c r="Y344" i="1"/>
  <c r="W344" i="1"/>
  <c r="U344" i="1"/>
  <c r="S344" i="1"/>
  <c r="Q344" i="1"/>
  <c r="O344" i="1"/>
  <c r="M344" i="1"/>
  <c r="K344" i="1"/>
  <c r="G344" i="1"/>
  <c r="E344" i="1"/>
  <c r="AL344" i="1" s="1"/>
  <c r="C344" i="1"/>
  <c r="AJ344" i="1" s="1"/>
  <c r="AE343" i="1"/>
  <c r="AC343" i="1"/>
  <c r="AA343" i="1"/>
  <c r="Y343" i="1"/>
  <c r="W343" i="1"/>
  <c r="U343" i="1"/>
  <c r="S343" i="1"/>
  <c r="Q343" i="1"/>
  <c r="O343" i="1"/>
  <c r="M343" i="1"/>
  <c r="K343" i="1"/>
  <c r="G343" i="1"/>
  <c r="E343" i="1"/>
  <c r="AL343" i="1" s="1"/>
  <c r="C343" i="1"/>
  <c r="AJ343" i="1" s="1"/>
  <c r="AE342" i="1"/>
  <c r="AC342" i="1"/>
  <c r="AA342" i="1"/>
  <c r="Y342" i="1"/>
  <c r="W342" i="1"/>
  <c r="U342" i="1"/>
  <c r="S342" i="1"/>
  <c r="Q342" i="1"/>
  <c r="O342" i="1"/>
  <c r="M342" i="1"/>
  <c r="K342" i="1"/>
  <c r="G342" i="1"/>
  <c r="E342" i="1"/>
  <c r="AL342" i="1" s="1"/>
  <c r="C342" i="1"/>
  <c r="AJ342" i="1" s="1"/>
  <c r="AE341" i="1"/>
  <c r="AC341" i="1"/>
  <c r="AA341" i="1"/>
  <c r="Y341" i="1"/>
  <c r="W341" i="1"/>
  <c r="U341" i="1"/>
  <c r="S341" i="1"/>
  <c r="Q341" i="1"/>
  <c r="O341" i="1"/>
  <c r="M341" i="1"/>
  <c r="K341" i="1"/>
  <c r="G341" i="1"/>
  <c r="E341" i="1"/>
  <c r="AL341" i="1" s="1"/>
  <c r="C341" i="1"/>
  <c r="AJ341" i="1" s="1"/>
  <c r="AE340" i="1"/>
  <c r="AC340" i="1"/>
  <c r="AA340" i="1"/>
  <c r="Y340" i="1"/>
  <c r="W340" i="1"/>
  <c r="U340" i="1"/>
  <c r="S340" i="1"/>
  <c r="Q340" i="1"/>
  <c r="O340" i="1"/>
  <c r="M340" i="1"/>
  <c r="K340" i="1"/>
  <c r="G340" i="1"/>
  <c r="E340" i="1"/>
  <c r="AL340" i="1" s="1"/>
  <c r="C340" i="1"/>
  <c r="AJ340" i="1" s="1"/>
  <c r="AE339" i="1"/>
  <c r="AC339" i="1"/>
  <c r="AA339" i="1"/>
  <c r="Y339" i="1"/>
  <c r="W339" i="1"/>
  <c r="U339" i="1"/>
  <c r="S339" i="1"/>
  <c r="Q339" i="1"/>
  <c r="O339" i="1"/>
  <c r="M339" i="1"/>
  <c r="K339" i="1"/>
  <c r="G339" i="1"/>
  <c r="E339" i="1"/>
  <c r="AL339" i="1" s="1"/>
  <c r="C339" i="1"/>
  <c r="AJ339" i="1" s="1"/>
  <c r="AE338" i="1"/>
  <c r="AC338" i="1"/>
  <c r="AA338" i="1"/>
  <c r="Y338" i="1"/>
  <c r="W338" i="1"/>
  <c r="U338" i="1"/>
  <c r="S338" i="1"/>
  <c r="Q338" i="1"/>
  <c r="O338" i="1"/>
  <c r="M338" i="1"/>
  <c r="K338" i="1"/>
  <c r="G338" i="1"/>
  <c r="E338" i="1"/>
  <c r="AL338" i="1" s="1"/>
  <c r="C338" i="1"/>
  <c r="AJ338" i="1" s="1"/>
  <c r="AE337" i="1"/>
  <c r="AC337" i="1"/>
  <c r="AA337" i="1"/>
  <c r="Y337" i="1"/>
  <c r="W337" i="1"/>
  <c r="U337" i="1"/>
  <c r="S337" i="1"/>
  <c r="Q337" i="1"/>
  <c r="O337" i="1"/>
  <c r="M337" i="1"/>
  <c r="K337" i="1"/>
  <c r="G337" i="1"/>
  <c r="E337" i="1"/>
  <c r="AL337" i="1" s="1"/>
  <c r="C337" i="1"/>
  <c r="AJ337" i="1" s="1"/>
  <c r="AE336" i="1"/>
  <c r="AC336" i="1"/>
  <c r="AA336" i="1"/>
  <c r="Y336" i="1"/>
  <c r="W336" i="1"/>
  <c r="U336" i="1"/>
  <c r="S336" i="1"/>
  <c r="Q336" i="1"/>
  <c r="O336" i="1"/>
  <c r="M336" i="1"/>
  <c r="K336" i="1"/>
  <c r="G336" i="1"/>
  <c r="E336" i="1"/>
  <c r="AL336" i="1" s="1"/>
  <c r="C336" i="1"/>
  <c r="AJ336" i="1" s="1"/>
  <c r="AE335" i="1"/>
  <c r="AC335" i="1"/>
  <c r="AA335" i="1"/>
  <c r="Y335" i="1"/>
  <c r="W335" i="1"/>
  <c r="U335" i="1"/>
  <c r="S335" i="1"/>
  <c r="Q335" i="1"/>
  <c r="O335" i="1"/>
  <c r="M335" i="1"/>
  <c r="K335" i="1"/>
  <c r="G335" i="1"/>
  <c r="E335" i="1"/>
  <c r="AL335" i="1" s="1"/>
  <c r="C335" i="1"/>
  <c r="AJ335" i="1" s="1"/>
  <c r="AE334" i="1"/>
  <c r="AC334" i="1"/>
  <c r="AA334" i="1"/>
  <c r="Y334" i="1"/>
  <c r="W334" i="1"/>
  <c r="U334" i="1"/>
  <c r="S334" i="1"/>
  <c r="Q334" i="1"/>
  <c r="O334" i="1"/>
  <c r="M334" i="1"/>
  <c r="K334" i="1"/>
  <c r="G334" i="1"/>
  <c r="E334" i="1"/>
  <c r="AL334" i="1" s="1"/>
  <c r="C334" i="1"/>
  <c r="AJ334" i="1" s="1"/>
  <c r="AE333" i="1"/>
  <c r="AC333" i="1"/>
  <c r="AA333" i="1"/>
  <c r="Y333" i="1"/>
  <c r="W333" i="1"/>
  <c r="U333" i="1"/>
  <c r="S333" i="1"/>
  <c r="Q333" i="1"/>
  <c r="O333" i="1"/>
  <c r="M333" i="1"/>
  <c r="K333" i="1"/>
  <c r="G333" i="1"/>
  <c r="E333" i="1"/>
  <c r="AL333" i="1" s="1"/>
  <c r="C333" i="1"/>
  <c r="AJ333" i="1" s="1"/>
  <c r="AE332" i="1"/>
  <c r="AC332" i="1"/>
  <c r="AA332" i="1"/>
  <c r="Y332" i="1"/>
  <c r="W332" i="1"/>
  <c r="U332" i="1"/>
  <c r="S332" i="1"/>
  <c r="Q332" i="1"/>
  <c r="O332" i="1"/>
  <c r="M332" i="1"/>
  <c r="K332" i="1"/>
  <c r="G332" i="1"/>
  <c r="E332" i="1"/>
  <c r="AL332" i="1" s="1"/>
  <c r="C332" i="1"/>
  <c r="AJ332" i="1" s="1"/>
  <c r="AE331" i="1"/>
  <c r="AC331" i="1"/>
  <c r="AA331" i="1"/>
  <c r="Y331" i="1"/>
  <c r="W331" i="1"/>
  <c r="U331" i="1"/>
  <c r="S331" i="1"/>
  <c r="Q331" i="1"/>
  <c r="O331" i="1"/>
  <c r="M331" i="1"/>
  <c r="K331" i="1"/>
  <c r="G331" i="1"/>
  <c r="E331" i="1"/>
  <c r="AL331" i="1" s="1"/>
  <c r="C331" i="1"/>
  <c r="AJ331" i="1" s="1"/>
  <c r="AE330" i="1"/>
  <c r="AC330" i="1"/>
  <c r="AA330" i="1"/>
  <c r="Y330" i="1"/>
  <c r="W330" i="1"/>
  <c r="U330" i="1"/>
  <c r="S330" i="1"/>
  <c r="Q330" i="1"/>
  <c r="O330" i="1"/>
  <c r="M330" i="1"/>
  <c r="K330" i="1"/>
  <c r="G330" i="1"/>
  <c r="E330" i="1"/>
  <c r="AL330" i="1" s="1"/>
  <c r="C330" i="1"/>
  <c r="AJ330" i="1" s="1"/>
  <c r="AE329" i="1"/>
  <c r="AC329" i="1"/>
  <c r="AA329" i="1"/>
  <c r="Y329" i="1"/>
  <c r="W329" i="1"/>
  <c r="U329" i="1"/>
  <c r="S329" i="1"/>
  <c r="Q329" i="1"/>
  <c r="O329" i="1"/>
  <c r="M329" i="1"/>
  <c r="K329" i="1"/>
  <c r="G329" i="1"/>
  <c r="E329" i="1"/>
  <c r="AL329" i="1" s="1"/>
  <c r="C329" i="1"/>
  <c r="AJ329" i="1" s="1"/>
  <c r="AE328" i="1"/>
  <c r="AC328" i="1"/>
  <c r="AA328" i="1"/>
  <c r="Y328" i="1"/>
  <c r="W328" i="1"/>
  <c r="U328" i="1"/>
  <c r="S328" i="1"/>
  <c r="Q328" i="1"/>
  <c r="O328" i="1"/>
  <c r="M328" i="1"/>
  <c r="K328" i="1"/>
  <c r="G328" i="1"/>
  <c r="E328" i="1"/>
  <c r="AL328" i="1" s="1"/>
  <c r="C328" i="1"/>
  <c r="AJ328" i="1" s="1"/>
  <c r="AE327" i="1"/>
  <c r="AC327" i="1"/>
  <c r="AA327" i="1"/>
  <c r="Y327" i="1"/>
  <c r="W327" i="1"/>
  <c r="U327" i="1"/>
  <c r="S327" i="1"/>
  <c r="Q327" i="1"/>
  <c r="O327" i="1"/>
  <c r="M327" i="1"/>
  <c r="K327" i="1"/>
  <c r="G327" i="1"/>
  <c r="E327" i="1"/>
  <c r="AL327" i="1" s="1"/>
  <c r="C327" i="1"/>
  <c r="AJ327" i="1" s="1"/>
  <c r="AE326" i="1"/>
  <c r="AC326" i="1"/>
  <c r="AA326" i="1"/>
  <c r="Y326" i="1"/>
  <c r="W326" i="1"/>
  <c r="U326" i="1"/>
  <c r="S326" i="1"/>
  <c r="Q326" i="1"/>
  <c r="O326" i="1"/>
  <c r="M326" i="1"/>
  <c r="K326" i="1"/>
  <c r="G326" i="1"/>
  <c r="E326" i="1"/>
  <c r="AL326" i="1" s="1"/>
  <c r="C326" i="1"/>
  <c r="AJ326" i="1" s="1"/>
  <c r="AE325" i="1"/>
  <c r="AC325" i="1"/>
  <c r="AA325" i="1"/>
  <c r="Y325" i="1"/>
  <c r="W325" i="1"/>
  <c r="U325" i="1"/>
  <c r="S325" i="1"/>
  <c r="Q325" i="1"/>
  <c r="O325" i="1"/>
  <c r="M325" i="1"/>
  <c r="K325" i="1"/>
  <c r="G325" i="1"/>
  <c r="E325" i="1"/>
  <c r="AL325" i="1" s="1"/>
  <c r="C325" i="1"/>
  <c r="AJ325" i="1" s="1"/>
  <c r="AE324" i="1"/>
  <c r="AC324" i="1"/>
  <c r="AA324" i="1"/>
  <c r="Y324" i="1"/>
  <c r="W324" i="1"/>
  <c r="U324" i="1"/>
  <c r="S324" i="1"/>
  <c r="Q324" i="1"/>
  <c r="O324" i="1"/>
  <c r="M324" i="1"/>
  <c r="K324" i="1"/>
  <c r="G324" i="1"/>
  <c r="E324" i="1"/>
  <c r="AL324" i="1" s="1"/>
  <c r="C324" i="1"/>
  <c r="AJ324" i="1" s="1"/>
  <c r="AE323" i="1"/>
  <c r="AC323" i="1"/>
  <c r="AA323" i="1"/>
  <c r="Y323" i="1"/>
  <c r="W323" i="1"/>
  <c r="U323" i="1"/>
  <c r="S323" i="1"/>
  <c r="Q323" i="1"/>
  <c r="O323" i="1"/>
  <c r="M323" i="1"/>
  <c r="K323" i="1"/>
  <c r="G323" i="1"/>
  <c r="E323" i="1"/>
  <c r="AL323" i="1" s="1"/>
  <c r="C323" i="1"/>
  <c r="AJ323" i="1" s="1"/>
  <c r="AE322" i="1"/>
  <c r="AC322" i="1"/>
  <c r="AA322" i="1"/>
  <c r="Y322" i="1"/>
  <c r="W322" i="1"/>
  <c r="U322" i="1"/>
  <c r="S322" i="1"/>
  <c r="Q322" i="1"/>
  <c r="O322" i="1"/>
  <c r="M322" i="1"/>
  <c r="K322" i="1"/>
  <c r="G322" i="1"/>
  <c r="E322" i="1"/>
  <c r="AL322" i="1" s="1"/>
  <c r="C322" i="1"/>
  <c r="AJ322" i="1" s="1"/>
  <c r="AE321" i="1"/>
  <c r="AC321" i="1"/>
  <c r="AA321" i="1"/>
  <c r="Y321" i="1"/>
  <c r="W321" i="1"/>
  <c r="U321" i="1"/>
  <c r="S321" i="1"/>
  <c r="Q321" i="1"/>
  <c r="O321" i="1"/>
  <c r="M321" i="1"/>
  <c r="K321" i="1"/>
  <c r="G321" i="1"/>
  <c r="E321" i="1"/>
  <c r="AL321" i="1" s="1"/>
  <c r="C321" i="1"/>
  <c r="AJ321" i="1" s="1"/>
  <c r="AE320" i="1"/>
  <c r="AC320" i="1"/>
  <c r="AA320" i="1"/>
  <c r="Y320" i="1"/>
  <c r="W320" i="1"/>
  <c r="U320" i="1"/>
  <c r="S320" i="1"/>
  <c r="Q320" i="1"/>
  <c r="O320" i="1"/>
  <c r="M320" i="1"/>
  <c r="K320" i="1"/>
  <c r="G320" i="1"/>
  <c r="E320" i="1"/>
  <c r="AL320" i="1" s="1"/>
  <c r="C320" i="1"/>
  <c r="AJ320" i="1" s="1"/>
  <c r="AE319" i="1"/>
  <c r="AC319" i="1"/>
  <c r="AA319" i="1"/>
  <c r="Y319" i="1"/>
  <c r="W319" i="1"/>
  <c r="U319" i="1"/>
  <c r="S319" i="1"/>
  <c r="Q319" i="1"/>
  <c r="O319" i="1"/>
  <c r="M319" i="1"/>
  <c r="K319" i="1"/>
  <c r="G319" i="1"/>
  <c r="E319" i="1"/>
  <c r="AL319" i="1" s="1"/>
  <c r="C319" i="1"/>
  <c r="AJ319" i="1" s="1"/>
  <c r="AE318" i="1"/>
  <c r="AC318" i="1"/>
  <c r="AA318" i="1"/>
  <c r="Y318" i="1"/>
  <c r="W318" i="1"/>
  <c r="U318" i="1"/>
  <c r="S318" i="1"/>
  <c r="Q318" i="1"/>
  <c r="O318" i="1"/>
  <c r="M318" i="1"/>
  <c r="K318" i="1"/>
  <c r="G318" i="1"/>
  <c r="E318" i="1"/>
  <c r="AL318" i="1" s="1"/>
  <c r="C318" i="1"/>
  <c r="AJ318" i="1" s="1"/>
  <c r="AE317" i="1"/>
  <c r="AC317" i="1"/>
  <c r="AA317" i="1"/>
  <c r="Y317" i="1"/>
  <c r="W317" i="1"/>
  <c r="U317" i="1"/>
  <c r="S317" i="1"/>
  <c r="Q317" i="1"/>
  <c r="O317" i="1"/>
  <c r="M317" i="1"/>
  <c r="K317" i="1"/>
  <c r="G317" i="1"/>
  <c r="E317" i="1"/>
  <c r="AL317" i="1" s="1"/>
  <c r="C317" i="1"/>
  <c r="AJ317" i="1" s="1"/>
  <c r="AE316" i="1"/>
  <c r="AC316" i="1"/>
  <c r="AA316" i="1"/>
  <c r="Y316" i="1"/>
  <c r="W316" i="1"/>
  <c r="U316" i="1"/>
  <c r="S316" i="1"/>
  <c r="Q316" i="1"/>
  <c r="O316" i="1"/>
  <c r="M316" i="1"/>
  <c r="K316" i="1"/>
  <c r="G316" i="1"/>
  <c r="E316" i="1"/>
  <c r="AL316" i="1" s="1"/>
  <c r="C316" i="1"/>
  <c r="AJ316" i="1" s="1"/>
  <c r="AE315" i="1"/>
  <c r="AC315" i="1"/>
  <c r="AA315" i="1"/>
  <c r="Y315" i="1"/>
  <c r="W315" i="1"/>
  <c r="U315" i="1"/>
  <c r="S315" i="1"/>
  <c r="Q315" i="1"/>
  <c r="O315" i="1"/>
  <c r="M315" i="1"/>
  <c r="K315" i="1"/>
  <c r="G315" i="1"/>
  <c r="E315" i="1"/>
  <c r="AL315" i="1" s="1"/>
  <c r="C315" i="1"/>
  <c r="AJ315" i="1" s="1"/>
  <c r="AE314" i="1"/>
  <c r="AC314" i="1"/>
  <c r="AA314" i="1"/>
  <c r="Y314" i="1"/>
  <c r="W314" i="1"/>
  <c r="U314" i="1"/>
  <c r="S314" i="1"/>
  <c r="Q314" i="1"/>
  <c r="O314" i="1"/>
  <c r="M314" i="1"/>
  <c r="K314" i="1"/>
  <c r="G314" i="1"/>
  <c r="E314" i="1"/>
  <c r="AL314" i="1" s="1"/>
  <c r="C314" i="1"/>
  <c r="AJ314" i="1" s="1"/>
  <c r="AE313" i="1"/>
  <c r="AC313" i="1"/>
  <c r="AA313" i="1"/>
  <c r="Y313" i="1"/>
  <c r="W313" i="1"/>
  <c r="U313" i="1"/>
  <c r="S313" i="1"/>
  <c r="Q313" i="1"/>
  <c r="O313" i="1"/>
  <c r="M313" i="1"/>
  <c r="K313" i="1"/>
  <c r="G313" i="1"/>
  <c r="E313" i="1"/>
  <c r="AL313" i="1" s="1"/>
  <c r="C313" i="1"/>
  <c r="AJ313" i="1" s="1"/>
  <c r="AE312" i="1"/>
  <c r="AC312" i="1"/>
  <c r="AA312" i="1"/>
  <c r="Y312" i="1"/>
  <c r="W312" i="1"/>
  <c r="U312" i="1"/>
  <c r="S312" i="1"/>
  <c r="Q312" i="1"/>
  <c r="O312" i="1"/>
  <c r="M312" i="1"/>
  <c r="K312" i="1"/>
  <c r="G312" i="1"/>
  <c r="E312" i="1"/>
  <c r="AL312" i="1" s="1"/>
  <c r="C312" i="1"/>
  <c r="AJ312" i="1" s="1"/>
  <c r="AE311" i="1"/>
  <c r="AC311" i="1"/>
  <c r="AA311" i="1"/>
  <c r="Y311" i="1"/>
  <c r="W311" i="1"/>
  <c r="U311" i="1"/>
  <c r="S311" i="1"/>
  <c r="Q311" i="1"/>
  <c r="O311" i="1"/>
  <c r="M311" i="1"/>
  <c r="K311" i="1"/>
  <c r="G311" i="1"/>
  <c r="E311" i="1"/>
  <c r="AL311" i="1" s="1"/>
  <c r="C311" i="1"/>
  <c r="AJ311" i="1" s="1"/>
  <c r="AE310" i="1"/>
  <c r="AC310" i="1"/>
  <c r="AA310" i="1"/>
  <c r="Y310" i="1"/>
  <c r="W310" i="1"/>
  <c r="U310" i="1"/>
  <c r="S310" i="1"/>
  <c r="Q310" i="1"/>
  <c r="O310" i="1"/>
  <c r="M310" i="1"/>
  <c r="K310" i="1"/>
  <c r="G310" i="1"/>
  <c r="E310" i="1"/>
  <c r="AL310" i="1" s="1"/>
  <c r="C310" i="1"/>
  <c r="AJ310" i="1" s="1"/>
  <c r="AE309" i="1"/>
  <c r="AC309" i="1"/>
  <c r="AA309" i="1"/>
  <c r="Y309" i="1"/>
  <c r="W309" i="1"/>
  <c r="U309" i="1"/>
  <c r="S309" i="1"/>
  <c r="Q309" i="1"/>
  <c r="O309" i="1"/>
  <c r="M309" i="1"/>
  <c r="K309" i="1"/>
  <c r="G309" i="1"/>
  <c r="E309" i="1"/>
  <c r="AL309" i="1" s="1"/>
  <c r="C309" i="1"/>
  <c r="AJ309" i="1" s="1"/>
  <c r="AE308" i="1"/>
  <c r="AC308" i="1"/>
  <c r="AA308" i="1"/>
  <c r="Y308" i="1"/>
  <c r="W308" i="1"/>
  <c r="U308" i="1"/>
  <c r="S308" i="1"/>
  <c r="Q308" i="1"/>
  <c r="O308" i="1"/>
  <c r="M308" i="1"/>
  <c r="K308" i="1"/>
  <c r="G308" i="1"/>
  <c r="E308" i="1"/>
  <c r="AL308" i="1" s="1"/>
  <c r="C308" i="1"/>
  <c r="AJ308" i="1" s="1"/>
  <c r="AE307" i="1"/>
  <c r="AC307" i="1"/>
  <c r="AA307" i="1"/>
  <c r="Y307" i="1"/>
  <c r="W307" i="1"/>
  <c r="U307" i="1"/>
  <c r="S307" i="1"/>
  <c r="Q307" i="1"/>
  <c r="O307" i="1"/>
  <c r="M307" i="1"/>
  <c r="K307" i="1"/>
  <c r="G307" i="1"/>
  <c r="E307" i="1"/>
  <c r="AL307" i="1" s="1"/>
  <c r="C307" i="1"/>
  <c r="AJ307" i="1" s="1"/>
  <c r="AE306" i="1"/>
  <c r="AC306" i="1"/>
  <c r="AA306" i="1"/>
  <c r="Y306" i="1"/>
  <c r="W306" i="1"/>
  <c r="U306" i="1"/>
  <c r="S306" i="1"/>
  <c r="Q306" i="1"/>
  <c r="O306" i="1"/>
  <c r="M306" i="1"/>
  <c r="K306" i="1"/>
  <c r="G306" i="1"/>
  <c r="E306" i="1"/>
  <c r="AL306" i="1" s="1"/>
  <c r="C306" i="1"/>
  <c r="AJ306" i="1" s="1"/>
  <c r="AE305" i="1"/>
  <c r="AC305" i="1"/>
  <c r="AA305" i="1"/>
  <c r="Y305" i="1"/>
  <c r="W305" i="1"/>
  <c r="U305" i="1"/>
  <c r="S305" i="1"/>
  <c r="Q305" i="1"/>
  <c r="O305" i="1"/>
  <c r="M305" i="1"/>
  <c r="K305" i="1"/>
  <c r="G305" i="1"/>
  <c r="E305" i="1"/>
  <c r="AL305" i="1" s="1"/>
  <c r="C305" i="1"/>
  <c r="AJ305" i="1" s="1"/>
  <c r="AE304" i="1"/>
  <c r="AC304" i="1"/>
  <c r="AA304" i="1"/>
  <c r="Y304" i="1"/>
  <c r="W304" i="1"/>
  <c r="U304" i="1"/>
  <c r="S304" i="1"/>
  <c r="Q304" i="1"/>
  <c r="O304" i="1"/>
  <c r="M304" i="1"/>
  <c r="K304" i="1"/>
  <c r="G304" i="1"/>
  <c r="E304" i="1"/>
  <c r="AL304" i="1" s="1"/>
  <c r="C304" i="1"/>
  <c r="AJ304" i="1" s="1"/>
  <c r="AE303" i="1"/>
  <c r="AC303" i="1"/>
  <c r="AA303" i="1"/>
  <c r="Y303" i="1"/>
  <c r="W303" i="1"/>
  <c r="U303" i="1"/>
  <c r="S303" i="1"/>
  <c r="Q303" i="1"/>
  <c r="O303" i="1"/>
  <c r="M303" i="1"/>
  <c r="K303" i="1"/>
  <c r="G303" i="1"/>
  <c r="E303" i="1"/>
  <c r="AL303" i="1" s="1"/>
  <c r="C303" i="1"/>
  <c r="AJ303" i="1" s="1"/>
  <c r="AE302" i="1"/>
  <c r="AC302" i="1"/>
  <c r="AA302" i="1"/>
  <c r="Y302" i="1"/>
  <c r="W302" i="1"/>
  <c r="U302" i="1"/>
  <c r="S302" i="1"/>
  <c r="Q302" i="1"/>
  <c r="O302" i="1"/>
  <c r="M302" i="1"/>
  <c r="K302" i="1"/>
  <c r="G302" i="1"/>
  <c r="E302" i="1"/>
  <c r="AL302" i="1" s="1"/>
  <c r="C302" i="1"/>
  <c r="AJ302" i="1" s="1"/>
  <c r="AE301" i="1"/>
  <c r="AC301" i="1"/>
  <c r="AA301" i="1"/>
  <c r="Y301" i="1"/>
  <c r="W301" i="1"/>
  <c r="U301" i="1"/>
  <c r="S301" i="1"/>
  <c r="Q301" i="1"/>
  <c r="O301" i="1"/>
  <c r="M301" i="1"/>
  <c r="K301" i="1"/>
  <c r="G301" i="1"/>
  <c r="E301" i="1"/>
  <c r="AL301" i="1" s="1"/>
  <c r="C301" i="1"/>
  <c r="AJ301" i="1" s="1"/>
  <c r="AE300" i="1"/>
  <c r="AC300" i="1"/>
  <c r="AA300" i="1"/>
  <c r="Y300" i="1"/>
  <c r="W300" i="1"/>
  <c r="U300" i="1"/>
  <c r="S300" i="1"/>
  <c r="Q300" i="1"/>
  <c r="O300" i="1"/>
  <c r="M300" i="1"/>
  <c r="K300" i="1"/>
  <c r="G300" i="1"/>
  <c r="E300" i="1"/>
  <c r="AL300" i="1" s="1"/>
  <c r="C300" i="1"/>
  <c r="AJ300" i="1" s="1"/>
  <c r="AE299" i="1"/>
  <c r="AC299" i="1"/>
  <c r="AA299" i="1"/>
  <c r="Y299" i="1"/>
  <c r="W299" i="1"/>
  <c r="U299" i="1"/>
  <c r="S299" i="1"/>
  <c r="Q299" i="1"/>
  <c r="O299" i="1"/>
  <c r="M299" i="1"/>
  <c r="K299" i="1"/>
  <c r="G299" i="1"/>
  <c r="E299" i="1"/>
  <c r="AL299" i="1" s="1"/>
  <c r="C299" i="1"/>
  <c r="AJ299" i="1" s="1"/>
  <c r="AE298" i="1"/>
  <c r="AC298" i="1"/>
  <c r="AA298" i="1"/>
  <c r="Y298" i="1"/>
  <c r="W298" i="1"/>
  <c r="U298" i="1"/>
  <c r="S298" i="1"/>
  <c r="Q298" i="1"/>
  <c r="O298" i="1"/>
  <c r="M298" i="1"/>
  <c r="K298" i="1"/>
  <c r="G298" i="1"/>
  <c r="E298" i="1"/>
  <c r="AL298" i="1" s="1"/>
  <c r="C298" i="1"/>
  <c r="AJ298" i="1" s="1"/>
  <c r="AE297" i="1"/>
  <c r="AC297" i="1"/>
  <c r="AA297" i="1"/>
  <c r="Y297" i="1"/>
  <c r="W297" i="1"/>
  <c r="U297" i="1"/>
  <c r="S297" i="1"/>
  <c r="Q297" i="1"/>
  <c r="O297" i="1"/>
  <c r="M297" i="1"/>
  <c r="K297" i="1"/>
  <c r="G297" i="1"/>
  <c r="E297" i="1"/>
  <c r="AL297" i="1" s="1"/>
  <c r="C297" i="1"/>
  <c r="AJ297" i="1" s="1"/>
  <c r="AE296" i="1"/>
  <c r="AC296" i="1"/>
  <c r="AA296" i="1"/>
  <c r="Y296" i="1"/>
  <c r="W296" i="1"/>
  <c r="U296" i="1"/>
  <c r="S296" i="1"/>
  <c r="Q296" i="1"/>
  <c r="O296" i="1"/>
  <c r="M296" i="1"/>
  <c r="K296" i="1"/>
  <c r="G296" i="1"/>
  <c r="E296" i="1"/>
  <c r="AL296" i="1" s="1"/>
  <c r="C296" i="1"/>
  <c r="AJ296" i="1" s="1"/>
  <c r="AE295" i="1"/>
  <c r="AC295" i="1"/>
  <c r="AA295" i="1"/>
  <c r="Y295" i="1"/>
  <c r="W295" i="1"/>
  <c r="U295" i="1"/>
  <c r="S295" i="1"/>
  <c r="Q295" i="1"/>
  <c r="O295" i="1"/>
  <c r="M295" i="1"/>
  <c r="K295" i="1"/>
  <c r="G295" i="1"/>
  <c r="E295" i="1"/>
  <c r="AL295" i="1" s="1"/>
  <c r="C295" i="1"/>
  <c r="AJ295" i="1" s="1"/>
  <c r="AE294" i="1"/>
  <c r="AC294" i="1"/>
  <c r="AA294" i="1"/>
  <c r="Y294" i="1"/>
  <c r="W294" i="1"/>
  <c r="U294" i="1"/>
  <c r="S294" i="1"/>
  <c r="Q294" i="1"/>
  <c r="O294" i="1"/>
  <c r="M294" i="1"/>
  <c r="K294" i="1"/>
  <c r="G294" i="1"/>
  <c r="E294" i="1"/>
  <c r="AL294" i="1" s="1"/>
  <c r="C294" i="1"/>
  <c r="AJ294" i="1" s="1"/>
  <c r="AE293" i="1"/>
  <c r="AC293" i="1"/>
  <c r="AA293" i="1"/>
  <c r="Y293" i="1"/>
  <c r="W293" i="1"/>
  <c r="U293" i="1"/>
  <c r="S293" i="1"/>
  <c r="Q293" i="1"/>
  <c r="O293" i="1"/>
  <c r="M293" i="1"/>
  <c r="K293" i="1"/>
  <c r="G293" i="1"/>
  <c r="E293" i="1"/>
  <c r="AL293" i="1" s="1"/>
  <c r="C293" i="1"/>
  <c r="AJ293" i="1" s="1"/>
  <c r="AE292" i="1"/>
  <c r="AC292" i="1"/>
  <c r="AA292" i="1"/>
  <c r="Y292" i="1"/>
  <c r="W292" i="1"/>
  <c r="U292" i="1"/>
  <c r="S292" i="1"/>
  <c r="Q292" i="1"/>
  <c r="O292" i="1"/>
  <c r="M292" i="1"/>
  <c r="K292" i="1"/>
  <c r="G292" i="1"/>
  <c r="E292" i="1"/>
  <c r="AL292" i="1" s="1"/>
  <c r="C292" i="1"/>
  <c r="AJ292" i="1" s="1"/>
  <c r="AE291" i="1"/>
  <c r="AC291" i="1"/>
  <c r="AA291" i="1"/>
  <c r="Y291" i="1"/>
  <c r="W291" i="1"/>
  <c r="U291" i="1"/>
  <c r="S291" i="1"/>
  <c r="Q291" i="1"/>
  <c r="O291" i="1"/>
  <c r="M291" i="1"/>
  <c r="K291" i="1"/>
  <c r="G291" i="1"/>
  <c r="E291" i="1"/>
  <c r="AL291" i="1" s="1"/>
  <c r="C291" i="1"/>
  <c r="AJ291" i="1" s="1"/>
  <c r="AE290" i="1"/>
  <c r="AC290" i="1"/>
  <c r="AA290" i="1"/>
  <c r="Y290" i="1"/>
  <c r="W290" i="1"/>
  <c r="U290" i="1"/>
  <c r="S290" i="1"/>
  <c r="Q290" i="1"/>
  <c r="O290" i="1"/>
  <c r="M290" i="1"/>
  <c r="K290" i="1"/>
  <c r="G290" i="1"/>
  <c r="E290" i="1"/>
  <c r="AL290" i="1" s="1"/>
  <c r="C290" i="1"/>
  <c r="AJ290" i="1" s="1"/>
  <c r="AE289" i="1"/>
  <c r="AC289" i="1"/>
  <c r="AA289" i="1"/>
  <c r="Y289" i="1"/>
  <c r="W289" i="1"/>
  <c r="U289" i="1"/>
  <c r="S289" i="1"/>
  <c r="Q289" i="1"/>
  <c r="O289" i="1"/>
  <c r="M289" i="1"/>
  <c r="K289" i="1"/>
  <c r="G289" i="1"/>
  <c r="E289" i="1"/>
  <c r="AL289" i="1" s="1"/>
  <c r="C289" i="1"/>
  <c r="AJ289" i="1" s="1"/>
  <c r="AE288" i="1"/>
  <c r="AC288" i="1"/>
  <c r="AA288" i="1"/>
  <c r="Y288" i="1"/>
  <c r="W288" i="1"/>
  <c r="U288" i="1"/>
  <c r="S288" i="1"/>
  <c r="Q288" i="1"/>
  <c r="O288" i="1"/>
  <c r="M288" i="1"/>
  <c r="K288" i="1"/>
  <c r="G288" i="1"/>
  <c r="E288" i="1"/>
  <c r="AL288" i="1" s="1"/>
  <c r="C288" i="1"/>
  <c r="AJ288" i="1" s="1"/>
  <c r="AE287" i="1"/>
  <c r="AC287" i="1"/>
  <c r="AA287" i="1"/>
  <c r="Y287" i="1"/>
  <c r="W287" i="1"/>
  <c r="U287" i="1"/>
  <c r="S287" i="1"/>
  <c r="Q287" i="1"/>
  <c r="O287" i="1"/>
  <c r="M287" i="1"/>
  <c r="K287" i="1"/>
  <c r="G287" i="1"/>
  <c r="E287" i="1"/>
  <c r="AL287" i="1" s="1"/>
  <c r="C287" i="1"/>
  <c r="AJ287" i="1" s="1"/>
  <c r="AE286" i="1"/>
  <c r="AC286" i="1"/>
  <c r="AA286" i="1"/>
  <c r="Y286" i="1"/>
  <c r="W286" i="1"/>
  <c r="U286" i="1"/>
  <c r="S286" i="1"/>
  <c r="Q286" i="1"/>
  <c r="O286" i="1"/>
  <c r="M286" i="1"/>
  <c r="K286" i="1"/>
  <c r="G286" i="1"/>
  <c r="E286" i="1"/>
  <c r="AL286" i="1" s="1"/>
  <c r="C286" i="1"/>
  <c r="AJ286" i="1" s="1"/>
  <c r="AE285" i="1"/>
  <c r="AC285" i="1"/>
  <c r="AA285" i="1"/>
  <c r="Y285" i="1"/>
  <c r="W285" i="1"/>
  <c r="U285" i="1"/>
  <c r="S285" i="1"/>
  <c r="Q285" i="1"/>
  <c r="O285" i="1"/>
  <c r="M285" i="1"/>
  <c r="K285" i="1"/>
  <c r="G285" i="1"/>
  <c r="E285" i="1"/>
  <c r="AL285" i="1" s="1"/>
  <c r="C285" i="1"/>
  <c r="AJ285" i="1" s="1"/>
  <c r="AE284" i="1"/>
  <c r="AC284" i="1"/>
  <c r="AA284" i="1"/>
  <c r="Y284" i="1"/>
  <c r="W284" i="1"/>
  <c r="U284" i="1"/>
  <c r="S284" i="1"/>
  <c r="Q284" i="1"/>
  <c r="O284" i="1"/>
  <c r="M284" i="1"/>
  <c r="K284" i="1"/>
  <c r="G284" i="1"/>
  <c r="E284" i="1"/>
  <c r="AL284" i="1" s="1"/>
  <c r="C284" i="1"/>
  <c r="AJ284" i="1" s="1"/>
  <c r="AE283" i="1"/>
  <c r="AC283" i="1"/>
  <c r="AA283" i="1"/>
  <c r="Y283" i="1"/>
  <c r="W283" i="1"/>
  <c r="U283" i="1"/>
  <c r="S283" i="1"/>
  <c r="Q283" i="1"/>
  <c r="O283" i="1"/>
  <c r="M283" i="1"/>
  <c r="K283" i="1"/>
  <c r="G283" i="1"/>
  <c r="E283" i="1"/>
  <c r="AL283" i="1" s="1"/>
  <c r="C283" i="1"/>
  <c r="AJ283" i="1" s="1"/>
  <c r="AE282" i="1"/>
  <c r="AC282" i="1"/>
  <c r="AA282" i="1"/>
  <c r="Y282" i="1"/>
  <c r="W282" i="1"/>
  <c r="U282" i="1"/>
  <c r="S282" i="1"/>
  <c r="Q282" i="1"/>
  <c r="O282" i="1"/>
  <c r="M282" i="1"/>
  <c r="K282" i="1"/>
  <c r="G282" i="1"/>
  <c r="E282" i="1"/>
  <c r="AL282" i="1" s="1"/>
  <c r="C282" i="1"/>
  <c r="AJ282" i="1" s="1"/>
  <c r="AE281" i="1"/>
  <c r="AC281" i="1"/>
  <c r="AA281" i="1"/>
  <c r="Y281" i="1"/>
  <c r="W281" i="1"/>
  <c r="U281" i="1"/>
  <c r="S281" i="1"/>
  <c r="Q281" i="1"/>
  <c r="O281" i="1"/>
  <c r="M281" i="1"/>
  <c r="K281" i="1"/>
  <c r="G281" i="1"/>
  <c r="E281" i="1"/>
  <c r="AL281" i="1" s="1"/>
  <c r="C281" i="1"/>
  <c r="AJ281" i="1" s="1"/>
  <c r="AE280" i="1"/>
  <c r="AC280" i="1"/>
  <c r="AA280" i="1"/>
  <c r="Y280" i="1"/>
  <c r="W280" i="1"/>
  <c r="U280" i="1"/>
  <c r="S280" i="1"/>
  <c r="Q280" i="1"/>
  <c r="O280" i="1"/>
  <c r="M280" i="1"/>
  <c r="K280" i="1"/>
  <c r="G280" i="1"/>
  <c r="E280" i="1"/>
  <c r="AL280" i="1" s="1"/>
  <c r="C280" i="1"/>
  <c r="AJ280" i="1" s="1"/>
  <c r="AE279" i="1"/>
  <c r="AC279" i="1"/>
  <c r="AA279" i="1"/>
  <c r="Y279" i="1"/>
  <c r="W279" i="1"/>
  <c r="U279" i="1"/>
  <c r="S279" i="1"/>
  <c r="Q279" i="1"/>
  <c r="O279" i="1"/>
  <c r="M279" i="1"/>
  <c r="K279" i="1"/>
  <c r="G279" i="1"/>
  <c r="E279" i="1"/>
  <c r="AL279" i="1" s="1"/>
  <c r="C279" i="1"/>
  <c r="AJ279" i="1" s="1"/>
  <c r="AE278" i="1"/>
  <c r="AC278" i="1"/>
  <c r="AA278" i="1"/>
  <c r="Y278" i="1"/>
  <c r="W278" i="1"/>
  <c r="U278" i="1"/>
  <c r="S278" i="1"/>
  <c r="Q278" i="1"/>
  <c r="O278" i="1"/>
  <c r="M278" i="1"/>
  <c r="K278" i="1"/>
  <c r="G278" i="1"/>
  <c r="E278" i="1"/>
  <c r="AL278" i="1" s="1"/>
  <c r="C278" i="1"/>
  <c r="AJ278" i="1" s="1"/>
  <c r="AE277" i="1"/>
  <c r="AC277" i="1"/>
  <c r="AA277" i="1"/>
  <c r="Y277" i="1"/>
  <c r="W277" i="1"/>
  <c r="U277" i="1"/>
  <c r="S277" i="1"/>
  <c r="Q277" i="1"/>
  <c r="O277" i="1"/>
  <c r="M277" i="1"/>
  <c r="K277" i="1"/>
  <c r="G277" i="1"/>
  <c r="E277" i="1"/>
  <c r="AL277" i="1" s="1"/>
  <c r="C277" i="1"/>
  <c r="AJ277" i="1" s="1"/>
  <c r="AE276" i="1"/>
  <c r="AC276" i="1"/>
  <c r="AA276" i="1"/>
  <c r="Y276" i="1"/>
  <c r="W276" i="1"/>
  <c r="U276" i="1"/>
  <c r="S276" i="1"/>
  <c r="Q276" i="1"/>
  <c r="O276" i="1"/>
  <c r="M276" i="1"/>
  <c r="K276" i="1"/>
  <c r="G276" i="1"/>
  <c r="E276" i="1"/>
  <c r="AL276" i="1" s="1"/>
  <c r="C276" i="1"/>
  <c r="AJ276" i="1" s="1"/>
  <c r="AE275" i="1"/>
  <c r="AC275" i="1"/>
  <c r="AA275" i="1"/>
  <c r="Y275" i="1"/>
  <c r="W275" i="1"/>
  <c r="U275" i="1"/>
  <c r="S275" i="1"/>
  <c r="Q275" i="1"/>
  <c r="O275" i="1"/>
  <c r="M275" i="1"/>
  <c r="K275" i="1"/>
  <c r="G275" i="1"/>
  <c r="E275" i="1"/>
  <c r="AL275" i="1" s="1"/>
  <c r="C275" i="1"/>
  <c r="AJ275" i="1" s="1"/>
  <c r="AE274" i="1"/>
  <c r="AC274" i="1"/>
  <c r="AA274" i="1"/>
  <c r="Y274" i="1"/>
  <c r="W274" i="1"/>
  <c r="U274" i="1"/>
  <c r="S274" i="1"/>
  <c r="Q274" i="1"/>
  <c r="O274" i="1"/>
  <c r="M274" i="1"/>
  <c r="K274" i="1"/>
  <c r="G274" i="1"/>
  <c r="E274" i="1"/>
  <c r="AL274" i="1" s="1"/>
  <c r="C274" i="1"/>
  <c r="AJ274" i="1" s="1"/>
  <c r="AE273" i="1"/>
  <c r="AC273" i="1"/>
  <c r="AA273" i="1"/>
  <c r="Y273" i="1"/>
  <c r="W273" i="1"/>
  <c r="U273" i="1"/>
  <c r="S273" i="1"/>
  <c r="Q273" i="1"/>
  <c r="O273" i="1"/>
  <c r="M273" i="1"/>
  <c r="K273" i="1"/>
  <c r="G273" i="1"/>
  <c r="E273" i="1"/>
  <c r="AL273" i="1" s="1"/>
  <c r="C273" i="1"/>
  <c r="AJ273" i="1" s="1"/>
  <c r="AE272" i="1"/>
  <c r="AC272" i="1"/>
  <c r="AA272" i="1"/>
  <c r="Y272" i="1"/>
  <c r="W272" i="1"/>
  <c r="U272" i="1"/>
  <c r="S272" i="1"/>
  <c r="Q272" i="1"/>
  <c r="O272" i="1"/>
  <c r="M272" i="1"/>
  <c r="K272" i="1"/>
  <c r="G272" i="1"/>
  <c r="E272" i="1"/>
  <c r="AL272" i="1" s="1"/>
  <c r="C272" i="1"/>
  <c r="AJ272" i="1" s="1"/>
  <c r="AE271" i="1"/>
  <c r="AC271" i="1"/>
  <c r="AA271" i="1"/>
  <c r="Y271" i="1"/>
  <c r="W271" i="1"/>
  <c r="U271" i="1"/>
  <c r="S271" i="1"/>
  <c r="Q271" i="1"/>
  <c r="O271" i="1"/>
  <c r="M271" i="1"/>
  <c r="K271" i="1"/>
  <c r="G271" i="1"/>
  <c r="E271" i="1"/>
  <c r="AL271" i="1" s="1"/>
  <c r="C271" i="1"/>
  <c r="AJ271" i="1" s="1"/>
  <c r="AE270" i="1"/>
  <c r="AC270" i="1"/>
  <c r="AA270" i="1"/>
  <c r="Y270" i="1"/>
  <c r="W270" i="1"/>
  <c r="U270" i="1"/>
  <c r="S270" i="1"/>
  <c r="Q270" i="1"/>
  <c r="O270" i="1"/>
  <c r="M270" i="1"/>
  <c r="K270" i="1"/>
  <c r="G270" i="1"/>
  <c r="E270" i="1"/>
  <c r="AL270" i="1" s="1"/>
  <c r="C270" i="1"/>
  <c r="AJ270" i="1" s="1"/>
  <c r="AE269" i="1"/>
  <c r="AC269" i="1"/>
  <c r="AA269" i="1"/>
  <c r="Y269" i="1"/>
  <c r="W269" i="1"/>
  <c r="U269" i="1"/>
  <c r="S269" i="1"/>
  <c r="Q269" i="1"/>
  <c r="O269" i="1"/>
  <c r="M269" i="1"/>
  <c r="K269" i="1"/>
  <c r="G269" i="1"/>
  <c r="E269" i="1"/>
  <c r="AL269" i="1" s="1"/>
  <c r="C269" i="1"/>
  <c r="AJ269" i="1" s="1"/>
  <c r="AE268" i="1"/>
  <c r="AC268" i="1"/>
  <c r="AA268" i="1"/>
  <c r="Y268" i="1"/>
  <c r="W268" i="1"/>
  <c r="U268" i="1"/>
  <c r="S268" i="1"/>
  <c r="Q268" i="1"/>
  <c r="O268" i="1"/>
  <c r="M268" i="1"/>
  <c r="K268" i="1"/>
  <c r="G268" i="1"/>
  <c r="E268" i="1"/>
  <c r="AL268" i="1" s="1"/>
  <c r="C268" i="1"/>
  <c r="AJ268" i="1" s="1"/>
  <c r="AE267" i="1"/>
  <c r="AC267" i="1"/>
  <c r="AA267" i="1"/>
  <c r="Y267" i="1"/>
  <c r="W267" i="1"/>
  <c r="U267" i="1"/>
  <c r="S267" i="1"/>
  <c r="Q267" i="1"/>
  <c r="O267" i="1"/>
  <c r="M267" i="1"/>
  <c r="K267" i="1"/>
  <c r="G267" i="1"/>
  <c r="E267" i="1"/>
  <c r="AL267" i="1" s="1"/>
  <c r="C267" i="1"/>
  <c r="AJ267" i="1" s="1"/>
  <c r="AE266" i="1"/>
  <c r="AC266" i="1"/>
  <c r="AA266" i="1"/>
  <c r="Y266" i="1"/>
  <c r="W266" i="1"/>
  <c r="U266" i="1"/>
  <c r="S266" i="1"/>
  <c r="Q266" i="1"/>
  <c r="O266" i="1"/>
  <c r="M266" i="1"/>
  <c r="K266" i="1"/>
  <c r="G266" i="1"/>
  <c r="E266" i="1"/>
  <c r="AL266" i="1" s="1"/>
  <c r="C266" i="1"/>
  <c r="AJ266" i="1" s="1"/>
  <c r="AE265" i="1"/>
  <c r="AC265" i="1"/>
  <c r="AA265" i="1"/>
  <c r="Y265" i="1"/>
  <c r="W265" i="1"/>
  <c r="U265" i="1"/>
  <c r="S265" i="1"/>
  <c r="Q265" i="1"/>
  <c r="O265" i="1"/>
  <c r="M265" i="1"/>
  <c r="K265" i="1"/>
  <c r="G265" i="1"/>
  <c r="E265" i="1"/>
  <c r="AL265" i="1" s="1"/>
  <c r="C265" i="1"/>
  <c r="AJ265" i="1" s="1"/>
  <c r="AE264" i="1"/>
  <c r="AC264" i="1"/>
  <c r="AA264" i="1"/>
  <c r="Y264" i="1"/>
  <c r="W264" i="1"/>
  <c r="U264" i="1"/>
  <c r="S264" i="1"/>
  <c r="Q264" i="1"/>
  <c r="O264" i="1"/>
  <c r="M264" i="1"/>
  <c r="K264" i="1"/>
  <c r="G264" i="1"/>
  <c r="E264" i="1"/>
  <c r="AL264" i="1" s="1"/>
  <c r="C264" i="1"/>
  <c r="AJ264" i="1" s="1"/>
  <c r="AE263" i="1"/>
  <c r="AC263" i="1"/>
  <c r="AA263" i="1"/>
  <c r="Y263" i="1"/>
  <c r="W263" i="1"/>
  <c r="U263" i="1"/>
  <c r="S263" i="1"/>
  <c r="Q263" i="1"/>
  <c r="O263" i="1"/>
  <c r="M263" i="1"/>
  <c r="K263" i="1"/>
  <c r="G263" i="1"/>
  <c r="E263" i="1"/>
  <c r="AL263" i="1" s="1"/>
  <c r="C263" i="1"/>
  <c r="AJ263" i="1" s="1"/>
  <c r="AE262" i="1"/>
  <c r="AC262" i="1"/>
  <c r="AA262" i="1"/>
  <c r="Y262" i="1"/>
  <c r="W262" i="1"/>
  <c r="U262" i="1"/>
  <c r="S262" i="1"/>
  <c r="Q262" i="1"/>
  <c r="O262" i="1"/>
  <c r="M262" i="1"/>
  <c r="K262" i="1"/>
  <c r="G262" i="1"/>
  <c r="E262" i="1"/>
  <c r="AL262" i="1" s="1"/>
  <c r="C262" i="1"/>
  <c r="AJ262" i="1" s="1"/>
  <c r="AE261" i="1"/>
  <c r="AC261" i="1"/>
  <c r="AA261" i="1"/>
  <c r="Y261" i="1"/>
  <c r="W261" i="1"/>
  <c r="U261" i="1"/>
  <c r="S261" i="1"/>
  <c r="Q261" i="1"/>
  <c r="O261" i="1"/>
  <c r="M261" i="1"/>
  <c r="K261" i="1"/>
  <c r="G261" i="1"/>
  <c r="E261" i="1"/>
  <c r="AL261" i="1" s="1"/>
  <c r="C261" i="1"/>
  <c r="AJ261" i="1" s="1"/>
  <c r="AE260" i="1"/>
  <c r="AC260" i="1"/>
  <c r="AA260" i="1"/>
  <c r="Y260" i="1"/>
  <c r="W260" i="1"/>
  <c r="U260" i="1"/>
  <c r="S260" i="1"/>
  <c r="Q260" i="1"/>
  <c r="O260" i="1"/>
  <c r="M260" i="1"/>
  <c r="K260" i="1"/>
  <c r="G260" i="1"/>
  <c r="E260" i="1"/>
  <c r="AL260" i="1" s="1"/>
  <c r="C260" i="1"/>
  <c r="AJ260" i="1" s="1"/>
  <c r="AE259" i="1"/>
  <c r="AC259" i="1"/>
  <c r="AA259" i="1"/>
  <c r="Y259" i="1"/>
  <c r="W259" i="1"/>
  <c r="U259" i="1"/>
  <c r="S259" i="1"/>
  <c r="Q259" i="1"/>
  <c r="O259" i="1"/>
  <c r="M259" i="1"/>
  <c r="K259" i="1"/>
  <c r="G259" i="1"/>
  <c r="E259" i="1"/>
  <c r="AL259" i="1" s="1"/>
  <c r="C259" i="1"/>
  <c r="AJ259" i="1" s="1"/>
  <c r="AE258" i="1"/>
  <c r="AC258" i="1"/>
  <c r="AA258" i="1"/>
  <c r="Y258" i="1"/>
  <c r="W258" i="1"/>
  <c r="U258" i="1"/>
  <c r="S258" i="1"/>
  <c r="Q258" i="1"/>
  <c r="O258" i="1"/>
  <c r="M258" i="1"/>
  <c r="K258" i="1"/>
  <c r="G258" i="1"/>
  <c r="E258" i="1"/>
  <c r="AL258" i="1" s="1"/>
  <c r="C258" i="1"/>
  <c r="AJ258" i="1" s="1"/>
  <c r="AE257" i="1"/>
  <c r="AC257" i="1"/>
  <c r="AA257" i="1"/>
  <c r="Y257" i="1"/>
  <c r="W257" i="1"/>
  <c r="U257" i="1"/>
  <c r="S257" i="1"/>
  <c r="Q257" i="1"/>
  <c r="O257" i="1"/>
  <c r="M257" i="1"/>
  <c r="K257" i="1"/>
  <c r="G257" i="1"/>
  <c r="E257" i="1"/>
  <c r="AL257" i="1" s="1"/>
  <c r="C257" i="1"/>
  <c r="AJ257" i="1" s="1"/>
  <c r="AE256" i="1"/>
  <c r="AC256" i="1"/>
  <c r="AA256" i="1"/>
  <c r="Y256" i="1"/>
  <c r="W256" i="1"/>
  <c r="U256" i="1"/>
  <c r="S256" i="1"/>
  <c r="Q256" i="1"/>
  <c r="O256" i="1"/>
  <c r="M256" i="1"/>
  <c r="K256" i="1"/>
  <c r="G256" i="1"/>
  <c r="E256" i="1"/>
  <c r="AL256" i="1" s="1"/>
  <c r="C256" i="1"/>
  <c r="AJ256" i="1" s="1"/>
  <c r="AE255" i="1"/>
  <c r="AC255" i="1"/>
  <c r="AA255" i="1"/>
  <c r="Y255" i="1"/>
  <c r="W255" i="1"/>
  <c r="U255" i="1"/>
  <c r="S255" i="1"/>
  <c r="Q255" i="1"/>
  <c r="O255" i="1"/>
  <c r="M255" i="1"/>
  <c r="K255" i="1"/>
  <c r="G255" i="1"/>
  <c r="E255" i="1"/>
  <c r="AL255" i="1" s="1"/>
  <c r="C255" i="1"/>
  <c r="AJ255" i="1" s="1"/>
  <c r="AE254" i="1"/>
  <c r="AC254" i="1"/>
  <c r="AA254" i="1"/>
  <c r="Y254" i="1"/>
  <c r="W254" i="1"/>
  <c r="U254" i="1"/>
  <c r="S254" i="1"/>
  <c r="Q254" i="1"/>
  <c r="O254" i="1"/>
  <c r="M254" i="1"/>
  <c r="K254" i="1"/>
  <c r="G254" i="1"/>
  <c r="E254" i="1"/>
  <c r="AL254" i="1" s="1"/>
  <c r="C254" i="1"/>
  <c r="AJ254" i="1" s="1"/>
  <c r="AE253" i="1"/>
  <c r="AC253" i="1"/>
  <c r="AA253" i="1"/>
  <c r="Y253" i="1"/>
  <c r="W253" i="1"/>
  <c r="U253" i="1"/>
  <c r="S253" i="1"/>
  <c r="Q253" i="1"/>
  <c r="O253" i="1"/>
  <c r="M253" i="1"/>
  <c r="K253" i="1"/>
  <c r="G253" i="1"/>
  <c r="E253" i="1"/>
  <c r="AL253" i="1" s="1"/>
  <c r="C253" i="1"/>
  <c r="AJ253" i="1" s="1"/>
  <c r="AE252" i="1"/>
  <c r="AC252" i="1"/>
  <c r="AA252" i="1"/>
  <c r="Y252" i="1"/>
  <c r="W252" i="1"/>
  <c r="U252" i="1"/>
  <c r="S252" i="1"/>
  <c r="Q252" i="1"/>
  <c r="O252" i="1"/>
  <c r="M252" i="1"/>
  <c r="K252" i="1"/>
  <c r="G252" i="1"/>
  <c r="E252" i="1"/>
  <c r="AL252" i="1" s="1"/>
  <c r="C252" i="1"/>
  <c r="AJ252" i="1" s="1"/>
  <c r="AE251" i="1"/>
  <c r="AC251" i="1"/>
  <c r="AA251" i="1"/>
  <c r="Y251" i="1"/>
  <c r="W251" i="1"/>
  <c r="U251" i="1"/>
  <c r="S251" i="1"/>
  <c r="Q251" i="1"/>
  <c r="O251" i="1"/>
  <c r="M251" i="1"/>
  <c r="K251" i="1"/>
  <c r="G251" i="1"/>
  <c r="E251" i="1"/>
  <c r="AL251" i="1" s="1"/>
  <c r="C251" i="1"/>
  <c r="AJ251" i="1" s="1"/>
  <c r="AE250" i="1"/>
  <c r="AC250" i="1"/>
  <c r="AA250" i="1"/>
  <c r="Y250" i="1"/>
  <c r="W250" i="1"/>
  <c r="U250" i="1"/>
  <c r="S250" i="1"/>
  <c r="Q250" i="1"/>
  <c r="O250" i="1"/>
  <c r="M250" i="1"/>
  <c r="K250" i="1"/>
  <c r="G250" i="1"/>
  <c r="E250" i="1"/>
  <c r="AL250" i="1" s="1"/>
  <c r="C250" i="1"/>
  <c r="AJ250" i="1" s="1"/>
  <c r="AE249" i="1"/>
  <c r="AC249" i="1"/>
  <c r="AA249" i="1"/>
  <c r="Y249" i="1"/>
  <c r="W249" i="1"/>
  <c r="U249" i="1"/>
  <c r="S249" i="1"/>
  <c r="Q249" i="1"/>
  <c r="O249" i="1"/>
  <c r="M249" i="1"/>
  <c r="K249" i="1"/>
  <c r="G249" i="1"/>
  <c r="E249" i="1"/>
  <c r="AL249" i="1" s="1"/>
  <c r="C249" i="1"/>
  <c r="AJ249" i="1" s="1"/>
  <c r="AE248" i="1"/>
  <c r="AC248" i="1"/>
  <c r="AA248" i="1"/>
  <c r="Y248" i="1"/>
  <c r="W248" i="1"/>
  <c r="U248" i="1"/>
  <c r="S248" i="1"/>
  <c r="Q248" i="1"/>
  <c r="O248" i="1"/>
  <c r="M248" i="1"/>
  <c r="K248" i="1"/>
  <c r="G248" i="1"/>
  <c r="E248" i="1"/>
  <c r="AL248" i="1" s="1"/>
  <c r="C248" i="1"/>
  <c r="AJ248" i="1" s="1"/>
  <c r="AE247" i="1"/>
  <c r="AC247" i="1"/>
  <c r="AA247" i="1"/>
  <c r="Y247" i="1"/>
  <c r="W247" i="1"/>
  <c r="U247" i="1"/>
  <c r="S247" i="1"/>
  <c r="Q247" i="1"/>
  <c r="O247" i="1"/>
  <c r="M247" i="1"/>
  <c r="K247" i="1"/>
  <c r="G247" i="1"/>
  <c r="E247" i="1"/>
  <c r="C247" i="1"/>
  <c r="AE246" i="1"/>
  <c r="AC246" i="1"/>
  <c r="AA246" i="1"/>
  <c r="Y246" i="1"/>
  <c r="W246" i="1"/>
  <c r="U246" i="1"/>
  <c r="S246" i="1"/>
  <c r="Q246" i="1"/>
  <c r="O246" i="1"/>
  <c r="M246" i="1"/>
  <c r="K246" i="1"/>
  <c r="G246" i="1"/>
  <c r="E246" i="1"/>
  <c r="AL246" i="1" s="1"/>
  <c r="C246" i="1"/>
  <c r="AJ246" i="1" s="1"/>
  <c r="AE245" i="1"/>
  <c r="AC245" i="1"/>
  <c r="AA245" i="1"/>
  <c r="Y245" i="1"/>
  <c r="W245" i="1"/>
  <c r="U245" i="1"/>
  <c r="S245" i="1"/>
  <c r="Q245" i="1"/>
  <c r="O245" i="1"/>
  <c r="M245" i="1"/>
  <c r="K245" i="1"/>
  <c r="G245" i="1"/>
  <c r="E245" i="1"/>
  <c r="AL245" i="1" s="1"/>
  <c r="C245" i="1"/>
  <c r="AJ245" i="1" s="1"/>
  <c r="AE244" i="1"/>
  <c r="AC244" i="1"/>
  <c r="AA244" i="1"/>
  <c r="Y244" i="1"/>
  <c r="W244" i="1"/>
  <c r="U244" i="1"/>
  <c r="S244" i="1"/>
  <c r="Q244" i="1"/>
  <c r="O244" i="1"/>
  <c r="M244" i="1"/>
  <c r="K244" i="1"/>
  <c r="G244" i="1"/>
  <c r="E244" i="1"/>
  <c r="AL244" i="1" s="1"/>
  <c r="C244" i="1"/>
  <c r="AJ244" i="1" s="1"/>
  <c r="AE243" i="1"/>
  <c r="AC243" i="1"/>
  <c r="AA243" i="1"/>
  <c r="Y243" i="1"/>
  <c r="W243" i="1"/>
  <c r="U243" i="1"/>
  <c r="S243" i="1"/>
  <c r="Q243" i="1"/>
  <c r="O243" i="1"/>
  <c r="M243" i="1"/>
  <c r="K243" i="1"/>
  <c r="G243" i="1"/>
  <c r="E243" i="1"/>
  <c r="AL243" i="1" s="1"/>
  <c r="C243" i="1"/>
  <c r="AJ243" i="1" s="1"/>
  <c r="AE242" i="1"/>
  <c r="AC242" i="1"/>
  <c r="AA242" i="1"/>
  <c r="Y242" i="1"/>
  <c r="W242" i="1"/>
  <c r="U242" i="1"/>
  <c r="S242" i="1"/>
  <c r="Q242" i="1"/>
  <c r="O242" i="1"/>
  <c r="M242" i="1"/>
  <c r="K242" i="1"/>
  <c r="G242" i="1"/>
  <c r="E242" i="1"/>
  <c r="AL242" i="1" s="1"/>
  <c r="C242" i="1"/>
  <c r="AJ242" i="1" s="1"/>
  <c r="AE241" i="1"/>
  <c r="AC241" i="1"/>
  <c r="AA241" i="1"/>
  <c r="Y241" i="1"/>
  <c r="W241" i="1"/>
  <c r="U241" i="1"/>
  <c r="S241" i="1"/>
  <c r="Q241" i="1"/>
  <c r="O241" i="1"/>
  <c r="M241" i="1"/>
  <c r="K241" i="1"/>
  <c r="G241" i="1"/>
  <c r="E241" i="1"/>
  <c r="AL241" i="1" s="1"/>
  <c r="C241" i="1"/>
  <c r="AJ241" i="1" s="1"/>
  <c r="AE240" i="1"/>
  <c r="AC240" i="1"/>
  <c r="AA240" i="1"/>
  <c r="Y240" i="1"/>
  <c r="W240" i="1"/>
  <c r="U240" i="1"/>
  <c r="S240" i="1"/>
  <c r="Q240" i="1"/>
  <c r="O240" i="1"/>
  <c r="M240" i="1"/>
  <c r="K240" i="1"/>
  <c r="G240" i="1"/>
  <c r="E240" i="1"/>
  <c r="AL240" i="1" s="1"/>
  <c r="C240" i="1"/>
  <c r="AJ240" i="1" s="1"/>
  <c r="AE239" i="1"/>
  <c r="AC239" i="1"/>
  <c r="AA239" i="1"/>
  <c r="Y239" i="1"/>
  <c r="W239" i="1"/>
  <c r="U239" i="1"/>
  <c r="S239" i="1"/>
  <c r="Q239" i="1"/>
  <c r="O239" i="1"/>
  <c r="M239" i="1"/>
  <c r="K239" i="1"/>
  <c r="G239" i="1"/>
  <c r="E239" i="1"/>
  <c r="AL239" i="1" s="1"/>
  <c r="C239" i="1"/>
  <c r="AJ239" i="1" s="1"/>
  <c r="AE238" i="1"/>
  <c r="AC238" i="1"/>
  <c r="AA238" i="1"/>
  <c r="Y238" i="1"/>
  <c r="W238" i="1"/>
  <c r="U238" i="1"/>
  <c r="S238" i="1"/>
  <c r="Q238" i="1"/>
  <c r="O238" i="1"/>
  <c r="M238" i="1"/>
  <c r="K238" i="1"/>
  <c r="G238" i="1"/>
  <c r="E238" i="1"/>
  <c r="AL238" i="1" s="1"/>
  <c r="C238" i="1"/>
  <c r="AJ238" i="1" s="1"/>
  <c r="AE237" i="1"/>
  <c r="AC237" i="1"/>
  <c r="AA237" i="1"/>
  <c r="Y237" i="1"/>
  <c r="W237" i="1"/>
  <c r="U237" i="1"/>
  <c r="S237" i="1"/>
  <c r="Q237" i="1"/>
  <c r="O237" i="1"/>
  <c r="M237" i="1"/>
  <c r="K237" i="1"/>
  <c r="G237" i="1"/>
  <c r="E237" i="1"/>
  <c r="AL237" i="1" s="1"/>
  <c r="C237" i="1"/>
  <c r="AJ237" i="1" s="1"/>
  <c r="AE236" i="1"/>
  <c r="AC236" i="1"/>
  <c r="AA236" i="1"/>
  <c r="Y236" i="1"/>
  <c r="W236" i="1"/>
  <c r="U236" i="1"/>
  <c r="S236" i="1"/>
  <c r="Q236" i="1"/>
  <c r="O236" i="1"/>
  <c r="M236" i="1"/>
  <c r="K236" i="1"/>
  <c r="G236" i="1"/>
  <c r="E236" i="1"/>
  <c r="AL236" i="1" s="1"/>
  <c r="C236" i="1"/>
  <c r="AJ236" i="1" s="1"/>
  <c r="AE235" i="1"/>
  <c r="AC235" i="1"/>
  <c r="AA235" i="1"/>
  <c r="Y235" i="1"/>
  <c r="W235" i="1"/>
  <c r="U235" i="1"/>
  <c r="S235" i="1"/>
  <c r="Q235" i="1"/>
  <c r="O235" i="1"/>
  <c r="M235" i="1"/>
  <c r="K235" i="1"/>
  <c r="G235" i="1"/>
  <c r="E235" i="1"/>
  <c r="AL235" i="1" s="1"/>
  <c r="C235" i="1"/>
  <c r="AJ235" i="1" s="1"/>
  <c r="AE234" i="1"/>
  <c r="AC234" i="1"/>
  <c r="AA234" i="1"/>
  <c r="Y234" i="1"/>
  <c r="W234" i="1"/>
  <c r="U234" i="1"/>
  <c r="S234" i="1"/>
  <c r="Q234" i="1"/>
  <c r="O234" i="1"/>
  <c r="M234" i="1"/>
  <c r="K234" i="1"/>
  <c r="G234" i="1"/>
  <c r="E234" i="1"/>
  <c r="AL234" i="1" s="1"/>
  <c r="C234" i="1"/>
  <c r="AJ234" i="1" s="1"/>
  <c r="AE233" i="1"/>
  <c r="AC233" i="1"/>
  <c r="AA233" i="1"/>
  <c r="Y233" i="1"/>
  <c r="W233" i="1"/>
  <c r="U233" i="1"/>
  <c r="S233" i="1"/>
  <c r="Q233" i="1"/>
  <c r="O233" i="1"/>
  <c r="M233" i="1"/>
  <c r="K233" i="1"/>
  <c r="G233" i="1"/>
  <c r="E233" i="1"/>
  <c r="AL233" i="1" s="1"/>
  <c r="C233" i="1"/>
  <c r="AJ233" i="1" s="1"/>
  <c r="AE232" i="1"/>
  <c r="AC232" i="1"/>
  <c r="AA232" i="1"/>
  <c r="Y232" i="1"/>
  <c r="W232" i="1"/>
  <c r="U232" i="1"/>
  <c r="S232" i="1"/>
  <c r="Q232" i="1"/>
  <c r="O232" i="1"/>
  <c r="M232" i="1"/>
  <c r="K232" i="1"/>
  <c r="G232" i="1"/>
  <c r="E232" i="1"/>
  <c r="AL232" i="1" s="1"/>
  <c r="C232" i="1"/>
  <c r="AJ232" i="1" s="1"/>
  <c r="AE231" i="1"/>
  <c r="AC231" i="1"/>
  <c r="AA231" i="1"/>
  <c r="Y231" i="1"/>
  <c r="W231" i="1"/>
  <c r="U231" i="1"/>
  <c r="S231" i="1"/>
  <c r="Q231" i="1"/>
  <c r="O231" i="1"/>
  <c r="M231" i="1"/>
  <c r="K231" i="1"/>
  <c r="G231" i="1"/>
  <c r="E231" i="1"/>
  <c r="AL231" i="1" s="1"/>
  <c r="C231" i="1"/>
  <c r="AJ231" i="1" s="1"/>
  <c r="AE230" i="1"/>
  <c r="AC230" i="1"/>
  <c r="AA230" i="1"/>
  <c r="Y230" i="1"/>
  <c r="W230" i="1"/>
  <c r="U230" i="1"/>
  <c r="S230" i="1"/>
  <c r="Q230" i="1"/>
  <c r="O230" i="1"/>
  <c r="M230" i="1"/>
  <c r="K230" i="1"/>
  <c r="G230" i="1"/>
  <c r="E230" i="1"/>
  <c r="AL230" i="1" s="1"/>
  <c r="C230" i="1"/>
  <c r="AJ230" i="1" s="1"/>
  <c r="AE229" i="1"/>
  <c r="AC229" i="1"/>
  <c r="AA229" i="1"/>
  <c r="Y229" i="1"/>
  <c r="W229" i="1"/>
  <c r="U229" i="1"/>
  <c r="S229" i="1"/>
  <c r="Q229" i="1"/>
  <c r="O229" i="1"/>
  <c r="M229" i="1"/>
  <c r="K229" i="1"/>
  <c r="G229" i="1"/>
  <c r="E229" i="1"/>
  <c r="AL229" i="1" s="1"/>
  <c r="C229" i="1"/>
  <c r="AJ229" i="1" s="1"/>
  <c r="AE228" i="1"/>
  <c r="AC228" i="1"/>
  <c r="AA228" i="1"/>
  <c r="Y228" i="1"/>
  <c r="W228" i="1"/>
  <c r="U228" i="1"/>
  <c r="S228" i="1"/>
  <c r="Q228" i="1"/>
  <c r="O228" i="1"/>
  <c r="M228" i="1"/>
  <c r="K228" i="1"/>
  <c r="G228" i="1"/>
  <c r="E228" i="1"/>
  <c r="AL228" i="1" s="1"/>
  <c r="C228" i="1"/>
  <c r="AJ228" i="1" s="1"/>
  <c r="AE227" i="1"/>
  <c r="AC227" i="1"/>
  <c r="AA227" i="1"/>
  <c r="Y227" i="1"/>
  <c r="W227" i="1"/>
  <c r="U227" i="1"/>
  <c r="S227" i="1"/>
  <c r="Q227" i="1"/>
  <c r="O227" i="1"/>
  <c r="M227" i="1"/>
  <c r="K227" i="1"/>
  <c r="G227" i="1"/>
  <c r="E227" i="1"/>
  <c r="AL227" i="1" s="1"/>
  <c r="C227" i="1"/>
  <c r="AJ227" i="1" s="1"/>
  <c r="AE226" i="1"/>
  <c r="AC226" i="1"/>
  <c r="AA226" i="1"/>
  <c r="Y226" i="1"/>
  <c r="W226" i="1"/>
  <c r="U226" i="1"/>
  <c r="S226" i="1"/>
  <c r="Q226" i="1"/>
  <c r="O226" i="1"/>
  <c r="M226" i="1"/>
  <c r="K226" i="1"/>
  <c r="G226" i="1"/>
  <c r="E226" i="1"/>
  <c r="AL226" i="1" s="1"/>
  <c r="C226" i="1"/>
  <c r="AJ226" i="1" s="1"/>
  <c r="AE225" i="1"/>
  <c r="AC225" i="1"/>
  <c r="AA225" i="1"/>
  <c r="Y225" i="1"/>
  <c r="W225" i="1"/>
  <c r="U225" i="1"/>
  <c r="S225" i="1"/>
  <c r="Q225" i="1"/>
  <c r="O225" i="1"/>
  <c r="M225" i="1"/>
  <c r="K225" i="1"/>
  <c r="G225" i="1"/>
  <c r="E225" i="1"/>
  <c r="AL225" i="1" s="1"/>
  <c r="C225" i="1"/>
  <c r="AJ225" i="1" s="1"/>
  <c r="AE224" i="1"/>
  <c r="AC224" i="1"/>
  <c r="AA224" i="1"/>
  <c r="Y224" i="1"/>
  <c r="W224" i="1"/>
  <c r="U224" i="1"/>
  <c r="S224" i="1"/>
  <c r="Q224" i="1"/>
  <c r="O224" i="1"/>
  <c r="M224" i="1"/>
  <c r="K224" i="1"/>
  <c r="G224" i="1"/>
  <c r="E224" i="1"/>
  <c r="AL224" i="1" s="1"/>
  <c r="C224" i="1"/>
  <c r="AJ224" i="1" s="1"/>
  <c r="AE223" i="1"/>
  <c r="AC223" i="1"/>
  <c r="AA223" i="1"/>
  <c r="Y223" i="1"/>
  <c r="W223" i="1"/>
  <c r="U223" i="1"/>
  <c r="S223" i="1"/>
  <c r="Q223" i="1"/>
  <c r="O223" i="1"/>
  <c r="M223" i="1"/>
  <c r="K223" i="1"/>
  <c r="G223" i="1"/>
  <c r="E223" i="1"/>
  <c r="AL223" i="1" s="1"/>
  <c r="C223" i="1"/>
  <c r="AJ223" i="1" s="1"/>
  <c r="AE222" i="1"/>
  <c r="AC222" i="1"/>
  <c r="AA222" i="1"/>
  <c r="Y222" i="1"/>
  <c r="W222" i="1"/>
  <c r="U222" i="1"/>
  <c r="S222" i="1"/>
  <c r="Q222" i="1"/>
  <c r="O222" i="1"/>
  <c r="M222" i="1"/>
  <c r="K222" i="1"/>
  <c r="G222" i="1"/>
  <c r="E222" i="1"/>
  <c r="AL222" i="1" s="1"/>
  <c r="C222" i="1"/>
  <c r="AJ222" i="1" s="1"/>
  <c r="AE221" i="1"/>
  <c r="AC221" i="1"/>
  <c r="AA221" i="1"/>
  <c r="Y221" i="1"/>
  <c r="W221" i="1"/>
  <c r="U221" i="1"/>
  <c r="S221" i="1"/>
  <c r="Q221" i="1"/>
  <c r="O221" i="1"/>
  <c r="M221" i="1"/>
  <c r="K221" i="1"/>
  <c r="G221" i="1"/>
  <c r="E221" i="1"/>
  <c r="AL221" i="1" s="1"/>
  <c r="C221" i="1"/>
  <c r="AJ221" i="1" s="1"/>
  <c r="AE220" i="1"/>
  <c r="AC220" i="1"/>
  <c r="AA220" i="1"/>
  <c r="Y220" i="1"/>
  <c r="W220" i="1"/>
  <c r="U220" i="1"/>
  <c r="S220" i="1"/>
  <c r="Q220" i="1"/>
  <c r="O220" i="1"/>
  <c r="M220" i="1"/>
  <c r="K220" i="1"/>
  <c r="G220" i="1"/>
  <c r="E220" i="1"/>
  <c r="AL220" i="1" s="1"/>
  <c r="C220" i="1"/>
  <c r="AJ220" i="1" s="1"/>
  <c r="AE219" i="1"/>
  <c r="AC219" i="1"/>
  <c r="AA219" i="1"/>
  <c r="Y219" i="1"/>
  <c r="W219" i="1"/>
  <c r="U219" i="1"/>
  <c r="S219" i="1"/>
  <c r="Q219" i="1"/>
  <c r="O219" i="1"/>
  <c r="M219" i="1"/>
  <c r="K219" i="1"/>
  <c r="G219" i="1"/>
  <c r="E219" i="1"/>
  <c r="AL219" i="1" s="1"/>
  <c r="C219" i="1"/>
  <c r="AJ219" i="1" s="1"/>
  <c r="AE218" i="1"/>
  <c r="AC218" i="1"/>
  <c r="AA218" i="1"/>
  <c r="Y218" i="1"/>
  <c r="W218" i="1"/>
  <c r="U218" i="1"/>
  <c r="S218" i="1"/>
  <c r="Q218" i="1"/>
  <c r="O218" i="1"/>
  <c r="M218" i="1"/>
  <c r="K218" i="1"/>
  <c r="G218" i="1"/>
  <c r="E218" i="1"/>
  <c r="AL218" i="1" s="1"/>
  <c r="C218" i="1"/>
  <c r="AJ218" i="1" s="1"/>
  <c r="AE217" i="1"/>
  <c r="AC217" i="1"/>
  <c r="AA217" i="1"/>
  <c r="Y217" i="1"/>
  <c r="W217" i="1"/>
  <c r="U217" i="1"/>
  <c r="S217" i="1"/>
  <c r="Q217" i="1"/>
  <c r="O217" i="1"/>
  <c r="M217" i="1"/>
  <c r="K217" i="1"/>
  <c r="G217" i="1"/>
  <c r="E217" i="1"/>
  <c r="AL217" i="1" s="1"/>
  <c r="C217" i="1"/>
  <c r="AJ217" i="1" s="1"/>
  <c r="AE216" i="1"/>
  <c r="AC216" i="1"/>
  <c r="AA216" i="1"/>
  <c r="Y216" i="1"/>
  <c r="W216" i="1"/>
  <c r="U216" i="1"/>
  <c r="S216" i="1"/>
  <c r="Q216" i="1"/>
  <c r="O216" i="1"/>
  <c r="M216" i="1"/>
  <c r="K216" i="1"/>
  <c r="G216" i="1"/>
  <c r="E216" i="1"/>
  <c r="C216" i="1"/>
  <c r="AE215" i="1"/>
  <c r="AC215" i="1"/>
  <c r="AA215" i="1"/>
  <c r="Y215" i="1"/>
  <c r="W215" i="1"/>
  <c r="U215" i="1"/>
  <c r="S215" i="1"/>
  <c r="Q215" i="1"/>
  <c r="O215" i="1"/>
  <c r="M215" i="1"/>
  <c r="K215" i="1"/>
  <c r="G215" i="1"/>
  <c r="E215" i="1"/>
  <c r="AL215" i="1" s="1"/>
  <c r="C215" i="1"/>
  <c r="AJ215" i="1" s="1"/>
  <c r="AE214" i="1"/>
  <c r="AC214" i="1"/>
  <c r="AA214" i="1"/>
  <c r="Y214" i="1"/>
  <c r="W214" i="1"/>
  <c r="U214" i="1"/>
  <c r="S214" i="1"/>
  <c r="Q214" i="1"/>
  <c r="O214" i="1"/>
  <c r="M214" i="1"/>
  <c r="K214" i="1"/>
  <c r="G214" i="1"/>
  <c r="E214" i="1"/>
  <c r="AL214" i="1" s="1"/>
  <c r="C214" i="1"/>
  <c r="AJ214" i="1" s="1"/>
  <c r="AE213" i="1"/>
  <c r="AC213" i="1"/>
  <c r="AA213" i="1"/>
  <c r="Y213" i="1"/>
  <c r="W213" i="1"/>
  <c r="U213" i="1"/>
  <c r="S213" i="1"/>
  <c r="Q213" i="1"/>
  <c r="O213" i="1"/>
  <c r="M213" i="1"/>
  <c r="K213" i="1"/>
  <c r="G213" i="1"/>
  <c r="E213" i="1"/>
  <c r="AL213" i="1" s="1"/>
  <c r="C213" i="1"/>
  <c r="AJ213" i="1" s="1"/>
  <c r="AE212" i="1"/>
  <c r="AC212" i="1"/>
  <c r="AA212" i="1"/>
  <c r="Y212" i="1"/>
  <c r="W212" i="1"/>
  <c r="U212" i="1"/>
  <c r="S212" i="1"/>
  <c r="Q212" i="1"/>
  <c r="O212" i="1"/>
  <c r="M212" i="1"/>
  <c r="K212" i="1"/>
  <c r="G212" i="1"/>
  <c r="E212" i="1"/>
  <c r="AL212" i="1" s="1"/>
  <c r="C212" i="1"/>
  <c r="AJ212" i="1" s="1"/>
  <c r="AE211" i="1"/>
  <c r="AC211" i="1"/>
  <c r="AA211" i="1"/>
  <c r="Y211" i="1"/>
  <c r="W211" i="1"/>
  <c r="U211" i="1"/>
  <c r="S211" i="1"/>
  <c r="Q211" i="1"/>
  <c r="O211" i="1"/>
  <c r="M211" i="1"/>
  <c r="K211" i="1"/>
  <c r="G211" i="1"/>
  <c r="E211" i="1"/>
  <c r="AL211" i="1" s="1"/>
  <c r="C211" i="1"/>
  <c r="AJ211" i="1" s="1"/>
  <c r="AE210" i="1"/>
  <c r="AC210" i="1"/>
  <c r="AA210" i="1"/>
  <c r="Y210" i="1"/>
  <c r="W210" i="1"/>
  <c r="U210" i="1"/>
  <c r="S210" i="1"/>
  <c r="Q210" i="1"/>
  <c r="O210" i="1"/>
  <c r="M210" i="1"/>
  <c r="K210" i="1"/>
  <c r="G210" i="1"/>
  <c r="E210" i="1"/>
  <c r="AL210" i="1" s="1"/>
  <c r="C210" i="1"/>
  <c r="AJ210" i="1" s="1"/>
  <c r="AE209" i="1"/>
  <c r="AC209" i="1"/>
  <c r="AA209" i="1"/>
  <c r="Y209" i="1"/>
  <c r="W209" i="1"/>
  <c r="U209" i="1"/>
  <c r="S209" i="1"/>
  <c r="Q209" i="1"/>
  <c r="O209" i="1"/>
  <c r="M209" i="1"/>
  <c r="K209" i="1"/>
  <c r="G209" i="1"/>
  <c r="E209" i="1"/>
  <c r="AL209" i="1" s="1"/>
  <c r="C209" i="1"/>
  <c r="AJ209" i="1" s="1"/>
  <c r="AE208" i="1"/>
  <c r="AC208" i="1"/>
  <c r="AA208" i="1"/>
  <c r="Y208" i="1"/>
  <c r="W208" i="1"/>
  <c r="U208" i="1"/>
  <c r="S208" i="1"/>
  <c r="Q208" i="1"/>
  <c r="O208" i="1"/>
  <c r="M208" i="1"/>
  <c r="K208" i="1"/>
  <c r="G208" i="1"/>
  <c r="E208" i="1"/>
  <c r="AL208" i="1" s="1"/>
  <c r="C208" i="1"/>
  <c r="AJ208" i="1" s="1"/>
  <c r="AE207" i="1"/>
  <c r="AC207" i="1"/>
  <c r="AA207" i="1"/>
  <c r="Y207" i="1"/>
  <c r="W207" i="1"/>
  <c r="U207" i="1"/>
  <c r="S207" i="1"/>
  <c r="Q207" i="1"/>
  <c r="O207" i="1"/>
  <c r="M207" i="1"/>
  <c r="K207" i="1"/>
  <c r="G207" i="1"/>
  <c r="E207" i="1"/>
  <c r="AL207" i="1" s="1"/>
  <c r="C207" i="1"/>
  <c r="AJ207" i="1" s="1"/>
  <c r="AE206" i="1"/>
  <c r="AC206" i="1"/>
  <c r="AA206" i="1"/>
  <c r="Y206" i="1"/>
  <c r="W206" i="1"/>
  <c r="U206" i="1"/>
  <c r="S206" i="1"/>
  <c r="Q206" i="1"/>
  <c r="O206" i="1"/>
  <c r="M206" i="1"/>
  <c r="K206" i="1"/>
  <c r="G206" i="1"/>
  <c r="E206" i="1"/>
  <c r="AL206" i="1" s="1"/>
  <c r="C206" i="1"/>
  <c r="AJ206" i="1" s="1"/>
  <c r="AE205" i="1"/>
  <c r="AC205" i="1"/>
  <c r="AA205" i="1"/>
  <c r="Y205" i="1"/>
  <c r="W205" i="1"/>
  <c r="U205" i="1"/>
  <c r="S205" i="1"/>
  <c r="Q205" i="1"/>
  <c r="O205" i="1"/>
  <c r="M205" i="1"/>
  <c r="K205" i="1"/>
  <c r="G205" i="1"/>
  <c r="E205" i="1"/>
  <c r="AL205" i="1" s="1"/>
  <c r="C205" i="1"/>
  <c r="AJ205" i="1" s="1"/>
  <c r="AE204" i="1"/>
  <c r="AC204" i="1"/>
  <c r="AA204" i="1"/>
  <c r="Y204" i="1"/>
  <c r="W204" i="1"/>
  <c r="U204" i="1"/>
  <c r="S204" i="1"/>
  <c r="Q204" i="1"/>
  <c r="O204" i="1"/>
  <c r="M204" i="1"/>
  <c r="K204" i="1"/>
  <c r="G204" i="1"/>
  <c r="E204" i="1"/>
  <c r="AL204" i="1" s="1"/>
  <c r="C204" i="1"/>
  <c r="AJ204" i="1" s="1"/>
  <c r="AE203" i="1"/>
  <c r="AC203" i="1"/>
  <c r="AA203" i="1"/>
  <c r="Y203" i="1"/>
  <c r="W203" i="1"/>
  <c r="U203" i="1"/>
  <c r="S203" i="1"/>
  <c r="Q203" i="1"/>
  <c r="O203" i="1"/>
  <c r="M203" i="1"/>
  <c r="K203" i="1"/>
  <c r="G203" i="1"/>
  <c r="E203" i="1"/>
  <c r="AL203" i="1" s="1"/>
  <c r="C203" i="1"/>
  <c r="AJ203" i="1" s="1"/>
  <c r="AE202" i="1"/>
  <c r="AC202" i="1"/>
  <c r="AA202" i="1"/>
  <c r="Y202" i="1"/>
  <c r="W202" i="1"/>
  <c r="U202" i="1"/>
  <c r="S202" i="1"/>
  <c r="Q202" i="1"/>
  <c r="O202" i="1"/>
  <c r="M202" i="1"/>
  <c r="K202" i="1"/>
  <c r="G202" i="1"/>
  <c r="E202" i="1"/>
  <c r="AL202" i="1" s="1"/>
  <c r="C202" i="1"/>
  <c r="AJ202" i="1" s="1"/>
  <c r="AE201" i="1"/>
  <c r="AC201" i="1"/>
  <c r="AA201" i="1"/>
  <c r="Y201" i="1"/>
  <c r="W201" i="1"/>
  <c r="U201" i="1"/>
  <c r="S201" i="1"/>
  <c r="Q201" i="1"/>
  <c r="O201" i="1"/>
  <c r="M201" i="1"/>
  <c r="K201" i="1"/>
  <c r="G201" i="1"/>
  <c r="E201" i="1"/>
  <c r="AL201" i="1" s="1"/>
  <c r="C201" i="1"/>
  <c r="AJ201" i="1" s="1"/>
  <c r="AE200" i="1"/>
  <c r="AC200" i="1"/>
  <c r="AA200" i="1"/>
  <c r="Y200" i="1"/>
  <c r="W200" i="1"/>
  <c r="U200" i="1"/>
  <c r="S200" i="1"/>
  <c r="Q200" i="1"/>
  <c r="O200" i="1"/>
  <c r="M200" i="1"/>
  <c r="K200" i="1"/>
  <c r="G200" i="1"/>
  <c r="E200" i="1"/>
  <c r="AL200" i="1" s="1"/>
  <c r="C200" i="1"/>
  <c r="AJ200" i="1" s="1"/>
  <c r="AE199" i="1"/>
  <c r="AC199" i="1"/>
  <c r="AA199" i="1"/>
  <c r="Y199" i="1"/>
  <c r="W199" i="1"/>
  <c r="U199" i="1"/>
  <c r="S199" i="1"/>
  <c r="Q199" i="1"/>
  <c r="O199" i="1"/>
  <c r="M199" i="1"/>
  <c r="K199" i="1"/>
  <c r="G199" i="1"/>
  <c r="E199" i="1"/>
  <c r="AL199" i="1" s="1"/>
  <c r="C199" i="1"/>
  <c r="AJ199" i="1" s="1"/>
  <c r="AE198" i="1"/>
  <c r="AC198" i="1"/>
  <c r="AA198" i="1"/>
  <c r="Y198" i="1"/>
  <c r="W198" i="1"/>
  <c r="U198" i="1"/>
  <c r="S198" i="1"/>
  <c r="Q198" i="1"/>
  <c r="O198" i="1"/>
  <c r="M198" i="1"/>
  <c r="K198" i="1"/>
  <c r="G198" i="1"/>
  <c r="E198" i="1"/>
  <c r="AL198" i="1" s="1"/>
  <c r="C198" i="1"/>
  <c r="AJ198" i="1" s="1"/>
  <c r="AE197" i="1"/>
  <c r="AC197" i="1"/>
  <c r="AA197" i="1"/>
  <c r="Y197" i="1"/>
  <c r="W197" i="1"/>
  <c r="U197" i="1"/>
  <c r="S197" i="1"/>
  <c r="Q197" i="1"/>
  <c r="O197" i="1"/>
  <c r="M197" i="1"/>
  <c r="K197" i="1"/>
  <c r="G197" i="1"/>
  <c r="E197" i="1"/>
  <c r="AL197" i="1" s="1"/>
  <c r="C197" i="1"/>
  <c r="AJ197" i="1" s="1"/>
  <c r="AE196" i="1"/>
  <c r="AC196" i="1"/>
  <c r="AA196" i="1"/>
  <c r="Y196" i="1"/>
  <c r="W196" i="1"/>
  <c r="U196" i="1"/>
  <c r="S196" i="1"/>
  <c r="Q196" i="1"/>
  <c r="O196" i="1"/>
  <c r="M196" i="1"/>
  <c r="K196" i="1"/>
  <c r="G196" i="1"/>
  <c r="E196" i="1"/>
  <c r="AL196" i="1" s="1"/>
  <c r="C196" i="1"/>
  <c r="AJ196" i="1" s="1"/>
  <c r="AE195" i="1"/>
  <c r="AC195" i="1"/>
  <c r="AA195" i="1"/>
  <c r="Y195" i="1"/>
  <c r="W195" i="1"/>
  <c r="U195" i="1"/>
  <c r="S195" i="1"/>
  <c r="Q195" i="1"/>
  <c r="O195" i="1"/>
  <c r="M195" i="1"/>
  <c r="K195" i="1"/>
  <c r="G195" i="1"/>
  <c r="E195" i="1"/>
  <c r="AL195" i="1" s="1"/>
  <c r="C195" i="1"/>
  <c r="AJ195" i="1" s="1"/>
  <c r="AE194" i="1"/>
  <c r="AC194" i="1"/>
  <c r="AA194" i="1"/>
  <c r="Y194" i="1"/>
  <c r="W194" i="1"/>
  <c r="U194" i="1"/>
  <c r="S194" i="1"/>
  <c r="Q194" i="1"/>
  <c r="O194" i="1"/>
  <c r="M194" i="1"/>
  <c r="K194" i="1"/>
  <c r="G194" i="1"/>
  <c r="E194" i="1"/>
  <c r="AL194" i="1" s="1"/>
  <c r="C194" i="1"/>
  <c r="AJ194" i="1" s="1"/>
  <c r="AE193" i="1"/>
  <c r="AC193" i="1"/>
  <c r="AA193" i="1"/>
  <c r="Y193" i="1"/>
  <c r="W193" i="1"/>
  <c r="U193" i="1"/>
  <c r="S193" i="1"/>
  <c r="Q193" i="1"/>
  <c r="O193" i="1"/>
  <c r="M193" i="1"/>
  <c r="K193" i="1"/>
  <c r="G193" i="1"/>
  <c r="E193" i="1"/>
  <c r="AL193" i="1" s="1"/>
  <c r="C193" i="1"/>
  <c r="AJ193" i="1" s="1"/>
  <c r="AE192" i="1"/>
  <c r="AC192" i="1"/>
  <c r="AA192" i="1"/>
  <c r="Y192" i="1"/>
  <c r="W192" i="1"/>
  <c r="U192" i="1"/>
  <c r="S192" i="1"/>
  <c r="Q192" i="1"/>
  <c r="O192" i="1"/>
  <c r="M192" i="1"/>
  <c r="K192" i="1"/>
  <c r="G192" i="1"/>
  <c r="E192" i="1"/>
  <c r="AL192" i="1" s="1"/>
  <c r="C192" i="1"/>
  <c r="AJ192" i="1" s="1"/>
  <c r="AE191" i="1"/>
  <c r="AC191" i="1"/>
  <c r="AA191" i="1"/>
  <c r="Y191" i="1"/>
  <c r="W191" i="1"/>
  <c r="U191" i="1"/>
  <c r="S191" i="1"/>
  <c r="Q191" i="1"/>
  <c r="O191" i="1"/>
  <c r="M191" i="1"/>
  <c r="K191" i="1"/>
  <c r="G191" i="1"/>
  <c r="E191" i="1"/>
  <c r="AL191" i="1" s="1"/>
  <c r="C191" i="1"/>
  <c r="AJ191" i="1" s="1"/>
  <c r="AE190" i="1"/>
  <c r="AC190" i="1"/>
  <c r="AA190" i="1"/>
  <c r="Y190" i="1"/>
  <c r="W190" i="1"/>
  <c r="U190" i="1"/>
  <c r="S190" i="1"/>
  <c r="Q190" i="1"/>
  <c r="O190" i="1"/>
  <c r="M190" i="1"/>
  <c r="K190" i="1"/>
  <c r="G190" i="1"/>
  <c r="E190" i="1"/>
  <c r="AL190" i="1" s="1"/>
  <c r="C190" i="1"/>
  <c r="AJ190" i="1" s="1"/>
  <c r="AE189" i="1"/>
  <c r="AC189" i="1"/>
  <c r="AA189" i="1"/>
  <c r="Y189" i="1"/>
  <c r="W189" i="1"/>
  <c r="U189" i="1"/>
  <c r="S189" i="1"/>
  <c r="Q189" i="1"/>
  <c r="O189" i="1"/>
  <c r="M189" i="1"/>
  <c r="K189" i="1"/>
  <c r="G189" i="1"/>
  <c r="E189" i="1"/>
  <c r="AL189" i="1" s="1"/>
  <c r="C189" i="1"/>
  <c r="AJ189" i="1" s="1"/>
  <c r="AE188" i="1"/>
  <c r="AC188" i="1"/>
  <c r="AA188" i="1"/>
  <c r="Y188" i="1"/>
  <c r="W188" i="1"/>
  <c r="U188" i="1"/>
  <c r="S188" i="1"/>
  <c r="Q188" i="1"/>
  <c r="O188" i="1"/>
  <c r="M188" i="1"/>
  <c r="K188" i="1"/>
  <c r="G188" i="1"/>
  <c r="E188" i="1"/>
  <c r="AL188" i="1" s="1"/>
  <c r="C188" i="1"/>
  <c r="AJ188" i="1" s="1"/>
  <c r="AE187" i="1"/>
  <c r="AC187" i="1"/>
  <c r="AA187" i="1"/>
  <c r="Y187" i="1"/>
  <c r="W187" i="1"/>
  <c r="U187" i="1"/>
  <c r="S187" i="1"/>
  <c r="Q187" i="1"/>
  <c r="O187" i="1"/>
  <c r="M187" i="1"/>
  <c r="K187" i="1"/>
  <c r="G187" i="1"/>
  <c r="E187" i="1"/>
  <c r="AL187" i="1" s="1"/>
  <c r="C187" i="1"/>
  <c r="AJ187" i="1" s="1"/>
  <c r="AE186" i="1"/>
  <c r="AC186" i="1"/>
  <c r="AA186" i="1"/>
  <c r="Y186" i="1"/>
  <c r="W186" i="1"/>
  <c r="U186" i="1"/>
  <c r="S186" i="1"/>
  <c r="Q186" i="1"/>
  <c r="O186" i="1"/>
  <c r="M186" i="1"/>
  <c r="K186" i="1"/>
  <c r="G186" i="1"/>
  <c r="E186" i="1"/>
  <c r="AL186" i="1" s="1"/>
  <c r="C186" i="1"/>
  <c r="AJ186" i="1" s="1"/>
  <c r="AE185" i="1"/>
  <c r="AC185" i="1"/>
  <c r="AA185" i="1"/>
  <c r="Y185" i="1"/>
  <c r="W185" i="1"/>
  <c r="U185" i="1"/>
  <c r="S185" i="1"/>
  <c r="Q185" i="1"/>
  <c r="O185" i="1"/>
  <c r="M185" i="1"/>
  <c r="K185" i="1"/>
  <c r="G185" i="1"/>
  <c r="E185" i="1"/>
  <c r="AL185" i="1" s="1"/>
  <c r="C185" i="1"/>
  <c r="AJ185" i="1" s="1"/>
  <c r="AE184" i="1"/>
  <c r="AC184" i="1"/>
  <c r="AA184" i="1"/>
  <c r="Y184" i="1"/>
  <c r="W184" i="1"/>
  <c r="U184" i="1"/>
  <c r="S184" i="1"/>
  <c r="Q184" i="1"/>
  <c r="O184" i="1"/>
  <c r="M184" i="1"/>
  <c r="K184" i="1"/>
  <c r="I184" i="1"/>
  <c r="AW184" i="1" s="1"/>
  <c r="H184" i="1"/>
  <c r="AV184" i="1" s="1"/>
  <c r="E184" i="1"/>
  <c r="AL184" i="1" s="1"/>
  <c r="C184" i="1"/>
  <c r="AJ184" i="1" s="1"/>
  <c r="AE183" i="1"/>
  <c r="AC183" i="1"/>
  <c r="AA183" i="1"/>
  <c r="Y183" i="1"/>
  <c r="W183" i="1"/>
  <c r="U183" i="1"/>
  <c r="S183" i="1"/>
  <c r="Q183" i="1"/>
  <c r="O183" i="1"/>
  <c r="M183" i="1"/>
  <c r="K183" i="1"/>
  <c r="I183" i="1"/>
  <c r="AW183" i="1" s="1"/>
  <c r="H183" i="1"/>
  <c r="AV183" i="1" s="1"/>
  <c r="E183" i="1"/>
  <c r="AL183" i="1" s="1"/>
  <c r="C183" i="1"/>
  <c r="AJ183" i="1" s="1"/>
  <c r="AE182" i="1"/>
  <c r="AC182" i="1"/>
  <c r="AA182" i="1"/>
  <c r="Y182" i="1"/>
  <c r="W182" i="1"/>
  <c r="U182" i="1"/>
  <c r="S182" i="1"/>
  <c r="Q182" i="1"/>
  <c r="O182" i="1"/>
  <c r="M182" i="1"/>
  <c r="K182" i="1"/>
  <c r="I182" i="1"/>
  <c r="AW182" i="1" s="1"/>
  <c r="H182" i="1"/>
  <c r="AV182" i="1" s="1"/>
  <c r="E182" i="1"/>
  <c r="AL182" i="1" s="1"/>
  <c r="C182" i="1"/>
  <c r="AJ182" i="1" s="1"/>
  <c r="AE181" i="1"/>
  <c r="AC181" i="1"/>
  <c r="AA181" i="1"/>
  <c r="Y181" i="1"/>
  <c r="W181" i="1"/>
  <c r="U181" i="1"/>
  <c r="S181" i="1"/>
  <c r="Q181" i="1"/>
  <c r="O181" i="1"/>
  <c r="M181" i="1"/>
  <c r="K181" i="1"/>
  <c r="I181" i="1"/>
  <c r="AW181" i="1" s="1"/>
  <c r="H181" i="1"/>
  <c r="AV181" i="1" s="1"/>
  <c r="E181" i="1"/>
  <c r="AL181" i="1" s="1"/>
  <c r="C181" i="1"/>
  <c r="AJ181" i="1" s="1"/>
  <c r="AE180" i="1"/>
  <c r="AC180" i="1"/>
  <c r="AA180" i="1"/>
  <c r="Y180" i="1"/>
  <c r="W180" i="1"/>
  <c r="U180" i="1"/>
  <c r="S180" i="1"/>
  <c r="Q180" i="1"/>
  <c r="O180" i="1"/>
  <c r="M180" i="1"/>
  <c r="K180" i="1"/>
  <c r="I180" i="1"/>
  <c r="AW180" i="1" s="1"/>
  <c r="H180" i="1"/>
  <c r="AV180" i="1" s="1"/>
  <c r="E180" i="1"/>
  <c r="AL180" i="1" s="1"/>
  <c r="C180" i="1"/>
  <c r="AJ180" i="1" s="1"/>
  <c r="AE179" i="1"/>
  <c r="AC179" i="1"/>
  <c r="AA179" i="1"/>
  <c r="Y179" i="1"/>
  <c r="W179" i="1"/>
  <c r="U179" i="1"/>
  <c r="S179" i="1"/>
  <c r="Q179" i="1"/>
  <c r="O179" i="1"/>
  <c r="M179" i="1"/>
  <c r="K179" i="1"/>
  <c r="I179" i="1"/>
  <c r="AW179" i="1" s="1"/>
  <c r="H179" i="1"/>
  <c r="AV179" i="1" s="1"/>
  <c r="E179" i="1"/>
  <c r="AL179" i="1" s="1"/>
  <c r="C179" i="1"/>
  <c r="AJ179" i="1" s="1"/>
  <c r="AE178" i="1"/>
  <c r="AC178" i="1"/>
  <c r="AA178" i="1"/>
  <c r="Y178" i="1"/>
  <c r="W178" i="1"/>
  <c r="U178" i="1"/>
  <c r="S178" i="1"/>
  <c r="Q178" i="1"/>
  <c r="O178" i="1"/>
  <c r="M178" i="1"/>
  <c r="K178" i="1"/>
  <c r="I178" i="1"/>
  <c r="AW178" i="1" s="1"/>
  <c r="H178" i="1"/>
  <c r="AV178" i="1" s="1"/>
  <c r="E178" i="1"/>
  <c r="AL178" i="1" s="1"/>
  <c r="C178" i="1"/>
  <c r="AJ178" i="1" s="1"/>
  <c r="AE177" i="1"/>
  <c r="AC177" i="1"/>
  <c r="AA177" i="1"/>
  <c r="Y177" i="1"/>
  <c r="W177" i="1"/>
  <c r="U177" i="1"/>
  <c r="S177" i="1"/>
  <c r="Q177" i="1"/>
  <c r="O177" i="1"/>
  <c r="M177" i="1"/>
  <c r="K177" i="1"/>
  <c r="I177" i="1"/>
  <c r="AW177" i="1" s="1"/>
  <c r="H177" i="1"/>
  <c r="AV177" i="1" s="1"/>
  <c r="E177" i="1"/>
  <c r="AL177" i="1" s="1"/>
  <c r="C177" i="1"/>
  <c r="AJ177" i="1" s="1"/>
  <c r="AE176" i="1"/>
  <c r="AC176" i="1"/>
  <c r="AA176" i="1"/>
  <c r="Y176" i="1"/>
  <c r="W176" i="1"/>
  <c r="U176" i="1"/>
  <c r="S176" i="1"/>
  <c r="Q176" i="1"/>
  <c r="O176" i="1"/>
  <c r="M176" i="1"/>
  <c r="K176" i="1"/>
  <c r="I176" i="1"/>
  <c r="AW176" i="1" s="1"/>
  <c r="H176" i="1"/>
  <c r="AV176" i="1" s="1"/>
  <c r="E176" i="1"/>
  <c r="AL176" i="1" s="1"/>
  <c r="C176" i="1"/>
  <c r="AJ176" i="1" s="1"/>
  <c r="AE175" i="1"/>
  <c r="AC175" i="1"/>
  <c r="AA175" i="1"/>
  <c r="Y175" i="1"/>
  <c r="W175" i="1"/>
  <c r="U175" i="1"/>
  <c r="S175" i="1"/>
  <c r="Q175" i="1"/>
  <c r="O175" i="1"/>
  <c r="M175" i="1"/>
  <c r="K175" i="1"/>
  <c r="I175" i="1"/>
  <c r="AW175" i="1" s="1"/>
  <c r="H175" i="1"/>
  <c r="AV175" i="1" s="1"/>
  <c r="E175" i="1"/>
  <c r="AL175" i="1" s="1"/>
  <c r="C175" i="1"/>
  <c r="AJ175" i="1" s="1"/>
  <c r="AE174" i="1"/>
  <c r="AC174" i="1"/>
  <c r="AA174" i="1"/>
  <c r="Y174" i="1"/>
  <c r="W174" i="1"/>
  <c r="U174" i="1"/>
  <c r="S174" i="1"/>
  <c r="Q174" i="1"/>
  <c r="O174" i="1"/>
  <c r="M174" i="1"/>
  <c r="K174" i="1"/>
  <c r="I174" i="1"/>
  <c r="AW174" i="1" s="1"/>
  <c r="H174" i="1"/>
  <c r="AV174" i="1" s="1"/>
  <c r="E174" i="1"/>
  <c r="AL174" i="1" s="1"/>
  <c r="C174" i="1"/>
  <c r="AJ174" i="1" s="1"/>
  <c r="AE173" i="1"/>
  <c r="AC173" i="1"/>
  <c r="AA173" i="1"/>
  <c r="Y173" i="1"/>
  <c r="W173" i="1"/>
  <c r="U173" i="1"/>
  <c r="S173" i="1"/>
  <c r="Q173" i="1"/>
  <c r="O173" i="1"/>
  <c r="M173" i="1"/>
  <c r="K173" i="1"/>
  <c r="I173" i="1"/>
  <c r="AW173" i="1" s="1"/>
  <c r="H173" i="1"/>
  <c r="AV173" i="1" s="1"/>
  <c r="E173" i="1"/>
  <c r="AL173" i="1" s="1"/>
  <c r="C173" i="1"/>
  <c r="AJ173" i="1" s="1"/>
  <c r="AE172" i="1"/>
  <c r="AC172" i="1"/>
  <c r="AA172" i="1"/>
  <c r="Y172" i="1"/>
  <c r="W172" i="1"/>
  <c r="U172" i="1"/>
  <c r="S172" i="1"/>
  <c r="Q172" i="1"/>
  <c r="O172" i="1"/>
  <c r="M172" i="1"/>
  <c r="K172" i="1"/>
  <c r="I172" i="1"/>
  <c r="AW172" i="1" s="1"/>
  <c r="H172" i="1"/>
  <c r="AV172" i="1" s="1"/>
  <c r="E172" i="1"/>
  <c r="AL172" i="1" s="1"/>
  <c r="C172" i="1"/>
  <c r="AJ172" i="1" s="1"/>
  <c r="AE171" i="1"/>
  <c r="AC171" i="1"/>
  <c r="AA171" i="1"/>
  <c r="Y171" i="1"/>
  <c r="W171" i="1"/>
  <c r="U171" i="1"/>
  <c r="S171" i="1"/>
  <c r="Q171" i="1"/>
  <c r="O171" i="1"/>
  <c r="M171" i="1"/>
  <c r="K171" i="1"/>
  <c r="I171" i="1"/>
  <c r="AW171" i="1" s="1"/>
  <c r="H171" i="1"/>
  <c r="AV171" i="1" s="1"/>
  <c r="E171" i="1"/>
  <c r="AL171" i="1" s="1"/>
  <c r="C171" i="1"/>
  <c r="AJ171" i="1" s="1"/>
  <c r="AE170" i="1"/>
  <c r="AC170" i="1"/>
  <c r="AA170" i="1"/>
  <c r="Y170" i="1"/>
  <c r="W170" i="1"/>
  <c r="U170" i="1"/>
  <c r="S170" i="1"/>
  <c r="Q170" i="1"/>
  <c r="O170" i="1"/>
  <c r="M170" i="1"/>
  <c r="K170" i="1"/>
  <c r="I170" i="1"/>
  <c r="AW170" i="1" s="1"/>
  <c r="H170" i="1"/>
  <c r="AV170" i="1" s="1"/>
  <c r="E170" i="1"/>
  <c r="AL170" i="1" s="1"/>
  <c r="C170" i="1"/>
  <c r="AJ170" i="1" s="1"/>
  <c r="AE169" i="1"/>
  <c r="AC169" i="1"/>
  <c r="AA169" i="1"/>
  <c r="Y169" i="1"/>
  <c r="W169" i="1"/>
  <c r="U169" i="1"/>
  <c r="S169" i="1"/>
  <c r="Q169" i="1"/>
  <c r="O169" i="1"/>
  <c r="M169" i="1"/>
  <c r="K169" i="1"/>
  <c r="I169" i="1"/>
  <c r="AW169" i="1" s="1"/>
  <c r="H169" i="1"/>
  <c r="AV169" i="1" s="1"/>
  <c r="E169" i="1"/>
  <c r="AL169" i="1" s="1"/>
  <c r="C169" i="1"/>
  <c r="AJ169" i="1" s="1"/>
  <c r="AE168" i="1"/>
  <c r="AC168" i="1"/>
  <c r="AA168" i="1"/>
  <c r="Y168" i="1"/>
  <c r="W168" i="1"/>
  <c r="U168" i="1"/>
  <c r="S168" i="1"/>
  <c r="Q168" i="1"/>
  <c r="O168" i="1"/>
  <c r="M168" i="1"/>
  <c r="K168" i="1"/>
  <c r="I168" i="1"/>
  <c r="AW168" i="1" s="1"/>
  <c r="H168" i="1"/>
  <c r="AV168" i="1" s="1"/>
  <c r="E168" i="1"/>
  <c r="AL168" i="1" s="1"/>
  <c r="C168" i="1"/>
  <c r="AJ168" i="1" s="1"/>
  <c r="AE167" i="1"/>
  <c r="AC167" i="1"/>
  <c r="AA167" i="1"/>
  <c r="Y167" i="1"/>
  <c r="W167" i="1"/>
  <c r="U167" i="1"/>
  <c r="S167" i="1"/>
  <c r="Q167" i="1"/>
  <c r="O167" i="1"/>
  <c r="M167" i="1"/>
  <c r="K167" i="1"/>
  <c r="I167" i="1"/>
  <c r="AW167" i="1" s="1"/>
  <c r="H167" i="1"/>
  <c r="AV167" i="1" s="1"/>
  <c r="E167" i="1"/>
  <c r="AL167" i="1" s="1"/>
  <c r="C167" i="1"/>
  <c r="AJ167" i="1" s="1"/>
  <c r="AE166" i="1"/>
  <c r="AC166" i="1"/>
  <c r="AA166" i="1"/>
  <c r="Y166" i="1"/>
  <c r="W166" i="1"/>
  <c r="U166" i="1"/>
  <c r="S166" i="1"/>
  <c r="Q166" i="1"/>
  <c r="O166" i="1"/>
  <c r="M166" i="1"/>
  <c r="K166" i="1"/>
  <c r="I166" i="1"/>
  <c r="AW166" i="1" s="1"/>
  <c r="H166" i="1"/>
  <c r="AV166" i="1" s="1"/>
  <c r="E166" i="1"/>
  <c r="AL166" i="1" s="1"/>
  <c r="C166" i="1"/>
  <c r="AJ166" i="1" s="1"/>
  <c r="AE165" i="1"/>
  <c r="AC165" i="1"/>
  <c r="AA165" i="1"/>
  <c r="Y165" i="1"/>
  <c r="W165" i="1"/>
  <c r="U165" i="1"/>
  <c r="S165" i="1"/>
  <c r="Q165" i="1"/>
  <c r="O165" i="1"/>
  <c r="M165" i="1"/>
  <c r="K165" i="1"/>
  <c r="I165" i="1"/>
  <c r="AW165" i="1" s="1"/>
  <c r="H165" i="1"/>
  <c r="AV165" i="1" s="1"/>
  <c r="E165" i="1"/>
  <c r="AL165" i="1" s="1"/>
  <c r="C165" i="1"/>
  <c r="AJ165" i="1" s="1"/>
  <c r="AE164" i="1"/>
  <c r="AC164" i="1"/>
  <c r="AA164" i="1"/>
  <c r="Y164" i="1"/>
  <c r="W164" i="1"/>
  <c r="U164" i="1"/>
  <c r="S164" i="1"/>
  <c r="Q164" i="1"/>
  <c r="O164" i="1"/>
  <c r="M164" i="1"/>
  <c r="K164" i="1"/>
  <c r="I164" i="1"/>
  <c r="AW164" i="1" s="1"/>
  <c r="H164" i="1"/>
  <c r="AV164" i="1" s="1"/>
  <c r="E164" i="1"/>
  <c r="AL164" i="1" s="1"/>
  <c r="C164" i="1"/>
  <c r="AJ164" i="1" s="1"/>
  <c r="AE163" i="1"/>
  <c r="AC163" i="1"/>
  <c r="AA163" i="1"/>
  <c r="Y163" i="1"/>
  <c r="W163" i="1"/>
  <c r="U163" i="1"/>
  <c r="S163" i="1"/>
  <c r="Q163" i="1"/>
  <c r="O163" i="1"/>
  <c r="M163" i="1"/>
  <c r="K163" i="1"/>
  <c r="I163" i="1"/>
  <c r="AW163" i="1" s="1"/>
  <c r="H163" i="1"/>
  <c r="AV163" i="1" s="1"/>
  <c r="E163" i="1"/>
  <c r="AL163" i="1" s="1"/>
  <c r="C163" i="1"/>
  <c r="AJ163" i="1" s="1"/>
  <c r="AE162" i="1"/>
  <c r="AC162" i="1"/>
  <c r="AA162" i="1"/>
  <c r="Y162" i="1"/>
  <c r="W162" i="1"/>
  <c r="U162" i="1"/>
  <c r="S162" i="1"/>
  <c r="Q162" i="1"/>
  <c r="O162" i="1"/>
  <c r="M162" i="1"/>
  <c r="K162" i="1"/>
  <c r="I162" i="1"/>
  <c r="AW162" i="1" s="1"/>
  <c r="H162" i="1"/>
  <c r="AV162" i="1" s="1"/>
  <c r="E162" i="1"/>
  <c r="AL162" i="1" s="1"/>
  <c r="C162" i="1"/>
  <c r="AJ162" i="1" s="1"/>
  <c r="AE161" i="1"/>
  <c r="AC161" i="1"/>
  <c r="AA161" i="1"/>
  <c r="Y161" i="1"/>
  <c r="W161" i="1"/>
  <c r="U161" i="1"/>
  <c r="S161" i="1"/>
  <c r="Q161" i="1"/>
  <c r="O161" i="1"/>
  <c r="M161" i="1"/>
  <c r="K161" i="1"/>
  <c r="I161" i="1"/>
  <c r="AW161" i="1" s="1"/>
  <c r="H161" i="1"/>
  <c r="AV161" i="1" s="1"/>
  <c r="E161" i="1"/>
  <c r="AL161" i="1" s="1"/>
  <c r="C161" i="1"/>
  <c r="AJ161" i="1" s="1"/>
  <c r="AE160" i="1"/>
  <c r="AC160" i="1"/>
  <c r="AA160" i="1"/>
  <c r="Y160" i="1"/>
  <c r="W160" i="1"/>
  <c r="U160" i="1"/>
  <c r="S160" i="1"/>
  <c r="Q160" i="1"/>
  <c r="O160" i="1"/>
  <c r="M160" i="1"/>
  <c r="K160" i="1"/>
  <c r="I160" i="1"/>
  <c r="AW160" i="1" s="1"/>
  <c r="H160" i="1"/>
  <c r="AV160" i="1" s="1"/>
  <c r="E160" i="1"/>
  <c r="AL160" i="1" s="1"/>
  <c r="C160" i="1"/>
  <c r="AJ160" i="1" s="1"/>
  <c r="AE159" i="1"/>
  <c r="AC159" i="1"/>
  <c r="AA159" i="1"/>
  <c r="Y159" i="1"/>
  <c r="W159" i="1"/>
  <c r="U159" i="1"/>
  <c r="S159" i="1"/>
  <c r="Q159" i="1"/>
  <c r="O159" i="1"/>
  <c r="M159" i="1"/>
  <c r="K159" i="1"/>
  <c r="I159" i="1"/>
  <c r="AW159" i="1" s="1"/>
  <c r="H159" i="1"/>
  <c r="AV159" i="1" s="1"/>
  <c r="E159" i="1"/>
  <c r="AL159" i="1" s="1"/>
  <c r="C159" i="1"/>
  <c r="AJ159" i="1" s="1"/>
  <c r="AE158" i="1"/>
  <c r="AC158" i="1"/>
  <c r="AA158" i="1"/>
  <c r="Y158" i="1"/>
  <c r="W158" i="1"/>
  <c r="U158" i="1"/>
  <c r="S158" i="1"/>
  <c r="Q158" i="1"/>
  <c r="O158" i="1"/>
  <c r="M158" i="1"/>
  <c r="K158" i="1"/>
  <c r="I158" i="1"/>
  <c r="AW158" i="1" s="1"/>
  <c r="H158" i="1"/>
  <c r="AV158" i="1" s="1"/>
  <c r="E158" i="1"/>
  <c r="AL158" i="1" s="1"/>
  <c r="C158" i="1"/>
  <c r="AJ158" i="1" s="1"/>
  <c r="AE157" i="1"/>
  <c r="AC157" i="1"/>
  <c r="AA157" i="1"/>
  <c r="Y157" i="1"/>
  <c r="W157" i="1"/>
  <c r="U157" i="1"/>
  <c r="S157" i="1"/>
  <c r="Q157" i="1"/>
  <c r="O157" i="1"/>
  <c r="M157" i="1"/>
  <c r="K157" i="1"/>
  <c r="I157" i="1"/>
  <c r="AW157" i="1" s="1"/>
  <c r="H157" i="1"/>
  <c r="AV157" i="1" s="1"/>
  <c r="E157" i="1"/>
  <c r="C157" i="1"/>
  <c r="AJ157" i="1" s="1"/>
  <c r="AE156" i="1"/>
  <c r="AC156" i="1"/>
  <c r="AA156" i="1"/>
  <c r="Y156" i="1"/>
  <c r="W156" i="1"/>
  <c r="U156" i="1"/>
  <c r="S156" i="1"/>
  <c r="Q156" i="1"/>
  <c r="O156" i="1"/>
  <c r="M156" i="1"/>
  <c r="K156" i="1"/>
  <c r="I156" i="1"/>
  <c r="H156" i="1"/>
  <c r="AV156" i="1" s="1"/>
  <c r="E156" i="1"/>
  <c r="AL156" i="1" s="1"/>
  <c r="C156" i="1"/>
  <c r="AJ156" i="1" s="1"/>
  <c r="AE155" i="1"/>
  <c r="AC155" i="1"/>
  <c r="AA155" i="1"/>
  <c r="Y155" i="1"/>
  <c r="W155" i="1"/>
  <c r="U155" i="1"/>
  <c r="S155" i="1"/>
  <c r="Q155" i="1"/>
  <c r="O155" i="1"/>
  <c r="M155" i="1"/>
  <c r="K155" i="1"/>
  <c r="I155" i="1"/>
  <c r="H155" i="1"/>
  <c r="E155" i="1"/>
  <c r="AL155" i="1" s="1"/>
  <c r="C155" i="1"/>
  <c r="AJ155" i="1" s="1"/>
  <c r="AE154" i="1"/>
  <c r="AC154" i="1"/>
  <c r="AA154" i="1"/>
  <c r="Y154" i="1"/>
  <c r="W154" i="1"/>
  <c r="U154" i="1"/>
  <c r="S154" i="1"/>
  <c r="Q154" i="1"/>
  <c r="O154" i="1"/>
  <c r="M154" i="1"/>
  <c r="K154" i="1"/>
  <c r="G154" i="1"/>
  <c r="E154" i="1"/>
  <c r="AL154" i="1" s="1"/>
  <c r="C154" i="1"/>
  <c r="AJ154" i="1" s="1"/>
  <c r="AE153" i="1"/>
  <c r="AC153" i="1"/>
  <c r="AA153" i="1"/>
  <c r="Y153" i="1"/>
  <c r="W153" i="1"/>
  <c r="U153" i="1"/>
  <c r="S153" i="1"/>
  <c r="Q153" i="1"/>
  <c r="O153" i="1"/>
  <c r="M153" i="1"/>
  <c r="K153" i="1"/>
  <c r="J153" i="1"/>
  <c r="G153" i="1"/>
  <c r="E153" i="1"/>
  <c r="AL153" i="1" s="1"/>
  <c r="AE152" i="1"/>
  <c r="AC152" i="1"/>
  <c r="AA152" i="1"/>
  <c r="Y152" i="1"/>
  <c r="W152" i="1"/>
  <c r="U152" i="1"/>
  <c r="S152" i="1"/>
  <c r="Q152" i="1"/>
  <c r="O152" i="1"/>
  <c r="M152" i="1"/>
  <c r="K152" i="1"/>
  <c r="J152" i="1"/>
  <c r="G152" i="1"/>
  <c r="E152" i="1"/>
  <c r="AL152" i="1" s="1"/>
  <c r="AE151" i="1"/>
  <c r="AC151" i="1"/>
  <c r="AA151" i="1"/>
  <c r="Y151" i="1"/>
  <c r="W151" i="1"/>
  <c r="U151" i="1"/>
  <c r="S151" i="1"/>
  <c r="Q151" i="1"/>
  <c r="O151" i="1"/>
  <c r="M151" i="1"/>
  <c r="K151" i="1"/>
  <c r="J151" i="1"/>
  <c r="G151" i="1"/>
  <c r="E151" i="1"/>
  <c r="AL151" i="1" s="1"/>
  <c r="AE150" i="1"/>
  <c r="AC150" i="1"/>
  <c r="AA150" i="1"/>
  <c r="Y150" i="1"/>
  <c r="W150" i="1"/>
  <c r="U150" i="1"/>
  <c r="S150" i="1"/>
  <c r="Q150" i="1"/>
  <c r="O150" i="1"/>
  <c r="M150" i="1"/>
  <c r="K150" i="1"/>
  <c r="J150" i="1"/>
  <c r="G150" i="1"/>
  <c r="E150" i="1"/>
  <c r="AL150" i="1" s="1"/>
  <c r="AE149" i="1"/>
  <c r="AC149" i="1"/>
  <c r="AA149" i="1"/>
  <c r="Y149" i="1"/>
  <c r="W149" i="1"/>
  <c r="U149" i="1"/>
  <c r="S149" i="1"/>
  <c r="Q149" i="1"/>
  <c r="O149" i="1"/>
  <c r="M149" i="1"/>
  <c r="K149" i="1"/>
  <c r="J149" i="1"/>
  <c r="G149" i="1"/>
  <c r="E149" i="1"/>
  <c r="AL149" i="1" s="1"/>
  <c r="AE148" i="1"/>
  <c r="AC148" i="1"/>
  <c r="AA148" i="1"/>
  <c r="Y148" i="1"/>
  <c r="W148" i="1"/>
  <c r="U148" i="1"/>
  <c r="S148" i="1"/>
  <c r="Q148" i="1"/>
  <c r="O148" i="1"/>
  <c r="M148" i="1"/>
  <c r="K148" i="1"/>
  <c r="J148" i="1"/>
  <c r="G148" i="1"/>
  <c r="E148" i="1"/>
  <c r="AL148" i="1" s="1"/>
  <c r="AE147" i="1"/>
  <c r="AC147" i="1"/>
  <c r="AA147" i="1"/>
  <c r="Y147" i="1"/>
  <c r="W147" i="1"/>
  <c r="U147" i="1"/>
  <c r="S147" i="1"/>
  <c r="Q147" i="1"/>
  <c r="O147" i="1"/>
  <c r="M147" i="1"/>
  <c r="K147" i="1"/>
  <c r="J147" i="1"/>
  <c r="G147" i="1"/>
  <c r="E147" i="1"/>
  <c r="AL147" i="1" s="1"/>
  <c r="AE146" i="1"/>
  <c r="AC146" i="1"/>
  <c r="AA146" i="1"/>
  <c r="Y146" i="1"/>
  <c r="W146" i="1"/>
  <c r="U146" i="1"/>
  <c r="S146" i="1"/>
  <c r="Q146" i="1"/>
  <c r="O146" i="1"/>
  <c r="M146" i="1"/>
  <c r="K146" i="1"/>
  <c r="J146" i="1"/>
  <c r="G146" i="1"/>
  <c r="E146" i="1"/>
  <c r="AL146" i="1" s="1"/>
  <c r="AE145" i="1"/>
  <c r="AC145" i="1"/>
  <c r="AA145" i="1"/>
  <c r="Y145" i="1"/>
  <c r="W145" i="1"/>
  <c r="U145" i="1"/>
  <c r="S145" i="1"/>
  <c r="Q145" i="1"/>
  <c r="O145" i="1"/>
  <c r="M145" i="1"/>
  <c r="K145" i="1"/>
  <c r="J145" i="1"/>
  <c r="G145" i="1"/>
  <c r="E145" i="1"/>
  <c r="AL145" i="1" s="1"/>
  <c r="AE144" i="1"/>
  <c r="AC144" i="1"/>
  <c r="AA144" i="1"/>
  <c r="Y144" i="1"/>
  <c r="W144" i="1"/>
  <c r="U144" i="1"/>
  <c r="S144" i="1"/>
  <c r="Q144" i="1"/>
  <c r="O144" i="1"/>
  <c r="M144" i="1"/>
  <c r="K144" i="1"/>
  <c r="J144" i="1"/>
  <c r="G144" i="1"/>
  <c r="E144" i="1"/>
  <c r="AL144" i="1" s="1"/>
  <c r="AE143" i="1"/>
  <c r="AC143" i="1"/>
  <c r="AA143" i="1"/>
  <c r="Y143" i="1"/>
  <c r="W143" i="1"/>
  <c r="U143" i="1"/>
  <c r="S143" i="1"/>
  <c r="Q143" i="1"/>
  <c r="O143" i="1"/>
  <c r="M143" i="1"/>
  <c r="K143" i="1"/>
  <c r="J143" i="1"/>
  <c r="G143" i="1"/>
  <c r="E143" i="1"/>
  <c r="AL143" i="1" s="1"/>
  <c r="AE142" i="1"/>
  <c r="AC142" i="1"/>
  <c r="AA142" i="1"/>
  <c r="Y142" i="1"/>
  <c r="W142" i="1"/>
  <c r="U142" i="1"/>
  <c r="S142" i="1"/>
  <c r="Q142" i="1"/>
  <c r="O142" i="1"/>
  <c r="M142" i="1"/>
  <c r="K142" i="1"/>
  <c r="J142" i="1"/>
  <c r="G142" i="1"/>
  <c r="E142" i="1"/>
  <c r="AL142" i="1" s="1"/>
  <c r="AE141" i="1"/>
  <c r="AC141" i="1"/>
  <c r="AA141" i="1"/>
  <c r="Y141" i="1"/>
  <c r="W141" i="1"/>
  <c r="U141" i="1"/>
  <c r="S141" i="1"/>
  <c r="Q141" i="1"/>
  <c r="O141" i="1"/>
  <c r="M141" i="1"/>
  <c r="K141" i="1"/>
  <c r="J141" i="1"/>
  <c r="G141" i="1"/>
  <c r="E141" i="1"/>
  <c r="AL141" i="1" s="1"/>
  <c r="AE140" i="1"/>
  <c r="AC140" i="1"/>
  <c r="AA140" i="1"/>
  <c r="Y140" i="1"/>
  <c r="W140" i="1"/>
  <c r="U140" i="1"/>
  <c r="S140" i="1"/>
  <c r="Q140" i="1"/>
  <c r="O140" i="1"/>
  <c r="M140" i="1"/>
  <c r="K140" i="1"/>
  <c r="J140" i="1"/>
  <c r="G140" i="1"/>
  <c r="E140" i="1"/>
  <c r="AL140" i="1" s="1"/>
  <c r="AE139" i="1"/>
  <c r="AC139" i="1"/>
  <c r="AA139" i="1"/>
  <c r="Y139" i="1"/>
  <c r="W139" i="1"/>
  <c r="U139" i="1"/>
  <c r="S139" i="1"/>
  <c r="Q139" i="1"/>
  <c r="O139" i="1"/>
  <c r="M139" i="1"/>
  <c r="K139" i="1"/>
  <c r="J139" i="1"/>
  <c r="G139" i="1"/>
  <c r="E139" i="1"/>
  <c r="AL139" i="1" s="1"/>
  <c r="AE138" i="1"/>
  <c r="AC138" i="1"/>
  <c r="AA138" i="1"/>
  <c r="Y138" i="1"/>
  <c r="W138" i="1"/>
  <c r="U138" i="1"/>
  <c r="S138" i="1"/>
  <c r="Q138" i="1"/>
  <c r="O138" i="1"/>
  <c r="M138" i="1"/>
  <c r="K138" i="1"/>
  <c r="J138" i="1"/>
  <c r="G138" i="1"/>
  <c r="E138" i="1"/>
  <c r="AL138" i="1" s="1"/>
  <c r="AE137" i="1"/>
  <c r="AC137" i="1"/>
  <c r="AA137" i="1"/>
  <c r="Y137" i="1"/>
  <c r="W137" i="1"/>
  <c r="U137" i="1"/>
  <c r="S137" i="1"/>
  <c r="Q137" i="1"/>
  <c r="O137" i="1"/>
  <c r="M137" i="1"/>
  <c r="K137" i="1"/>
  <c r="J137" i="1"/>
  <c r="G137" i="1"/>
  <c r="E137" i="1"/>
  <c r="AL137" i="1" s="1"/>
  <c r="AE136" i="1"/>
  <c r="AC136" i="1"/>
  <c r="AA136" i="1"/>
  <c r="Y136" i="1"/>
  <c r="W136" i="1"/>
  <c r="U136" i="1"/>
  <c r="S136" i="1"/>
  <c r="Q136" i="1"/>
  <c r="O136" i="1"/>
  <c r="M136" i="1"/>
  <c r="K136" i="1"/>
  <c r="J136" i="1"/>
  <c r="G136" i="1"/>
  <c r="E136" i="1"/>
  <c r="AL136" i="1" s="1"/>
  <c r="AE135" i="1"/>
  <c r="AC135" i="1"/>
  <c r="AA135" i="1"/>
  <c r="Y135" i="1"/>
  <c r="W135" i="1"/>
  <c r="U135" i="1"/>
  <c r="S135" i="1"/>
  <c r="Q135" i="1"/>
  <c r="O135" i="1"/>
  <c r="M135" i="1"/>
  <c r="K135" i="1"/>
  <c r="J135" i="1"/>
  <c r="G135" i="1"/>
  <c r="E135" i="1"/>
  <c r="AL135" i="1" s="1"/>
  <c r="AE134" i="1"/>
  <c r="AC134" i="1"/>
  <c r="AA134" i="1"/>
  <c r="Y134" i="1"/>
  <c r="W134" i="1"/>
  <c r="U134" i="1"/>
  <c r="S134" i="1"/>
  <c r="Q134" i="1"/>
  <c r="O134" i="1"/>
  <c r="M134" i="1"/>
  <c r="K134" i="1"/>
  <c r="J134" i="1"/>
  <c r="G134" i="1"/>
  <c r="E134" i="1"/>
  <c r="AL134" i="1" s="1"/>
  <c r="AE133" i="1"/>
  <c r="AC133" i="1"/>
  <c r="AA133" i="1"/>
  <c r="Y133" i="1"/>
  <c r="W133" i="1"/>
  <c r="U133" i="1"/>
  <c r="S133" i="1"/>
  <c r="Q133" i="1"/>
  <c r="O133" i="1"/>
  <c r="M133" i="1"/>
  <c r="K133" i="1"/>
  <c r="J133" i="1"/>
  <c r="G133" i="1"/>
  <c r="E133" i="1"/>
  <c r="AL133" i="1" s="1"/>
  <c r="AE132" i="1"/>
  <c r="AC132" i="1"/>
  <c r="AA132" i="1"/>
  <c r="Y132" i="1"/>
  <c r="W132" i="1"/>
  <c r="U132" i="1"/>
  <c r="S132" i="1"/>
  <c r="Q132" i="1"/>
  <c r="O132" i="1"/>
  <c r="M132" i="1"/>
  <c r="K132" i="1"/>
  <c r="J132" i="1"/>
  <c r="G132" i="1"/>
  <c r="E132" i="1"/>
  <c r="AL132" i="1" s="1"/>
  <c r="AE131" i="1"/>
  <c r="AC131" i="1"/>
  <c r="AA131" i="1"/>
  <c r="Y131" i="1"/>
  <c r="W131" i="1"/>
  <c r="U131" i="1"/>
  <c r="S131" i="1"/>
  <c r="Q131" i="1"/>
  <c r="O131" i="1"/>
  <c r="M131" i="1"/>
  <c r="K131" i="1"/>
  <c r="J131" i="1"/>
  <c r="G131" i="1"/>
  <c r="E131" i="1"/>
  <c r="AL131" i="1" s="1"/>
  <c r="AE130" i="1"/>
  <c r="AC130" i="1"/>
  <c r="AA130" i="1"/>
  <c r="Y130" i="1"/>
  <c r="W130" i="1"/>
  <c r="U130" i="1"/>
  <c r="S130" i="1"/>
  <c r="Q130" i="1"/>
  <c r="O130" i="1"/>
  <c r="M130" i="1"/>
  <c r="K130" i="1"/>
  <c r="J130" i="1"/>
  <c r="G130" i="1"/>
  <c r="E130" i="1"/>
  <c r="AL130" i="1" s="1"/>
  <c r="AE129" i="1"/>
  <c r="AC129" i="1"/>
  <c r="AA129" i="1"/>
  <c r="Y129" i="1"/>
  <c r="W129" i="1"/>
  <c r="U129" i="1"/>
  <c r="S129" i="1"/>
  <c r="Q129" i="1"/>
  <c r="O129" i="1"/>
  <c r="M129" i="1"/>
  <c r="K129" i="1"/>
  <c r="J129" i="1"/>
  <c r="G129" i="1"/>
  <c r="E129" i="1"/>
  <c r="AL129" i="1" s="1"/>
  <c r="AE128" i="1"/>
  <c r="AC128" i="1"/>
  <c r="AA128" i="1"/>
  <c r="Y128" i="1"/>
  <c r="W128" i="1"/>
  <c r="U128" i="1"/>
  <c r="S128" i="1"/>
  <c r="Q128" i="1"/>
  <c r="O128" i="1"/>
  <c r="M128" i="1"/>
  <c r="K128" i="1"/>
  <c r="J128" i="1"/>
  <c r="G128" i="1"/>
  <c r="E128" i="1"/>
  <c r="AL128" i="1" s="1"/>
  <c r="AE127" i="1"/>
  <c r="AC127" i="1"/>
  <c r="AA127" i="1"/>
  <c r="Y127" i="1"/>
  <c r="W127" i="1"/>
  <c r="U127" i="1"/>
  <c r="S127" i="1"/>
  <c r="Q127" i="1"/>
  <c r="O127" i="1"/>
  <c r="M127" i="1"/>
  <c r="K127" i="1"/>
  <c r="J127" i="1"/>
  <c r="AP127" i="1" s="1"/>
  <c r="G127" i="1"/>
  <c r="E127" i="1"/>
  <c r="AL127" i="1" s="1"/>
  <c r="AE126" i="1"/>
  <c r="AC126" i="1"/>
  <c r="AA126" i="1"/>
  <c r="Y126" i="1"/>
  <c r="W126" i="1"/>
  <c r="U126" i="1"/>
  <c r="S126" i="1"/>
  <c r="Q126" i="1"/>
  <c r="O126" i="1"/>
  <c r="M126" i="1"/>
  <c r="K126" i="1"/>
  <c r="J126" i="1"/>
  <c r="G126" i="1"/>
  <c r="E126" i="1"/>
  <c r="AL126" i="1" s="1"/>
  <c r="AE125" i="1"/>
  <c r="AC125" i="1"/>
  <c r="AA125" i="1"/>
  <c r="Y125" i="1"/>
  <c r="W125" i="1"/>
  <c r="U125" i="1"/>
  <c r="S125" i="1"/>
  <c r="Q125" i="1"/>
  <c r="O125" i="1"/>
  <c r="M125" i="1"/>
  <c r="K125" i="1"/>
  <c r="J125" i="1"/>
  <c r="G125" i="1"/>
  <c r="E125" i="1"/>
  <c r="AL125" i="1" s="1"/>
  <c r="AE124" i="1"/>
  <c r="AC124" i="1"/>
  <c r="AA124" i="1"/>
  <c r="Y124" i="1"/>
  <c r="W124" i="1"/>
  <c r="U124" i="1"/>
  <c r="S124" i="1"/>
  <c r="Q124" i="1"/>
  <c r="O124" i="1"/>
  <c r="M124" i="1"/>
  <c r="K124" i="1"/>
  <c r="J124" i="1"/>
  <c r="G124" i="1"/>
  <c r="E124" i="1"/>
  <c r="AL124" i="1" s="1"/>
  <c r="AE123" i="1"/>
  <c r="AC123" i="1"/>
  <c r="AA123" i="1"/>
  <c r="Y123" i="1"/>
  <c r="W123" i="1"/>
  <c r="U123" i="1"/>
  <c r="S123" i="1"/>
  <c r="Q123" i="1"/>
  <c r="O123" i="1"/>
  <c r="M123" i="1"/>
  <c r="K123" i="1"/>
  <c r="G123" i="1"/>
  <c r="E123" i="1"/>
  <c r="AL123" i="1" s="1"/>
  <c r="C123" i="1"/>
  <c r="AJ123" i="1" s="1"/>
  <c r="AE122" i="1"/>
  <c r="AC122" i="1"/>
  <c r="AA122" i="1"/>
  <c r="Y122" i="1"/>
  <c r="W122" i="1"/>
  <c r="U122" i="1"/>
  <c r="S122" i="1"/>
  <c r="Q122" i="1"/>
  <c r="O122" i="1"/>
  <c r="M122" i="1"/>
  <c r="K122" i="1"/>
  <c r="G122" i="1"/>
  <c r="E122" i="1"/>
  <c r="AL122" i="1" s="1"/>
  <c r="C122" i="1"/>
  <c r="AJ122" i="1" s="1"/>
  <c r="AE121" i="1"/>
  <c r="AC121" i="1"/>
  <c r="AA121" i="1"/>
  <c r="Y121" i="1"/>
  <c r="W121" i="1"/>
  <c r="U121" i="1"/>
  <c r="S121" i="1"/>
  <c r="Q121" i="1"/>
  <c r="O121" i="1"/>
  <c r="M121" i="1"/>
  <c r="K121" i="1"/>
  <c r="G121" i="1"/>
  <c r="E121" i="1"/>
  <c r="AL121" i="1" s="1"/>
  <c r="C121" i="1"/>
  <c r="AJ121" i="1" s="1"/>
  <c r="AE120" i="1"/>
  <c r="AC120" i="1"/>
  <c r="AA120" i="1"/>
  <c r="Y120" i="1"/>
  <c r="W120" i="1"/>
  <c r="U120" i="1"/>
  <c r="S120" i="1"/>
  <c r="Q120" i="1"/>
  <c r="O120" i="1"/>
  <c r="M120" i="1"/>
  <c r="K120" i="1"/>
  <c r="G120" i="1"/>
  <c r="E120" i="1"/>
  <c r="AL120" i="1" s="1"/>
  <c r="C120" i="1"/>
  <c r="AJ120" i="1" s="1"/>
  <c r="AE119" i="1"/>
  <c r="AC119" i="1"/>
  <c r="AA119" i="1"/>
  <c r="Y119" i="1"/>
  <c r="W119" i="1"/>
  <c r="U119" i="1"/>
  <c r="S119" i="1"/>
  <c r="Q119" i="1"/>
  <c r="O119" i="1"/>
  <c r="M119" i="1"/>
  <c r="K119" i="1"/>
  <c r="G119" i="1"/>
  <c r="E119" i="1"/>
  <c r="AL119" i="1" s="1"/>
  <c r="C119" i="1"/>
  <c r="AJ119" i="1" s="1"/>
  <c r="AE118" i="1"/>
  <c r="AC118" i="1"/>
  <c r="AA118" i="1"/>
  <c r="Y118" i="1"/>
  <c r="W118" i="1"/>
  <c r="U118" i="1"/>
  <c r="S118" i="1"/>
  <c r="Q118" i="1"/>
  <c r="O118" i="1"/>
  <c r="M118" i="1"/>
  <c r="K118" i="1"/>
  <c r="G118" i="1"/>
  <c r="E118" i="1"/>
  <c r="AL118" i="1" s="1"/>
  <c r="C118" i="1"/>
  <c r="AJ118" i="1" s="1"/>
  <c r="AE117" i="1"/>
  <c r="AC117" i="1"/>
  <c r="AA117" i="1"/>
  <c r="Y117" i="1"/>
  <c r="W117" i="1"/>
  <c r="U117" i="1"/>
  <c r="S117" i="1"/>
  <c r="Q117" i="1"/>
  <c r="O117" i="1"/>
  <c r="M117" i="1"/>
  <c r="K117" i="1"/>
  <c r="G117" i="1"/>
  <c r="E117" i="1"/>
  <c r="AL117" i="1" s="1"/>
  <c r="C117" i="1"/>
  <c r="AJ117" i="1" s="1"/>
  <c r="AE116" i="1"/>
  <c r="AC116" i="1"/>
  <c r="AA116" i="1"/>
  <c r="Y116" i="1"/>
  <c r="W116" i="1"/>
  <c r="U116" i="1"/>
  <c r="S116" i="1"/>
  <c r="Q116" i="1"/>
  <c r="O116" i="1"/>
  <c r="M116" i="1"/>
  <c r="K116" i="1"/>
  <c r="G116" i="1"/>
  <c r="E116" i="1"/>
  <c r="AL116" i="1" s="1"/>
  <c r="C116" i="1"/>
  <c r="AJ116" i="1" s="1"/>
  <c r="AE115" i="1"/>
  <c r="AC115" i="1"/>
  <c r="AA115" i="1"/>
  <c r="Y115" i="1"/>
  <c r="W115" i="1"/>
  <c r="U115" i="1"/>
  <c r="S115" i="1"/>
  <c r="Q115" i="1"/>
  <c r="O115" i="1"/>
  <c r="M115" i="1"/>
  <c r="K115" i="1"/>
  <c r="G115" i="1"/>
  <c r="E115" i="1"/>
  <c r="AL115" i="1" s="1"/>
  <c r="C115" i="1"/>
  <c r="AJ115" i="1" s="1"/>
  <c r="AE114" i="1"/>
  <c r="AC114" i="1"/>
  <c r="AA114" i="1"/>
  <c r="Y114" i="1"/>
  <c r="W114" i="1"/>
  <c r="U114" i="1"/>
  <c r="S114" i="1"/>
  <c r="Q114" i="1"/>
  <c r="O114" i="1"/>
  <c r="M114" i="1"/>
  <c r="K114" i="1"/>
  <c r="G114" i="1"/>
  <c r="E114" i="1"/>
  <c r="AL114" i="1" s="1"/>
  <c r="C114" i="1"/>
  <c r="AJ114" i="1" s="1"/>
  <c r="AE113" i="1"/>
  <c r="AC113" i="1"/>
  <c r="AA113" i="1"/>
  <c r="Y113" i="1"/>
  <c r="W113" i="1"/>
  <c r="U113" i="1"/>
  <c r="S113" i="1"/>
  <c r="Q113" i="1"/>
  <c r="O113" i="1"/>
  <c r="M113" i="1"/>
  <c r="K113" i="1"/>
  <c r="G113" i="1"/>
  <c r="E113" i="1"/>
  <c r="AL113" i="1" s="1"/>
  <c r="C113" i="1"/>
  <c r="AJ113" i="1" s="1"/>
  <c r="AE112" i="1"/>
  <c r="AC112" i="1"/>
  <c r="AA112" i="1"/>
  <c r="Y112" i="1"/>
  <c r="W112" i="1"/>
  <c r="U112" i="1"/>
  <c r="S112" i="1"/>
  <c r="Q112" i="1"/>
  <c r="O112" i="1"/>
  <c r="M112" i="1"/>
  <c r="K112" i="1"/>
  <c r="G112" i="1"/>
  <c r="E112" i="1"/>
  <c r="AL112" i="1" s="1"/>
  <c r="C112" i="1"/>
  <c r="AJ112" i="1" s="1"/>
  <c r="AE111" i="1"/>
  <c r="AC111" i="1"/>
  <c r="AA111" i="1"/>
  <c r="Y111" i="1"/>
  <c r="W111" i="1"/>
  <c r="U111" i="1"/>
  <c r="S111" i="1"/>
  <c r="Q111" i="1"/>
  <c r="O111" i="1"/>
  <c r="M111" i="1"/>
  <c r="K111" i="1"/>
  <c r="G111" i="1"/>
  <c r="E111" i="1"/>
  <c r="AL111" i="1" s="1"/>
  <c r="C111" i="1"/>
  <c r="AJ111" i="1" s="1"/>
  <c r="AE110" i="1"/>
  <c r="AC110" i="1"/>
  <c r="AA110" i="1"/>
  <c r="Y110" i="1"/>
  <c r="W110" i="1"/>
  <c r="U110" i="1"/>
  <c r="S110" i="1"/>
  <c r="Q110" i="1"/>
  <c r="O110" i="1"/>
  <c r="M110" i="1"/>
  <c r="K110" i="1"/>
  <c r="G110" i="1"/>
  <c r="E110" i="1"/>
  <c r="AL110" i="1" s="1"/>
  <c r="C110" i="1"/>
  <c r="AJ110" i="1" s="1"/>
  <c r="AE109" i="1"/>
  <c r="AC109" i="1"/>
  <c r="AA109" i="1"/>
  <c r="Y109" i="1"/>
  <c r="W109" i="1"/>
  <c r="U109" i="1"/>
  <c r="S109" i="1"/>
  <c r="Q109" i="1"/>
  <c r="O109" i="1"/>
  <c r="M109" i="1"/>
  <c r="K109" i="1"/>
  <c r="G109" i="1"/>
  <c r="E109" i="1"/>
  <c r="AL109" i="1" s="1"/>
  <c r="C109" i="1"/>
  <c r="AJ109" i="1" s="1"/>
  <c r="AE108" i="1"/>
  <c r="AC108" i="1"/>
  <c r="AA108" i="1"/>
  <c r="Y108" i="1"/>
  <c r="W108" i="1"/>
  <c r="U108" i="1"/>
  <c r="S108" i="1"/>
  <c r="Q108" i="1"/>
  <c r="O108" i="1"/>
  <c r="M108" i="1"/>
  <c r="K108" i="1"/>
  <c r="G108" i="1"/>
  <c r="E108" i="1"/>
  <c r="AL108" i="1" s="1"/>
  <c r="C108" i="1"/>
  <c r="AJ108" i="1" s="1"/>
  <c r="AE107" i="1"/>
  <c r="AC107" i="1"/>
  <c r="AA107" i="1"/>
  <c r="Y107" i="1"/>
  <c r="W107" i="1"/>
  <c r="U107" i="1"/>
  <c r="S107" i="1"/>
  <c r="Q107" i="1"/>
  <c r="O107" i="1"/>
  <c r="M107" i="1"/>
  <c r="K107" i="1"/>
  <c r="G107" i="1"/>
  <c r="E107" i="1"/>
  <c r="AL107" i="1" s="1"/>
  <c r="C107" i="1"/>
  <c r="AJ107" i="1" s="1"/>
  <c r="AE106" i="1"/>
  <c r="AC106" i="1"/>
  <c r="AA106" i="1"/>
  <c r="Y106" i="1"/>
  <c r="W106" i="1"/>
  <c r="U106" i="1"/>
  <c r="S106" i="1"/>
  <c r="Q106" i="1"/>
  <c r="O106" i="1"/>
  <c r="M106" i="1"/>
  <c r="K106" i="1"/>
  <c r="G106" i="1"/>
  <c r="E106" i="1"/>
  <c r="AL106" i="1" s="1"/>
  <c r="C106" i="1"/>
  <c r="AJ106" i="1" s="1"/>
  <c r="AE105" i="1"/>
  <c r="AC105" i="1"/>
  <c r="AA105" i="1"/>
  <c r="Y105" i="1"/>
  <c r="W105" i="1"/>
  <c r="U105" i="1"/>
  <c r="S105" i="1"/>
  <c r="Q105" i="1"/>
  <c r="O105" i="1"/>
  <c r="M105" i="1"/>
  <c r="K105" i="1"/>
  <c r="G105" i="1"/>
  <c r="E105" i="1"/>
  <c r="AL105" i="1" s="1"/>
  <c r="C105" i="1"/>
  <c r="AJ105" i="1" s="1"/>
  <c r="AE104" i="1"/>
  <c r="AC104" i="1"/>
  <c r="AA104" i="1"/>
  <c r="Y104" i="1"/>
  <c r="W104" i="1"/>
  <c r="U104" i="1"/>
  <c r="S104" i="1"/>
  <c r="Q104" i="1"/>
  <c r="O104" i="1"/>
  <c r="M104" i="1"/>
  <c r="K104" i="1"/>
  <c r="G104" i="1"/>
  <c r="E104" i="1"/>
  <c r="AL104" i="1" s="1"/>
  <c r="C104" i="1"/>
  <c r="AJ104" i="1" s="1"/>
  <c r="AE103" i="1"/>
  <c r="AC103" i="1"/>
  <c r="AA103" i="1"/>
  <c r="Y103" i="1"/>
  <c r="W103" i="1"/>
  <c r="U103" i="1"/>
  <c r="S103" i="1"/>
  <c r="Q103" i="1"/>
  <c r="O103" i="1"/>
  <c r="M103" i="1"/>
  <c r="K103" i="1"/>
  <c r="G103" i="1"/>
  <c r="E103" i="1"/>
  <c r="AL103" i="1" s="1"/>
  <c r="C103" i="1"/>
  <c r="AJ103" i="1" s="1"/>
  <c r="AE102" i="1"/>
  <c r="AC102" i="1"/>
  <c r="AA102" i="1"/>
  <c r="Y102" i="1"/>
  <c r="W102" i="1"/>
  <c r="U102" i="1"/>
  <c r="S102" i="1"/>
  <c r="Q102" i="1"/>
  <c r="O102" i="1"/>
  <c r="M102" i="1"/>
  <c r="K102" i="1"/>
  <c r="G102" i="1"/>
  <c r="E102" i="1"/>
  <c r="AL102" i="1" s="1"/>
  <c r="C102" i="1"/>
  <c r="AJ102" i="1" s="1"/>
  <c r="AE101" i="1"/>
  <c r="AC101" i="1"/>
  <c r="AA101" i="1"/>
  <c r="Y101" i="1"/>
  <c r="W101" i="1"/>
  <c r="U101" i="1"/>
  <c r="S101" i="1"/>
  <c r="Q101" i="1"/>
  <c r="O101" i="1"/>
  <c r="M101" i="1"/>
  <c r="K101" i="1"/>
  <c r="G101" i="1"/>
  <c r="E101" i="1"/>
  <c r="AL101" i="1" s="1"/>
  <c r="C101" i="1"/>
  <c r="AJ101" i="1" s="1"/>
  <c r="AE100" i="1"/>
  <c r="AC100" i="1"/>
  <c r="AA100" i="1"/>
  <c r="Y100" i="1"/>
  <c r="W100" i="1"/>
  <c r="U100" i="1"/>
  <c r="S100" i="1"/>
  <c r="Q100" i="1"/>
  <c r="O100" i="1"/>
  <c r="M100" i="1"/>
  <c r="K100" i="1"/>
  <c r="G100" i="1"/>
  <c r="E100" i="1"/>
  <c r="AL100" i="1" s="1"/>
  <c r="C100" i="1"/>
  <c r="AJ100" i="1" s="1"/>
  <c r="AE99" i="1"/>
  <c r="AC99" i="1"/>
  <c r="AA99" i="1"/>
  <c r="Y99" i="1"/>
  <c r="W99" i="1"/>
  <c r="U99" i="1"/>
  <c r="S99" i="1"/>
  <c r="Q99" i="1"/>
  <c r="O99" i="1"/>
  <c r="M99" i="1"/>
  <c r="K99" i="1"/>
  <c r="G99" i="1"/>
  <c r="E99" i="1"/>
  <c r="AL99" i="1" s="1"/>
  <c r="C99" i="1"/>
  <c r="AJ99" i="1" s="1"/>
  <c r="AE98" i="1"/>
  <c r="AC98" i="1"/>
  <c r="AA98" i="1"/>
  <c r="Y98" i="1"/>
  <c r="W98" i="1"/>
  <c r="U98" i="1"/>
  <c r="S98" i="1"/>
  <c r="Q98" i="1"/>
  <c r="O98" i="1"/>
  <c r="M98" i="1"/>
  <c r="K98" i="1"/>
  <c r="G98" i="1"/>
  <c r="E98" i="1"/>
  <c r="AL98" i="1" s="1"/>
  <c r="C98" i="1"/>
  <c r="AJ98" i="1" s="1"/>
  <c r="AE97" i="1"/>
  <c r="AC97" i="1"/>
  <c r="AA97" i="1"/>
  <c r="Y97" i="1"/>
  <c r="W97" i="1"/>
  <c r="U97" i="1"/>
  <c r="S97" i="1"/>
  <c r="Q97" i="1"/>
  <c r="O97" i="1"/>
  <c r="M97" i="1"/>
  <c r="K97" i="1"/>
  <c r="G97" i="1"/>
  <c r="E97" i="1"/>
  <c r="AL97" i="1" s="1"/>
  <c r="C97" i="1"/>
  <c r="AJ97" i="1" s="1"/>
  <c r="AE96" i="1"/>
  <c r="AC96" i="1"/>
  <c r="AA96" i="1"/>
  <c r="Y96" i="1"/>
  <c r="W96" i="1"/>
  <c r="U96" i="1"/>
  <c r="S96" i="1"/>
  <c r="Q96" i="1"/>
  <c r="O96" i="1"/>
  <c r="M96" i="1"/>
  <c r="K96" i="1"/>
  <c r="G96" i="1"/>
  <c r="E96" i="1"/>
  <c r="AL96" i="1" s="1"/>
  <c r="C96" i="1"/>
  <c r="AJ96" i="1" s="1"/>
  <c r="AE95" i="1"/>
  <c r="AC95" i="1"/>
  <c r="AA95" i="1"/>
  <c r="Y95" i="1"/>
  <c r="W95" i="1"/>
  <c r="U95" i="1"/>
  <c r="S95" i="1"/>
  <c r="Q95" i="1"/>
  <c r="O95" i="1"/>
  <c r="M95" i="1"/>
  <c r="K95" i="1"/>
  <c r="G95" i="1"/>
  <c r="E95" i="1"/>
  <c r="AL95" i="1" s="1"/>
  <c r="C95" i="1"/>
  <c r="AJ95" i="1" s="1"/>
  <c r="AE94" i="1"/>
  <c r="AC94" i="1"/>
  <c r="AA94" i="1"/>
  <c r="Y94" i="1"/>
  <c r="W94" i="1"/>
  <c r="U94" i="1"/>
  <c r="S94" i="1"/>
  <c r="Q94" i="1"/>
  <c r="O94" i="1"/>
  <c r="M94" i="1"/>
  <c r="K94" i="1"/>
  <c r="G94" i="1"/>
  <c r="E94" i="1"/>
  <c r="AL94" i="1" s="1"/>
  <c r="C94" i="1"/>
  <c r="AJ94" i="1" s="1"/>
  <c r="AE93" i="1"/>
  <c r="AC93" i="1"/>
  <c r="AA93" i="1"/>
  <c r="Y93" i="1"/>
  <c r="W93" i="1"/>
  <c r="U93" i="1"/>
  <c r="S93" i="1"/>
  <c r="Q93" i="1"/>
  <c r="O93" i="1"/>
  <c r="M93" i="1"/>
  <c r="K93" i="1"/>
  <c r="G93" i="1"/>
  <c r="E93" i="1"/>
  <c r="AL93" i="1" s="1"/>
  <c r="C93" i="1"/>
  <c r="AJ93" i="1" s="1"/>
  <c r="AE92" i="1"/>
  <c r="AC92" i="1"/>
  <c r="AA92" i="1"/>
  <c r="Y92" i="1"/>
  <c r="W92" i="1"/>
  <c r="U92" i="1"/>
  <c r="S92" i="1"/>
  <c r="Q92" i="1"/>
  <c r="O92" i="1"/>
  <c r="M92" i="1"/>
  <c r="K92" i="1"/>
  <c r="G92" i="1"/>
  <c r="E92" i="1"/>
  <c r="AL92" i="1" s="1"/>
  <c r="C92" i="1"/>
  <c r="AJ92" i="1" s="1"/>
  <c r="AE91" i="1"/>
  <c r="AC91" i="1"/>
  <c r="AA91" i="1"/>
  <c r="Y91" i="1"/>
  <c r="W91" i="1"/>
  <c r="U91" i="1"/>
  <c r="S91" i="1"/>
  <c r="Q91" i="1"/>
  <c r="O91" i="1"/>
  <c r="M91" i="1"/>
  <c r="K91" i="1"/>
  <c r="G91" i="1"/>
  <c r="E91" i="1"/>
  <c r="AL91" i="1" s="1"/>
  <c r="C91" i="1"/>
  <c r="AJ91" i="1" s="1"/>
  <c r="AE90" i="1"/>
  <c r="AC90" i="1"/>
  <c r="AA90" i="1"/>
  <c r="Y90" i="1"/>
  <c r="W90" i="1"/>
  <c r="U90" i="1"/>
  <c r="S90" i="1"/>
  <c r="Q90" i="1"/>
  <c r="O90" i="1"/>
  <c r="M90" i="1"/>
  <c r="K90" i="1"/>
  <c r="G90" i="1"/>
  <c r="E90" i="1"/>
  <c r="AL90" i="1" s="1"/>
  <c r="C90" i="1"/>
  <c r="AJ90" i="1" s="1"/>
  <c r="AE89" i="1"/>
  <c r="AC89" i="1"/>
  <c r="AA89" i="1"/>
  <c r="Y89" i="1"/>
  <c r="W89" i="1"/>
  <c r="U89" i="1"/>
  <c r="S89" i="1"/>
  <c r="Q89" i="1"/>
  <c r="O89" i="1"/>
  <c r="M89" i="1"/>
  <c r="K89" i="1"/>
  <c r="G89" i="1"/>
  <c r="E89" i="1"/>
  <c r="AL89" i="1" s="1"/>
  <c r="C89" i="1"/>
  <c r="AJ89" i="1" s="1"/>
  <c r="AE88" i="1"/>
  <c r="AC88" i="1"/>
  <c r="AA88" i="1"/>
  <c r="Y88" i="1"/>
  <c r="W88" i="1"/>
  <c r="U88" i="1"/>
  <c r="S88" i="1"/>
  <c r="Q88" i="1"/>
  <c r="O88" i="1"/>
  <c r="M88" i="1"/>
  <c r="K88" i="1"/>
  <c r="G88" i="1"/>
  <c r="E88" i="1"/>
  <c r="AL88" i="1" s="1"/>
  <c r="C88" i="1"/>
  <c r="AJ88" i="1" s="1"/>
  <c r="AE87" i="1"/>
  <c r="AC87" i="1"/>
  <c r="AA87" i="1"/>
  <c r="Y87" i="1"/>
  <c r="W87" i="1"/>
  <c r="U87" i="1"/>
  <c r="S87" i="1"/>
  <c r="Q87" i="1"/>
  <c r="O87" i="1"/>
  <c r="M87" i="1"/>
  <c r="K87" i="1"/>
  <c r="G87" i="1"/>
  <c r="E87" i="1"/>
  <c r="AL87" i="1" s="1"/>
  <c r="C87" i="1"/>
  <c r="AJ87" i="1" s="1"/>
  <c r="AE86" i="1"/>
  <c r="AC86" i="1"/>
  <c r="AA86" i="1"/>
  <c r="Y86" i="1"/>
  <c r="W86" i="1"/>
  <c r="U86" i="1"/>
  <c r="S86" i="1"/>
  <c r="Q86" i="1"/>
  <c r="O86" i="1"/>
  <c r="M86" i="1"/>
  <c r="K86" i="1"/>
  <c r="G86" i="1"/>
  <c r="E86" i="1"/>
  <c r="AL86" i="1" s="1"/>
  <c r="C86" i="1"/>
  <c r="AJ86" i="1" s="1"/>
  <c r="AE85" i="1"/>
  <c r="AC85" i="1"/>
  <c r="AA85" i="1"/>
  <c r="Y85" i="1"/>
  <c r="W85" i="1"/>
  <c r="U85" i="1"/>
  <c r="S85" i="1"/>
  <c r="Q85" i="1"/>
  <c r="O85" i="1"/>
  <c r="M85" i="1"/>
  <c r="K85" i="1"/>
  <c r="G85" i="1"/>
  <c r="E85" i="1"/>
  <c r="AL85" i="1" s="1"/>
  <c r="C85" i="1"/>
  <c r="AJ85" i="1" s="1"/>
  <c r="AE84" i="1"/>
  <c r="AC84" i="1"/>
  <c r="AA84" i="1"/>
  <c r="Y84" i="1"/>
  <c r="W84" i="1"/>
  <c r="U84" i="1"/>
  <c r="S84" i="1"/>
  <c r="Q84" i="1"/>
  <c r="O84" i="1"/>
  <c r="M84" i="1"/>
  <c r="K84" i="1"/>
  <c r="G84" i="1"/>
  <c r="E84" i="1"/>
  <c r="AL84" i="1" s="1"/>
  <c r="C84" i="1"/>
  <c r="AJ84" i="1" s="1"/>
  <c r="AE83" i="1"/>
  <c r="AC83" i="1"/>
  <c r="AA83" i="1"/>
  <c r="Y83" i="1"/>
  <c r="W83" i="1"/>
  <c r="U83" i="1"/>
  <c r="S83" i="1"/>
  <c r="Q83" i="1"/>
  <c r="O83" i="1"/>
  <c r="M83" i="1"/>
  <c r="K83" i="1"/>
  <c r="G83" i="1"/>
  <c r="E83" i="1"/>
  <c r="AL83" i="1" s="1"/>
  <c r="C83" i="1"/>
  <c r="AJ83" i="1" s="1"/>
  <c r="AE82" i="1"/>
  <c r="AC82" i="1"/>
  <c r="AA82" i="1"/>
  <c r="Y82" i="1"/>
  <c r="W82" i="1"/>
  <c r="U82" i="1"/>
  <c r="S82" i="1"/>
  <c r="Q82" i="1"/>
  <c r="O82" i="1"/>
  <c r="M82" i="1"/>
  <c r="K82" i="1"/>
  <c r="G82" i="1"/>
  <c r="E82" i="1"/>
  <c r="AL82" i="1" s="1"/>
  <c r="C82" i="1"/>
  <c r="AJ82" i="1" s="1"/>
  <c r="AF81" i="1"/>
  <c r="G81" i="1"/>
  <c r="E81" i="1"/>
  <c r="AL81" i="1" s="1"/>
  <c r="C81" i="1"/>
  <c r="AJ81" i="1" s="1"/>
  <c r="AF80" i="1"/>
  <c r="G80" i="1"/>
  <c r="E80" i="1"/>
  <c r="C80" i="1"/>
  <c r="AJ80" i="1" s="1"/>
  <c r="AF79" i="1"/>
  <c r="G79" i="1"/>
  <c r="E79" i="1"/>
  <c r="AL79" i="1" s="1"/>
  <c r="C79" i="1"/>
  <c r="AJ79" i="1" s="1"/>
  <c r="AF78" i="1"/>
  <c r="G78" i="1"/>
  <c r="E78" i="1"/>
  <c r="AL78" i="1" s="1"/>
  <c r="C78" i="1"/>
  <c r="AJ78" i="1" s="1"/>
  <c r="M77" i="1"/>
  <c r="AF77" i="1" s="1"/>
  <c r="G77" i="1"/>
  <c r="E77" i="1"/>
  <c r="AL77" i="1" s="1"/>
  <c r="C77" i="1"/>
  <c r="AJ77" i="1" s="1"/>
  <c r="M76" i="1"/>
  <c r="AF76" i="1" s="1"/>
  <c r="G76" i="1"/>
  <c r="E76" i="1"/>
  <c r="AL76" i="1" s="1"/>
  <c r="C76" i="1"/>
  <c r="AJ76" i="1" s="1"/>
  <c r="M75" i="1"/>
  <c r="AF75" i="1" s="1"/>
  <c r="G75" i="1"/>
  <c r="E75" i="1"/>
  <c r="AL75" i="1" s="1"/>
  <c r="C75" i="1"/>
  <c r="AJ75" i="1" s="1"/>
  <c r="M74" i="1"/>
  <c r="AF74" i="1" s="1"/>
  <c r="G74" i="1"/>
  <c r="E74" i="1"/>
  <c r="AL74" i="1" s="1"/>
  <c r="C74" i="1"/>
  <c r="AJ74" i="1" s="1"/>
  <c r="M73" i="1"/>
  <c r="AF73" i="1" s="1"/>
  <c r="G73" i="1"/>
  <c r="E73" i="1"/>
  <c r="AL73" i="1" s="1"/>
  <c r="C73" i="1"/>
  <c r="AJ73" i="1" s="1"/>
  <c r="AF72" i="1"/>
  <c r="G72" i="1"/>
  <c r="E72" i="1"/>
  <c r="AL72" i="1" s="1"/>
  <c r="C72" i="1"/>
  <c r="AJ72" i="1" s="1"/>
  <c r="M71" i="1"/>
  <c r="AF71" i="1" s="1"/>
  <c r="G71" i="1"/>
  <c r="E71" i="1"/>
  <c r="AL71" i="1" s="1"/>
  <c r="C71" i="1"/>
  <c r="AJ71" i="1" s="1"/>
  <c r="M70" i="1"/>
  <c r="AF70" i="1" s="1"/>
  <c r="G70" i="1"/>
  <c r="E70" i="1"/>
  <c r="AL70" i="1" s="1"/>
  <c r="C70" i="1"/>
  <c r="AJ70" i="1" s="1"/>
  <c r="AF69" i="1"/>
  <c r="G69" i="1"/>
  <c r="E69" i="1"/>
  <c r="C69" i="1"/>
  <c r="AJ69" i="1" s="1"/>
  <c r="AF68" i="1"/>
  <c r="G68" i="1"/>
  <c r="E68" i="1"/>
  <c r="AL68" i="1" s="1"/>
  <c r="C68" i="1"/>
  <c r="AJ68" i="1" s="1"/>
  <c r="AF67" i="1"/>
  <c r="M67" i="1"/>
  <c r="G67" i="1"/>
  <c r="E67" i="1"/>
  <c r="AL67" i="1" s="1"/>
  <c r="C67" i="1"/>
  <c r="AJ67" i="1" s="1"/>
  <c r="AF66" i="1"/>
  <c r="G66" i="1"/>
  <c r="E66" i="1"/>
  <c r="AL66" i="1" s="1"/>
  <c r="C66" i="1"/>
  <c r="AJ66" i="1" s="1"/>
  <c r="M65" i="1"/>
  <c r="AF65" i="1" s="1"/>
  <c r="G65" i="1"/>
  <c r="E65" i="1"/>
  <c r="AL65" i="1" s="1"/>
  <c r="C65" i="1"/>
  <c r="AF64" i="1"/>
  <c r="G64" i="1"/>
  <c r="E64" i="1"/>
  <c r="AL64" i="1" s="1"/>
  <c r="C64" i="1"/>
  <c r="AJ64" i="1" s="1"/>
  <c r="M63" i="1"/>
  <c r="AF63" i="1" s="1"/>
  <c r="G63" i="1"/>
  <c r="E63" i="1"/>
  <c r="AL63" i="1" s="1"/>
  <c r="C63" i="1"/>
  <c r="AJ63" i="1" s="1"/>
  <c r="M62" i="1"/>
  <c r="AF62" i="1" s="1"/>
  <c r="G62" i="1"/>
  <c r="E62" i="1"/>
  <c r="AL62" i="1" s="1"/>
  <c r="C62" i="1"/>
  <c r="AJ62" i="1" s="1"/>
  <c r="M61" i="1"/>
  <c r="AF61" i="1" s="1"/>
  <c r="G61" i="1"/>
  <c r="E61" i="1"/>
  <c r="AL61" i="1" s="1"/>
  <c r="C61" i="1"/>
  <c r="AJ61" i="1" s="1"/>
  <c r="M60" i="1"/>
  <c r="AF60" i="1" s="1"/>
  <c r="G60" i="1"/>
  <c r="E60" i="1"/>
  <c r="AL60" i="1" s="1"/>
  <c r="C60" i="1"/>
  <c r="AJ60" i="1" s="1"/>
  <c r="M59" i="1"/>
  <c r="AF59" i="1" s="1"/>
  <c r="G59" i="1"/>
  <c r="E59" i="1"/>
  <c r="AL59" i="1" s="1"/>
  <c r="C59" i="1"/>
  <c r="AJ59" i="1" s="1"/>
  <c r="M58" i="1"/>
  <c r="AF58" i="1" s="1"/>
  <c r="G58" i="1"/>
  <c r="E58" i="1"/>
  <c r="AL58" i="1" s="1"/>
  <c r="C58" i="1"/>
  <c r="AJ58" i="1" s="1"/>
  <c r="M57" i="1"/>
  <c r="AF57" i="1" s="1"/>
  <c r="G57" i="1"/>
  <c r="E57" i="1"/>
  <c r="AL57" i="1" s="1"/>
  <c r="C57" i="1"/>
  <c r="AJ57" i="1" s="1"/>
  <c r="M56" i="1"/>
  <c r="AF56" i="1" s="1"/>
  <c r="G56" i="1"/>
  <c r="E56" i="1"/>
  <c r="AL56" i="1" s="1"/>
  <c r="C56" i="1"/>
  <c r="AJ56" i="1" s="1"/>
  <c r="M55" i="1"/>
  <c r="AF55" i="1" s="1"/>
  <c r="G55" i="1"/>
  <c r="E55" i="1"/>
  <c r="AL55" i="1" s="1"/>
  <c r="C55" i="1"/>
  <c r="AJ55" i="1" s="1"/>
  <c r="M54" i="1"/>
  <c r="AF54" i="1" s="1"/>
  <c r="G54" i="1"/>
  <c r="E54" i="1"/>
  <c r="AL54" i="1" s="1"/>
  <c r="C54" i="1"/>
  <c r="AJ54" i="1" s="1"/>
  <c r="M53" i="1"/>
  <c r="AF53" i="1" s="1"/>
  <c r="G53" i="1"/>
  <c r="E53" i="1"/>
  <c r="AL53" i="1" s="1"/>
  <c r="C53" i="1"/>
  <c r="AJ53" i="1" s="1"/>
  <c r="M52" i="1"/>
  <c r="AF52" i="1" s="1"/>
  <c r="G52" i="1"/>
  <c r="E52" i="1"/>
  <c r="AL52" i="1" s="1"/>
  <c r="C52" i="1"/>
  <c r="AJ52" i="1" s="1"/>
  <c r="M51" i="1"/>
  <c r="AF51" i="1" s="1"/>
  <c r="G51" i="1"/>
  <c r="E51" i="1"/>
  <c r="AL51" i="1" s="1"/>
  <c r="C51" i="1"/>
  <c r="AJ51" i="1" s="1"/>
  <c r="M50" i="1"/>
  <c r="AF50" i="1" s="1"/>
  <c r="G50" i="1"/>
  <c r="E50" i="1"/>
  <c r="AL50" i="1" s="1"/>
  <c r="C50" i="1"/>
  <c r="AJ50" i="1" s="1"/>
  <c r="M49" i="1"/>
  <c r="AF49" i="1" s="1"/>
  <c r="G49" i="1"/>
  <c r="E49" i="1"/>
  <c r="AL49" i="1" s="1"/>
  <c r="C49" i="1"/>
  <c r="AJ49" i="1" s="1"/>
  <c r="M48" i="1"/>
  <c r="AF48" i="1" s="1"/>
  <c r="G48" i="1"/>
  <c r="E48" i="1"/>
  <c r="AL48" i="1" s="1"/>
  <c r="C48" i="1"/>
  <c r="AJ48" i="1" s="1"/>
  <c r="M47" i="1"/>
  <c r="AF47" i="1" s="1"/>
  <c r="G47" i="1"/>
  <c r="E47" i="1"/>
  <c r="AL47" i="1" s="1"/>
  <c r="C47" i="1"/>
  <c r="AJ47" i="1" s="1"/>
  <c r="M46" i="1"/>
  <c r="AF46" i="1" s="1"/>
  <c r="G46" i="1"/>
  <c r="E46" i="1"/>
  <c r="AL46" i="1" s="1"/>
  <c r="C46" i="1"/>
  <c r="AJ46" i="1" s="1"/>
  <c r="M45" i="1"/>
  <c r="AF45" i="1" s="1"/>
  <c r="G45" i="1"/>
  <c r="E45" i="1"/>
  <c r="AL45" i="1" s="1"/>
  <c r="C45" i="1"/>
  <c r="AJ45" i="1" s="1"/>
  <c r="M44" i="1"/>
  <c r="AF44" i="1" s="1"/>
  <c r="G44" i="1"/>
  <c r="E44" i="1"/>
  <c r="AL44" i="1" s="1"/>
  <c r="C44" i="1"/>
  <c r="AJ44" i="1" s="1"/>
  <c r="M43" i="1"/>
  <c r="AF43" i="1" s="1"/>
  <c r="G43" i="1"/>
  <c r="E43" i="1"/>
  <c r="AL43" i="1" s="1"/>
  <c r="C43" i="1"/>
  <c r="AJ43" i="1" s="1"/>
  <c r="M42" i="1"/>
  <c r="AF42" i="1" s="1"/>
  <c r="G42" i="1"/>
  <c r="E42" i="1"/>
  <c r="AL42" i="1" s="1"/>
  <c r="C42" i="1"/>
  <c r="AJ42" i="1" s="1"/>
  <c r="M41" i="1"/>
  <c r="AF41" i="1" s="1"/>
  <c r="G41" i="1"/>
  <c r="E41" i="1"/>
  <c r="AL41" i="1" s="1"/>
  <c r="C41" i="1"/>
  <c r="AJ41" i="1" s="1"/>
  <c r="M40" i="1"/>
  <c r="AF40" i="1" s="1"/>
  <c r="G40" i="1"/>
  <c r="E40" i="1"/>
  <c r="AL40" i="1" s="1"/>
  <c r="C40" i="1"/>
  <c r="AJ40" i="1" s="1"/>
  <c r="M39" i="1"/>
  <c r="AF39" i="1" s="1"/>
  <c r="G39" i="1"/>
  <c r="E39" i="1"/>
  <c r="AL39" i="1" s="1"/>
  <c r="C39" i="1"/>
  <c r="AJ39" i="1" s="1"/>
  <c r="M38" i="1"/>
  <c r="AF38" i="1" s="1"/>
  <c r="G38" i="1"/>
  <c r="E38" i="1"/>
  <c r="AL38" i="1" s="1"/>
  <c r="C38" i="1"/>
  <c r="AJ38" i="1" s="1"/>
  <c r="M37" i="1"/>
  <c r="AF37" i="1" s="1"/>
  <c r="G37" i="1"/>
  <c r="E37" i="1"/>
  <c r="AL37" i="1" s="1"/>
  <c r="C37" i="1"/>
  <c r="AJ37" i="1" s="1"/>
  <c r="M36" i="1"/>
  <c r="AF36" i="1" s="1"/>
  <c r="G36" i="1"/>
  <c r="E36" i="1"/>
  <c r="AL36" i="1" s="1"/>
  <c r="C36" i="1"/>
  <c r="AJ36" i="1" s="1"/>
  <c r="M35" i="1"/>
  <c r="AF35" i="1" s="1"/>
  <c r="G35" i="1"/>
  <c r="E35" i="1"/>
  <c r="AL35" i="1" s="1"/>
  <c r="C35" i="1"/>
  <c r="AJ35" i="1" s="1"/>
  <c r="M34" i="1"/>
  <c r="AF34" i="1" s="1"/>
  <c r="G34" i="1"/>
  <c r="E34" i="1"/>
  <c r="AL34" i="1" s="1"/>
  <c r="C34" i="1"/>
  <c r="AJ34" i="1" s="1"/>
  <c r="M33" i="1"/>
  <c r="AF33" i="1" s="1"/>
  <c r="G33" i="1"/>
  <c r="E33" i="1"/>
  <c r="AL33" i="1" s="1"/>
  <c r="C33" i="1"/>
  <c r="AJ33" i="1" s="1"/>
  <c r="M32" i="1"/>
  <c r="AF32" i="1" s="1"/>
  <c r="G32" i="1"/>
  <c r="E32" i="1"/>
  <c r="AL32" i="1" s="1"/>
  <c r="C32" i="1"/>
  <c r="AJ32" i="1" s="1"/>
  <c r="M31" i="1"/>
  <c r="AF31" i="1" s="1"/>
  <c r="G31" i="1"/>
  <c r="E31" i="1"/>
  <c r="AL31" i="1" s="1"/>
  <c r="C31" i="1"/>
  <c r="AJ31" i="1" s="1"/>
  <c r="M30" i="1"/>
  <c r="AF30" i="1" s="1"/>
  <c r="G30" i="1"/>
  <c r="E30" i="1"/>
  <c r="AL30" i="1" s="1"/>
  <c r="C30" i="1"/>
  <c r="AJ30" i="1" s="1"/>
  <c r="M29" i="1"/>
  <c r="AF29" i="1" s="1"/>
  <c r="G29" i="1"/>
  <c r="E29" i="1"/>
  <c r="AL29" i="1" s="1"/>
  <c r="C29" i="1"/>
  <c r="AJ29" i="1" s="1"/>
  <c r="M28" i="1"/>
  <c r="AF28" i="1" s="1"/>
  <c r="G28" i="1"/>
  <c r="E28" i="1"/>
  <c r="AL28" i="1" s="1"/>
  <c r="C28" i="1"/>
  <c r="AJ28" i="1" s="1"/>
  <c r="M27" i="1"/>
  <c r="AF27" i="1" s="1"/>
  <c r="G27" i="1"/>
  <c r="E27" i="1"/>
  <c r="AL27" i="1" s="1"/>
  <c r="C27" i="1"/>
  <c r="AJ27" i="1" s="1"/>
  <c r="M26" i="1"/>
  <c r="AF26" i="1" s="1"/>
  <c r="G26" i="1"/>
  <c r="E26" i="1"/>
  <c r="AL26" i="1" s="1"/>
  <c r="C26" i="1"/>
  <c r="AJ26" i="1" s="1"/>
  <c r="M25" i="1"/>
  <c r="AF25" i="1" s="1"/>
  <c r="G25" i="1"/>
  <c r="E25" i="1"/>
  <c r="AL25" i="1" s="1"/>
  <c r="C25" i="1"/>
  <c r="AJ25" i="1" s="1"/>
  <c r="M24" i="1"/>
  <c r="AF24" i="1" s="1"/>
  <c r="G24" i="1"/>
  <c r="E24" i="1"/>
  <c r="AL24" i="1" s="1"/>
  <c r="C24" i="1"/>
  <c r="AJ24" i="1" s="1"/>
  <c r="M23" i="1"/>
  <c r="AF23" i="1" s="1"/>
  <c r="G23" i="1"/>
  <c r="E23" i="1"/>
  <c r="AL23" i="1" s="1"/>
  <c r="C23" i="1"/>
  <c r="AJ23" i="1" s="1"/>
  <c r="M22" i="1"/>
  <c r="AF22" i="1" s="1"/>
  <c r="G22" i="1"/>
  <c r="E22" i="1"/>
  <c r="AL22" i="1" s="1"/>
  <c r="C22" i="1"/>
  <c r="AJ22" i="1" s="1"/>
  <c r="M21" i="1"/>
  <c r="AF21" i="1" s="1"/>
  <c r="G21" i="1"/>
  <c r="E21" i="1"/>
  <c r="AL21" i="1" s="1"/>
  <c r="C21" i="1"/>
  <c r="AJ21" i="1" s="1"/>
  <c r="M20" i="1"/>
  <c r="AF20" i="1" s="1"/>
  <c r="G20" i="1"/>
  <c r="E20" i="1"/>
  <c r="AL20" i="1" s="1"/>
  <c r="C20" i="1"/>
  <c r="AJ20" i="1" s="1"/>
  <c r="M19" i="1"/>
  <c r="AF19" i="1" s="1"/>
  <c r="G19" i="1"/>
  <c r="E19" i="1"/>
  <c r="AL19" i="1" s="1"/>
  <c r="C19" i="1"/>
  <c r="AJ19" i="1" s="1"/>
  <c r="AF18" i="1"/>
  <c r="M18" i="1"/>
  <c r="G18" i="1"/>
  <c r="E18" i="1"/>
  <c r="C18" i="1"/>
  <c r="AJ18" i="1" s="1"/>
  <c r="AF17" i="1"/>
  <c r="M17" i="1"/>
  <c r="G17" i="1"/>
  <c r="E17" i="1"/>
  <c r="C17" i="1"/>
  <c r="AJ17" i="1" s="1"/>
  <c r="AF16" i="1"/>
  <c r="M16" i="1"/>
  <c r="G16" i="1"/>
  <c r="E16" i="1"/>
  <c r="C16" i="1"/>
  <c r="AJ16" i="1" s="1"/>
  <c r="AF15" i="1"/>
  <c r="M15" i="1"/>
  <c r="G15" i="1"/>
  <c r="E15" i="1"/>
  <c r="C15" i="1"/>
  <c r="AJ15" i="1" s="1"/>
  <c r="AF14" i="1"/>
  <c r="M14" i="1"/>
  <c r="G14" i="1"/>
  <c r="E14" i="1"/>
  <c r="C14" i="1"/>
  <c r="AJ14" i="1" s="1"/>
  <c r="AF13" i="1"/>
  <c r="M13" i="1"/>
  <c r="G13" i="1"/>
  <c r="E13" i="1"/>
  <c r="C13" i="1"/>
  <c r="AJ13" i="1" s="1"/>
  <c r="AF12" i="1"/>
  <c r="M12" i="1"/>
  <c r="G12" i="1"/>
  <c r="E12" i="1"/>
  <c r="AL12" i="1" s="1"/>
  <c r="C12" i="1"/>
  <c r="AJ12" i="1" s="1"/>
  <c r="AF11" i="1"/>
  <c r="M11" i="1"/>
  <c r="G11" i="1"/>
  <c r="E11" i="1"/>
  <c r="AL11" i="1" s="1"/>
  <c r="C11" i="1"/>
  <c r="AJ11" i="1" s="1"/>
  <c r="AF10" i="1"/>
  <c r="M10" i="1"/>
  <c r="G10" i="1"/>
  <c r="E10" i="1"/>
  <c r="AL10" i="1" s="1"/>
  <c r="C10" i="1"/>
  <c r="AJ10" i="1" s="1"/>
  <c r="AF9" i="1"/>
  <c r="M9" i="1"/>
  <c r="G9" i="1"/>
  <c r="E9" i="1"/>
  <c r="AL9" i="1" s="1"/>
  <c r="C9" i="1"/>
  <c r="AJ9" i="1" s="1"/>
  <c r="AF8" i="1"/>
  <c r="M8" i="1"/>
  <c r="G8" i="1"/>
  <c r="E8" i="1"/>
  <c r="AL8" i="1" s="1"/>
  <c r="C8" i="1"/>
  <c r="AJ8" i="1" s="1"/>
  <c r="AF7" i="1"/>
  <c r="M7" i="1"/>
  <c r="G7" i="1"/>
  <c r="E7" i="1"/>
  <c r="AL7" i="1" s="1"/>
  <c r="C7" i="1"/>
  <c r="AJ7" i="1" s="1"/>
  <c r="AF6" i="1"/>
  <c r="M6" i="1"/>
  <c r="G6" i="1"/>
  <c r="E6" i="1"/>
  <c r="AL6" i="1" s="1"/>
  <c r="C6" i="1"/>
  <c r="AJ6" i="1" s="1"/>
  <c r="AF5" i="1"/>
  <c r="M5" i="1"/>
  <c r="G5" i="1"/>
  <c r="E5" i="1"/>
  <c r="AL5" i="1" s="1"/>
  <c r="C5" i="1"/>
  <c r="AJ5" i="1" s="1"/>
  <c r="AF4" i="1"/>
  <c r="G4" i="1"/>
  <c r="E4" i="1"/>
  <c r="C4" i="1"/>
  <c r="AD1" i="1"/>
  <c r="AB1" i="1"/>
  <c r="T1" i="1"/>
  <c r="L1" i="1"/>
  <c r="AW368" i="2"/>
  <c r="AV368" i="2"/>
  <c r="AS368" i="2"/>
  <c r="AR368" i="2"/>
  <c r="AQ368" i="2"/>
  <c r="AP368" i="2"/>
  <c r="AO368" i="2"/>
  <c r="AL368" i="2"/>
  <c r="AJ368" i="2"/>
  <c r="AF368" i="2"/>
  <c r="G368" i="2"/>
  <c r="C368" i="2"/>
  <c r="AJ367" i="2" s="1"/>
  <c r="AW367" i="2"/>
  <c r="AV367" i="2"/>
  <c r="AS367" i="2"/>
  <c r="AR367" i="2"/>
  <c r="AQ367" i="2"/>
  <c r="AP367" i="2"/>
  <c r="AO367" i="2"/>
  <c r="AL367" i="2"/>
  <c r="AF367" i="2"/>
  <c r="G367" i="2"/>
  <c r="C367" i="2"/>
  <c r="AJ366" i="2" s="1"/>
  <c r="AW366" i="2"/>
  <c r="AV366" i="2"/>
  <c r="AS366" i="2"/>
  <c r="AR366" i="2"/>
  <c r="AQ366" i="2"/>
  <c r="AP366" i="2"/>
  <c r="AO366" i="2"/>
  <c r="AL366" i="2"/>
  <c r="AF366" i="2"/>
  <c r="G366" i="2"/>
  <c r="C366" i="2"/>
  <c r="AJ365" i="2" s="1"/>
  <c r="AW365" i="2"/>
  <c r="AV365" i="2"/>
  <c r="AS365" i="2"/>
  <c r="AR365" i="2"/>
  <c r="AQ365" i="2"/>
  <c r="AP365" i="2"/>
  <c r="AO365" i="2"/>
  <c r="AL365" i="2"/>
  <c r="AF365" i="2"/>
  <c r="G365" i="2"/>
  <c r="C365" i="2"/>
  <c r="AJ364" i="2" s="1"/>
  <c r="AW364" i="2"/>
  <c r="AV364" i="2"/>
  <c r="AS364" i="2"/>
  <c r="AR364" i="2"/>
  <c r="AQ364" i="2"/>
  <c r="AP364" i="2"/>
  <c r="AO364" i="2"/>
  <c r="AL364" i="2"/>
  <c r="AF364" i="2"/>
  <c r="G364" i="2"/>
  <c r="C364" i="2"/>
  <c r="AJ363" i="2" s="1"/>
  <c r="AW363" i="2"/>
  <c r="AV363" i="2"/>
  <c r="AS363" i="2"/>
  <c r="AR363" i="2"/>
  <c r="AQ363" i="2"/>
  <c r="AP363" i="2"/>
  <c r="AO363" i="2"/>
  <c r="AL363" i="2"/>
  <c r="AF363" i="2"/>
  <c r="G363" i="2"/>
  <c r="C363" i="2"/>
  <c r="AJ362" i="2" s="1"/>
  <c r="AW362" i="2"/>
  <c r="AV362" i="2"/>
  <c r="AS362" i="2"/>
  <c r="AR362" i="2"/>
  <c r="AQ362" i="2"/>
  <c r="AP362" i="2"/>
  <c r="AO362" i="2"/>
  <c r="AL362" i="2"/>
  <c r="AF362" i="2"/>
  <c r="G362" i="2"/>
  <c r="C362" i="2"/>
  <c r="AJ361" i="2" s="1"/>
  <c r="AW361" i="2"/>
  <c r="AV361" i="2"/>
  <c r="AS361" i="2"/>
  <c r="AR361" i="2"/>
  <c r="AQ361" i="2"/>
  <c r="AP361" i="2"/>
  <c r="AO361" i="2"/>
  <c r="AL361" i="2"/>
  <c r="AF361" i="2"/>
  <c r="G361" i="2"/>
  <c r="C361" i="2"/>
  <c r="AJ360" i="2" s="1"/>
  <c r="AW360" i="2"/>
  <c r="AV360" i="2"/>
  <c r="AS360" i="2"/>
  <c r="AR360" i="2"/>
  <c r="AQ360" i="2"/>
  <c r="AP360" i="2"/>
  <c r="AO360" i="2"/>
  <c r="AL360" i="2"/>
  <c r="AF360" i="2"/>
  <c r="G360" i="2"/>
  <c r="C360" i="2"/>
  <c r="AJ359" i="2" s="1"/>
  <c r="AW359" i="2"/>
  <c r="AV359" i="2"/>
  <c r="AS359" i="2"/>
  <c r="AR359" i="2"/>
  <c r="AQ359" i="2"/>
  <c r="AP359" i="2"/>
  <c r="AO359" i="2"/>
  <c r="AL359" i="2"/>
  <c r="AF359" i="2"/>
  <c r="AK359" i="2" s="1"/>
  <c r="G359" i="2"/>
  <c r="C359" i="2"/>
  <c r="AJ358" i="2" s="1"/>
  <c r="AW358" i="2"/>
  <c r="AV358" i="2"/>
  <c r="AS358" i="2"/>
  <c r="AR358" i="2"/>
  <c r="AQ358" i="2"/>
  <c r="AP358" i="2"/>
  <c r="AO358" i="2"/>
  <c r="AL358" i="2"/>
  <c r="AF358" i="2"/>
  <c r="G358" i="2"/>
  <c r="C358" i="2"/>
  <c r="AJ357" i="2" s="1"/>
  <c r="AW357" i="2"/>
  <c r="AV357" i="2"/>
  <c r="AS357" i="2"/>
  <c r="AR357" i="2"/>
  <c r="AQ357" i="2"/>
  <c r="AP357" i="2"/>
  <c r="AO357" i="2"/>
  <c r="AL357" i="2"/>
  <c r="AF357" i="2"/>
  <c r="G357" i="2"/>
  <c r="C357" i="2"/>
  <c r="AJ356" i="2" s="1"/>
  <c r="AW356" i="2"/>
  <c r="AV356" i="2"/>
  <c r="AS356" i="2"/>
  <c r="AR356" i="2"/>
  <c r="AQ356" i="2"/>
  <c r="AP356" i="2"/>
  <c r="AO356" i="2"/>
  <c r="AL356" i="2"/>
  <c r="AF356" i="2"/>
  <c r="G356" i="2"/>
  <c r="C356" i="2"/>
  <c r="AJ355" i="2" s="1"/>
  <c r="AW355" i="2"/>
  <c r="AV355" i="2"/>
  <c r="AS355" i="2"/>
  <c r="AR355" i="2"/>
  <c r="AQ355" i="2"/>
  <c r="AP355" i="2"/>
  <c r="AO355" i="2"/>
  <c r="AL355" i="2"/>
  <c r="AF355" i="2"/>
  <c r="G355" i="2"/>
  <c r="C355" i="2"/>
  <c r="AJ354" i="2" s="1"/>
  <c r="AW354" i="2"/>
  <c r="AV354" i="2"/>
  <c r="AS354" i="2"/>
  <c r="AR354" i="2"/>
  <c r="AQ354" i="2"/>
  <c r="AP354" i="2"/>
  <c r="AO354" i="2"/>
  <c r="AL354" i="2"/>
  <c r="AF354" i="2"/>
  <c r="G354" i="2"/>
  <c r="C354" i="2"/>
  <c r="AJ353" i="2" s="1"/>
  <c r="AW353" i="2"/>
  <c r="AV353" i="2"/>
  <c r="AS353" i="2"/>
  <c r="AR353" i="2"/>
  <c r="AQ353" i="2"/>
  <c r="AP353" i="2"/>
  <c r="AO353" i="2"/>
  <c r="AL353" i="2"/>
  <c r="AF353" i="2"/>
  <c r="AK353" i="2" s="1"/>
  <c r="G353" i="2"/>
  <c r="C353" i="2"/>
  <c r="AW352" i="2"/>
  <c r="AV352" i="2"/>
  <c r="AS352" i="2"/>
  <c r="AR352" i="2"/>
  <c r="AQ352" i="2"/>
  <c r="AP352" i="2"/>
  <c r="AO352" i="2"/>
  <c r="AL352" i="2"/>
  <c r="AF352" i="2"/>
  <c r="G352" i="2"/>
  <c r="C352" i="2"/>
  <c r="AJ351" i="2" s="1"/>
  <c r="AW351" i="2"/>
  <c r="AV351" i="2"/>
  <c r="AS351" i="2"/>
  <c r="AR351" i="2"/>
  <c r="AQ351" i="2"/>
  <c r="AP351" i="2"/>
  <c r="AO351" i="2"/>
  <c r="AL351" i="2"/>
  <c r="AF351" i="2"/>
  <c r="G351" i="2"/>
  <c r="C351" i="2"/>
  <c r="AJ350" i="2" s="1"/>
  <c r="AW350" i="2"/>
  <c r="AV350" i="2"/>
  <c r="AS350" i="2"/>
  <c r="AR350" i="2"/>
  <c r="AQ350" i="2"/>
  <c r="AP350" i="2"/>
  <c r="AO350" i="2"/>
  <c r="AL350" i="2"/>
  <c r="AF350" i="2"/>
  <c r="G350" i="2"/>
  <c r="C350" i="2"/>
  <c r="AJ349" i="2" s="1"/>
  <c r="AW349" i="2"/>
  <c r="AV349" i="2"/>
  <c r="AS349" i="2"/>
  <c r="AR349" i="2"/>
  <c r="AQ349" i="2"/>
  <c r="AP349" i="2"/>
  <c r="AO349" i="2"/>
  <c r="AL349" i="2"/>
  <c r="AF349" i="2"/>
  <c r="G349" i="2"/>
  <c r="C349" i="2"/>
  <c r="AJ348" i="2" s="1"/>
  <c r="AW348" i="2"/>
  <c r="AV348" i="2"/>
  <c r="AS348" i="2"/>
  <c r="AR348" i="2"/>
  <c r="AQ348" i="2"/>
  <c r="AP348" i="2"/>
  <c r="AO348" i="2"/>
  <c r="AL348" i="2"/>
  <c r="AF348" i="2"/>
  <c r="G348" i="2"/>
  <c r="C348" i="2"/>
  <c r="AJ347" i="2" s="1"/>
  <c r="AW347" i="2"/>
  <c r="AV347" i="2"/>
  <c r="AS347" i="2"/>
  <c r="AR347" i="2"/>
  <c r="AQ347" i="2"/>
  <c r="AP347" i="2"/>
  <c r="AO347" i="2"/>
  <c r="AL347" i="2"/>
  <c r="AF347" i="2"/>
  <c r="G347" i="2"/>
  <c r="C347" i="2"/>
  <c r="AJ346" i="2" s="1"/>
  <c r="AW346" i="2"/>
  <c r="AV346" i="2"/>
  <c r="AS346" i="2"/>
  <c r="AR346" i="2"/>
  <c r="AQ346" i="2"/>
  <c r="AP346" i="2"/>
  <c r="AO346" i="2"/>
  <c r="AL346" i="2"/>
  <c r="AF346" i="2"/>
  <c r="G346" i="2"/>
  <c r="C346" i="2"/>
  <c r="AJ345" i="2" s="1"/>
  <c r="AW345" i="2"/>
  <c r="AV345" i="2"/>
  <c r="AS345" i="2"/>
  <c r="AR345" i="2"/>
  <c r="AQ345" i="2"/>
  <c r="AP345" i="2"/>
  <c r="AO345" i="2"/>
  <c r="AL345" i="2"/>
  <c r="AF345" i="2"/>
  <c r="G345" i="2"/>
  <c r="C345" i="2"/>
  <c r="AJ344" i="2" s="1"/>
  <c r="AW344" i="2"/>
  <c r="AV344" i="2"/>
  <c r="AS344" i="2"/>
  <c r="AR344" i="2"/>
  <c r="AQ344" i="2"/>
  <c r="AP344" i="2"/>
  <c r="AO344" i="2"/>
  <c r="AL344" i="2"/>
  <c r="AF344" i="2"/>
  <c r="G344" i="2"/>
  <c r="C344" i="2"/>
  <c r="AW343" i="2"/>
  <c r="AV343" i="2"/>
  <c r="AS343" i="2"/>
  <c r="AR343" i="2"/>
  <c r="AQ343" i="2"/>
  <c r="AP343" i="2"/>
  <c r="AO343" i="2"/>
  <c r="AL343" i="2"/>
  <c r="AF343" i="2"/>
  <c r="G343" i="2"/>
  <c r="C343" i="2"/>
  <c r="AJ342" i="2" s="1"/>
  <c r="AW342" i="2"/>
  <c r="AV342" i="2"/>
  <c r="AS342" i="2"/>
  <c r="AR342" i="2"/>
  <c r="AQ342" i="2"/>
  <c r="AP342" i="2"/>
  <c r="AO342" i="2"/>
  <c r="AL342" i="2"/>
  <c r="AF342" i="2"/>
  <c r="G342" i="2"/>
  <c r="C342" i="2"/>
  <c r="AJ341" i="2" s="1"/>
  <c r="AW341" i="2"/>
  <c r="AV341" i="2"/>
  <c r="AS341" i="2"/>
  <c r="AR341" i="2"/>
  <c r="AQ341" i="2"/>
  <c r="AP341" i="2"/>
  <c r="AO341" i="2"/>
  <c r="AL341" i="2"/>
  <c r="AF341" i="2"/>
  <c r="AK341" i="2" s="1"/>
  <c r="G341" i="2"/>
  <c r="C341" i="2"/>
  <c r="AW340" i="2"/>
  <c r="AV340" i="2"/>
  <c r="AS340" i="2"/>
  <c r="AR340" i="2"/>
  <c r="AQ340" i="2"/>
  <c r="AP340" i="2"/>
  <c r="AO340" i="2"/>
  <c r="AL340" i="2"/>
  <c r="AF340" i="2"/>
  <c r="G340" i="2"/>
  <c r="C340" i="2"/>
  <c r="AW339" i="2"/>
  <c r="AV339" i="2"/>
  <c r="AS339" i="2"/>
  <c r="AR339" i="2"/>
  <c r="AQ339" i="2"/>
  <c r="AP339" i="2"/>
  <c r="AO339" i="2"/>
  <c r="AL339" i="2"/>
  <c r="AF339" i="2"/>
  <c r="G339" i="2"/>
  <c r="C339" i="2"/>
  <c r="AJ338" i="2" s="1"/>
  <c r="AW338" i="2"/>
  <c r="AV338" i="2"/>
  <c r="AS338" i="2"/>
  <c r="AR338" i="2"/>
  <c r="AQ338" i="2"/>
  <c r="AP338" i="2"/>
  <c r="AO338" i="2"/>
  <c r="AL338" i="2"/>
  <c r="AF338" i="2"/>
  <c r="G338" i="2"/>
  <c r="C338" i="2"/>
  <c r="AW337" i="2"/>
  <c r="AV337" i="2"/>
  <c r="AS337" i="2"/>
  <c r="AR337" i="2"/>
  <c r="AQ337" i="2"/>
  <c r="AP337" i="2"/>
  <c r="AO337" i="2"/>
  <c r="AL337" i="2"/>
  <c r="AF337" i="2"/>
  <c r="AK337" i="2" s="1"/>
  <c r="G337" i="2"/>
  <c r="C337" i="2"/>
  <c r="AW336" i="2"/>
  <c r="AV336" i="2"/>
  <c r="AS336" i="2"/>
  <c r="AR336" i="2"/>
  <c r="AQ336" i="2"/>
  <c r="AP336" i="2"/>
  <c r="AO336" i="2"/>
  <c r="AL336" i="2"/>
  <c r="AF336" i="2"/>
  <c r="G336" i="2"/>
  <c r="C336" i="2"/>
  <c r="AW335" i="2"/>
  <c r="AV335" i="2"/>
  <c r="AS335" i="2"/>
  <c r="AR335" i="2"/>
  <c r="AQ335" i="2"/>
  <c r="AP335" i="2"/>
  <c r="AO335" i="2"/>
  <c r="AL335" i="2"/>
  <c r="AF335" i="2"/>
  <c r="G335" i="2"/>
  <c r="C335" i="2"/>
  <c r="AJ334" i="2" s="1"/>
  <c r="AW334" i="2"/>
  <c r="AV334" i="2"/>
  <c r="AS334" i="2"/>
  <c r="AR334" i="2"/>
  <c r="AQ334" i="2"/>
  <c r="AP334" i="2"/>
  <c r="AO334" i="2"/>
  <c r="AL334" i="2"/>
  <c r="AF334" i="2"/>
  <c r="G334" i="2"/>
  <c r="C334" i="2"/>
  <c r="AW333" i="2"/>
  <c r="AV333" i="2"/>
  <c r="AS333" i="2"/>
  <c r="AR333" i="2"/>
  <c r="AQ333" i="2"/>
  <c r="AP333" i="2"/>
  <c r="AO333" i="2"/>
  <c r="AL333" i="2"/>
  <c r="AF333" i="2"/>
  <c r="AK333" i="2" s="1"/>
  <c r="G333" i="2"/>
  <c r="C333" i="2"/>
  <c r="AW332" i="2"/>
  <c r="AV332" i="2"/>
  <c r="AS332" i="2"/>
  <c r="AR332" i="2"/>
  <c r="AQ332" i="2"/>
  <c r="AP332" i="2"/>
  <c r="AO332" i="2"/>
  <c r="AL332" i="2"/>
  <c r="AF332" i="2"/>
  <c r="G332" i="2"/>
  <c r="C332" i="2"/>
  <c r="AW331" i="2"/>
  <c r="AV331" i="2"/>
  <c r="AS331" i="2"/>
  <c r="AR331" i="2"/>
  <c r="AQ331" i="2"/>
  <c r="AP331" i="2"/>
  <c r="AO331" i="2"/>
  <c r="AL331" i="2"/>
  <c r="AF331" i="2"/>
  <c r="G331" i="2"/>
  <c r="C331" i="2"/>
  <c r="AJ330" i="2" s="1"/>
  <c r="AW330" i="2"/>
  <c r="AV330" i="2"/>
  <c r="AS330" i="2"/>
  <c r="AR330" i="2"/>
  <c r="AQ330" i="2"/>
  <c r="AP330" i="2"/>
  <c r="AO330" i="2"/>
  <c r="AL330" i="2"/>
  <c r="AF330" i="2"/>
  <c r="G330" i="2"/>
  <c r="C330" i="2"/>
  <c r="AW329" i="2"/>
  <c r="AV329" i="2"/>
  <c r="AS329" i="2"/>
  <c r="AR329" i="2"/>
  <c r="AQ329" i="2"/>
  <c r="AP329" i="2"/>
  <c r="AO329" i="2"/>
  <c r="AL329" i="2"/>
  <c r="AF329" i="2"/>
  <c r="AK329" i="2" s="1"/>
  <c r="G329" i="2"/>
  <c r="C329" i="2"/>
  <c r="AW328" i="2"/>
  <c r="AV328" i="2"/>
  <c r="AS328" i="2"/>
  <c r="AR328" i="2"/>
  <c r="AQ328" i="2"/>
  <c r="AP328" i="2"/>
  <c r="AO328" i="2"/>
  <c r="AL328" i="2"/>
  <c r="AF328" i="2"/>
  <c r="G328" i="2"/>
  <c r="C328" i="2"/>
  <c r="AW327" i="2"/>
  <c r="AV327" i="2"/>
  <c r="AS327" i="2"/>
  <c r="AR327" i="2"/>
  <c r="AQ327" i="2"/>
  <c r="AP327" i="2"/>
  <c r="AO327" i="2"/>
  <c r="AL327" i="2"/>
  <c r="AF327" i="2"/>
  <c r="G327" i="2"/>
  <c r="C327" i="2"/>
  <c r="AJ326" i="2" s="1"/>
  <c r="AW326" i="2"/>
  <c r="AV326" i="2"/>
  <c r="AS326" i="2"/>
  <c r="AR326" i="2"/>
  <c r="AQ326" i="2"/>
  <c r="AP326" i="2"/>
  <c r="AO326" i="2"/>
  <c r="AL326" i="2"/>
  <c r="AF326" i="2"/>
  <c r="G326" i="2"/>
  <c r="C326" i="2"/>
  <c r="AW325" i="2"/>
  <c r="AV325" i="2"/>
  <c r="AS325" i="2"/>
  <c r="AR325" i="2"/>
  <c r="AQ325" i="2"/>
  <c r="AP325" i="2"/>
  <c r="AO325" i="2"/>
  <c r="AL325" i="2"/>
  <c r="AF325" i="2"/>
  <c r="AK325" i="2" s="1"/>
  <c r="G325" i="2"/>
  <c r="C325" i="2"/>
  <c r="AW324" i="2"/>
  <c r="AV324" i="2"/>
  <c r="AS324" i="2"/>
  <c r="AR324" i="2"/>
  <c r="AQ324" i="2"/>
  <c r="AP324" i="2"/>
  <c r="AO324" i="2"/>
  <c r="AL324" i="2"/>
  <c r="AF324" i="2"/>
  <c r="G324" i="2"/>
  <c r="C324" i="2"/>
  <c r="AW323" i="2"/>
  <c r="AV323" i="2"/>
  <c r="AS323" i="2"/>
  <c r="AR323" i="2"/>
  <c r="AQ323" i="2"/>
  <c r="AP323" i="2"/>
  <c r="AO323" i="2"/>
  <c r="AL323" i="2"/>
  <c r="AF323" i="2"/>
  <c r="G323" i="2"/>
  <c r="C323" i="2"/>
  <c r="AJ322" i="2" s="1"/>
  <c r="AW322" i="2"/>
  <c r="AV322" i="2"/>
  <c r="AS322" i="2"/>
  <c r="AR322" i="2"/>
  <c r="AQ322" i="2"/>
  <c r="AP322" i="2"/>
  <c r="AO322" i="2"/>
  <c r="AL322" i="2"/>
  <c r="AF322" i="2"/>
  <c r="G322" i="2"/>
  <c r="C322" i="2"/>
  <c r="AW321" i="2"/>
  <c r="AV321" i="2"/>
  <c r="AS321" i="2"/>
  <c r="AR321" i="2"/>
  <c r="AQ321" i="2"/>
  <c r="AP321" i="2"/>
  <c r="AO321" i="2"/>
  <c r="AL321" i="2"/>
  <c r="AF321" i="2"/>
  <c r="AK321" i="2" s="1"/>
  <c r="G321" i="2"/>
  <c r="C321" i="2"/>
  <c r="AW320" i="2"/>
  <c r="AV320" i="2"/>
  <c r="AS320" i="2"/>
  <c r="AR320" i="2"/>
  <c r="AQ320" i="2"/>
  <c r="AP320" i="2"/>
  <c r="AO320" i="2"/>
  <c r="AL320" i="2"/>
  <c r="AF320" i="2"/>
  <c r="G320" i="2"/>
  <c r="C320" i="2"/>
  <c r="AW319" i="2"/>
  <c r="AV319" i="2"/>
  <c r="AS319" i="2"/>
  <c r="AR319" i="2"/>
  <c r="AQ319" i="2"/>
  <c r="AP319" i="2"/>
  <c r="AO319" i="2"/>
  <c r="AL319" i="2"/>
  <c r="AF319" i="2"/>
  <c r="G319" i="2"/>
  <c r="C319" i="2"/>
  <c r="AJ318" i="2" s="1"/>
  <c r="AW318" i="2"/>
  <c r="AV318" i="2"/>
  <c r="AS318" i="2"/>
  <c r="AR318" i="2"/>
  <c r="AQ318" i="2"/>
  <c r="AP318" i="2"/>
  <c r="AO318" i="2"/>
  <c r="AL318" i="2"/>
  <c r="AF318" i="2"/>
  <c r="G318" i="2"/>
  <c r="C318" i="2"/>
  <c r="AW317" i="2"/>
  <c r="AV317" i="2"/>
  <c r="AS317" i="2"/>
  <c r="AR317" i="2"/>
  <c r="AQ317" i="2"/>
  <c r="AP317" i="2"/>
  <c r="AO317" i="2"/>
  <c r="AL317" i="2"/>
  <c r="AF317" i="2"/>
  <c r="G317" i="2"/>
  <c r="C317" i="2"/>
  <c r="AW316" i="2"/>
  <c r="AV316" i="2"/>
  <c r="AS316" i="2"/>
  <c r="AR316" i="2"/>
  <c r="AQ316" i="2"/>
  <c r="AP316" i="2"/>
  <c r="AO316" i="2"/>
  <c r="AL316" i="2"/>
  <c r="AF316" i="2"/>
  <c r="G316" i="2"/>
  <c r="C316" i="2"/>
  <c r="AJ315" i="2" s="1"/>
  <c r="AW315" i="2"/>
  <c r="AV315" i="2"/>
  <c r="AS315" i="2"/>
  <c r="AR315" i="2"/>
  <c r="AQ315" i="2"/>
  <c r="AP315" i="2"/>
  <c r="AO315" i="2"/>
  <c r="AL315" i="2"/>
  <c r="AF315" i="2"/>
  <c r="G315" i="2"/>
  <c r="C315" i="2"/>
  <c r="AJ314" i="2" s="1"/>
  <c r="AW314" i="2"/>
  <c r="AV314" i="2"/>
  <c r="AS314" i="2"/>
  <c r="AR314" i="2"/>
  <c r="AQ314" i="2"/>
  <c r="AP314" i="2"/>
  <c r="AO314" i="2"/>
  <c r="AL314" i="2"/>
  <c r="AF314" i="2"/>
  <c r="G314" i="2"/>
  <c r="C314" i="2"/>
  <c r="AJ313" i="2" s="1"/>
  <c r="AW313" i="2"/>
  <c r="AV313" i="2"/>
  <c r="AS313" i="2"/>
  <c r="AR313" i="2"/>
  <c r="AQ313" i="2"/>
  <c r="AP313" i="2"/>
  <c r="AO313" i="2"/>
  <c r="AL313" i="2"/>
  <c r="AF313" i="2"/>
  <c r="G313" i="2"/>
  <c r="C313" i="2"/>
  <c r="AW312" i="2"/>
  <c r="AV312" i="2"/>
  <c r="AS312" i="2"/>
  <c r="AR312" i="2"/>
  <c r="AQ312" i="2"/>
  <c r="AP312" i="2"/>
  <c r="AO312" i="2"/>
  <c r="AL312" i="2"/>
  <c r="AF312" i="2"/>
  <c r="G312" i="2"/>
  <c r="C312" i="2"/>
  <c r="AJ311" i="2" s="1"/>
  <c r="AW311" i="2"/>
  <c r="AV311" i="2"/>
  <c r="AS311" i="2"/>
  <c r="AR311" i="2"/>
  <c r="AQ311" i="2"/>
  <c r="AP311" i="2"/>
  <c r="AO311" i="2"/>
  <c r="AL311" i="2"/>
  <c r="AF311" i="2"/>
  <c r="G311" i="2"/>
  <c r="C311" i="2"/>
  <c r="AJ310" i="2" s="1"/>
  <c r="AW310" i="2"/>
  <c r="AV310" i="2"/>
  <c r="AS310" i="2"/>
  <c r="AR310" i="2"/>
  <c r="AQ310" i="2"/>
  <c r="AP310" i="2"/>
  <c r="AO310" i="2"/>
  <c r="AL310" i="2"/>
  <c r="AF310" i="2"/>
  <c r="G310" i="2"/>
  <c r="C310" i="2"/>
  <c r="AJ309" i="2" s="1"/>
  <c r="AW309" i="2"/>
  <c r="AV309" i="2"/>
  <c r="AS309" i="2"/>
  <c r="AR309" i="2"/>
  <c r="AQ309" i="2"/>
  <c r="AP309" i="2"/>
  <c r="AO309" i="2"/>
  <c r="AL309" i="2"/>
  <c r="AF309" i="2"/>
  <c r="AK309" i="2" s="1"/>
  <c r="G309" i="2"/>
  <c r="C309" i="2"/>
  <c r="AW308" i="2"/>
  <c r="AV308" i="2"/>
  <c r="AS308" i="2"/>
  <c r="AR308" i="2"/>
  <c r="AQ308" i="2"/>
  <c r="AP308" i="2"/>
  <c r="AO308" i="2"/>
  <c r="AL308" i="2"/>
  <c r="AF308" i="2"/>
  <c r="G308" i="2"/>
  <c r="C308" i="2"/>
  <c r="AJ307" i="2" s="1"/>
  <c r="AW307" i="2"/>
  <c r="AV307" i="2"/>
  <c r="AS307" i="2"/>
  <c r="AR307" i="2"/>
  <c r="AQ307" i="2"/>
  <c r="AP307" i="2"/>
  <c r="AO307" i="2"/>
  <c r="AL307" i="2"/>
  <c r="AF307" i="2"/>
  <c r="G307" i="2"/>
  <c r="C307" i="2"/>
  <c r="B307" i="2"/>
  <c r="AL306" i="2" s="1"/>
  <c r="AW306" i="2"/>
  <c r="AV306" i="2"/>
  <c r="AS306" i="2"/>
  <c r="AR306" i="2"/>
  <c r="AQ306" i="2"/>
  <c r="AP306" i="2"/>
  <c r="AO306" i="2"/>
  <c r="AF306" i="2"/>
  <c r="G306" i="2"/>
  <c r="C306" i="2"/>
  <c r="B306" i="2"/>
  <c r="AL305" i="2" s="1"/>
  <c r="AW305" i="2"/>
  <c r="AV305" i="2"/>
  <c r="AS305" i="2"/>
  <c r="AR305" i="2"/>
  <c r="AQ305" i="2"/>
  <c r="AP305" i="2"/>
  <c r="AO305" i="2"/>
  <c r="AF305" i="2"/>
  <c r="G305" i="2"/>
  <c r="C305" i="2"/>
  <c r="B305" i="2"/>
  <c r="AW304" i="2"/>
  <c r="AV304" i="2"/>
  <c r="AS304" i="2"/>
  <c r="AR304" i="2"/>
  <c r="AQ304" i="2"/>
  <c r="AP304" i="2"/>
  <c r="AO304" i="2"/>
  <c r="AF304" i="2"/>
  <c r="AK304" i="2" s="1"/>
  <c r="G304" i="2"/>
  <c r="C304" i="2"/>
  <c r="B304" i="2"/>
  <c r="AL303" i="2" s="1"/>
  <c r="AW303" i="2"/>
  <c r="AV303" i="2"/>
  <c r="AS303" i="2"/>
  <c r="AR303" i="2"/>
  <c r="AQ303" i="2"/>
  <c r="AP303" i="2"/>
  <c r="AO303" i="2"/>
  <c r="AF303" i="2"/>
  <c r="G303" i="2"/>
  <c r="C303" i="2"/>
  <c r="B303" i="2"/>
  <c r="AL302" i="2" s="1"/>
  <c r="AW302" i="2"/>
  <c r="AV302" i="2"/>
  <c r="AS302" i="2"/>
  <c r="AR302" i="2"/>
  <c r="AQ302" i="2"/>
  <c r="AP302" i="2"/>
  <c r="AO302" i="2"/>
  <c r="AF302" i="2"/>
  <c r="AK302" i="2" s="1"/>
  <c r="G302" i="2"/>
  <c r="C302" i="2"/>
  <c r="B302" i="2"/>
  <c r="AL301" i="2" s="1"/>
  <c r="AW301" i="2"/>
  <c r="AV301" i="2"/>
  <c r="AS301" i="2"/>
  <c r="AR301" i="2"/>
  <c r="AQ301" i="2"/>
  <c r="AP301" i="2"/>
  <c r="AO301" i="2"/>
  <c r="AF301" i="2"/>
  <c r="G301" i="2"/>
  <c r="C301" i="2"/>
  <c r="B301" i="2"/>
  <c r="AW300" i="2"/>
  <c r="AV300" i="2"/>
  <c r="AS300" i="2"/>
  <c r="AR300" i="2"/>
  <c r="AQ300" i="2"/>
  <c r="AP300" i="2"/>
  <c r="AO300" i="2"/>
  <c r="AF300" i="2"/>
  <c r="G300" i="2"/>
  <c r="C300" i="2"/>
  <c r="B300" i="2"/>
  <c r="AL299" i="2" s="1"/>
  <c r="AW299" i="2"/>
  <c r="AV299" i="2"/>
  <c r="AS299" i="2"/>
  <c r="AR299" i="2"/>
  <c r="AQ299" i="2"/>
  <c r="AP299" i="2"/>
  <c r="AO299" i="2"/>
  <c r="AF299" i="2"/>
  <c r="G299" i="2"/>
  <c r="C299" i="2"/>
  <c r="B299" i="2"/>
  <c r="AL298" i="2" s="1"/>
  <c r="AW298" i="2"/>
  <c r="AV298" i="2"/>
  <c r="AS298" i="2"/>
  <c r="AR298" i="2"/>
  <c r="AQ298" i="2"/>
  <c r="AP298" i="2"/>
  <c r="AO298" i="2"/>
  <c r="AF298" i="2"/>
  <c r="G298" i="2"/>
  <c r="C298" i="2"/>
  <c r="B298" i="2"/>
  <c r="AL297" i="2" s="1"/>
  <c r="AW297" i="2"/>
  <c r="AV297" i="2"/>
  <c r="AS297" i="2"/>
  <c r="AR297" i="2"/>
  <c r="AQ297" i="2"/>
  <c r="AP297" i="2"/>
  <c r="AO297" i="2"/>
  <c r="AF297" i="2"/>
  <c r="G297" i="2"/>
  <c r="C297" i="2"/>
  <c r="B297" i="2"/>
  <c r="AL296" i="2" s="1"/>
  <c r="AW296" i="2"/>
  <c r="AV296" i="2"/>
  <c r="AS296" i="2"/>
  <c r="AR296" i="2"/>
  <c r="AQ296" i="2"/>
  <c r="AP296" i="2"/>
  <c r="AO296" i="2"/>
  <c r="AF296" i="2"/>
  <c r="G296" i="2"/>
  <c r="C296" i="2"/>
  <c r="B296" i="2"/>
  <c r="AL295" i="2" s="1"/>
  <c r="AW295" i="2"/>
  <c r="AV295" i="2"/>
  <c r="AS295" i="2"/>
  <c r="AR295" i="2"/>
  <c r="AQ295" i="2"/>
  <c r="AP295" i="2"/>
  <c r="AO295" i="2"/>
  <c r="AF295" i="2"/>
  <c r="G295" i="2"/>
  <c r="C295" i="2"/>
  <c r="B295" i="2"/>
  <c r="AL294" i="2" s="1"/>
  <c r="AW294" i="2"/>
  <c r="AV294" i="2"/>
  <c r="AS294" i="2"/>
  <c r="AR294" i="2"/>
  <c r="AQ294" i="2"/>
  <c r="AP294" i="2"/>
  <c r="AO294" i="2"/>
  <c r="AF294" i="2"/>
  <c r="G294" i="2"/>
  <c r="C294" i="2"/>
  <c r="B294" i="2"/>
  <c r="AL293" i="2" s="1"/>
  <c r="AW293" i="2"/>
  <c r="AV293" i="2"/>
  <c r="AS293" i="2"/>
  <c r="AR293" i="2"/>
  <c r="AQ293" i="2"/>
  <c r="AP293" i="2"/>
  <c r="AO293" i="2"/>
  <c r="AF293" i="2"/>
  <c r="AK293" i="2" s="1"/>
  <c r="G293" i="2"/>
  <c r="C293" i="2"/>
  <c r="B293" i="2"/>
  <c r="AL292" i="2" s="1"/>
  <c r="AW292" i="2"/>
  <c r="AV292" i="2"/>
  <c r="AS292" i="2"/>
  <c r="AR292" i="2"/>
  <c r="AQ292" i="2"/>
  <c r="AP292" i="2"/>
  <c r="AO292" i="2"/>
  <c r="AF292" i="2"/>
  <c r="G292" i="2"/>
  <c r="C292" i="2"/>
  <c r="B292" i="2"/>
  <c r="AL291" i="2" s="1"/>
  <c r="AW291" i="2"/>
  <c r="AV291" i="2"/>
  <c r="AS291" i="2"/>
  <c r="AR291" i="2"/>
  <c r="AQ291" i="2"/>
  <c r="AP291" i="2"/>
  <c r="AO291" i="2"/>
  <c r="AF291" i="2"/>
  <c r="G291" i="2"/>
  <c r="C291" i="2"/>
  <c r="B291" i="2"/>
  <c r="AL290" i="2" s="1"/>
  <c r="AW290" i="2"/>
  <c r="AV290" i="2"/>
  <c r="AS290" i="2"/>
  <c r="AR290" i="2"/>
  <c r="AQ290" i="2"/>
  <c r="AP290" i="2"/>
  <c r="AO290" i="2"/>
  <c r="AF290" i="2"/>
  <c r="G290" i="2"/>
  <c r="C290" i="2"/>
  <c r="B290" i="2"/>
  <c r="AL289" i="2" s="1"/>
  <c r="AW289" i="2"/>
  <c r="AV289" i="2"/>
  <c r="AS289" i="2"/>
  <c r="AR289" i="2"/>
  <c r="AQ289" i="2"/>
  <c r="AP289" i="2"/>
  <c r="AO289" i="2"/>
  <c r="AF289" i="2"/>
  <c r="AK289" i="2" s="1"/>
  <c r="G289" i="2"/>
  <c r="C289" i="2"/>
  <c r="B289" i="2"/>
  <c r="AL288" i="2" s="1"/>
  <c r="AW288" i="2"/>
  <c r="AV288" i="2"/>
  <c r="AS288" i="2"/>
  <c r="AR288" i="2"/>
  <c r="AQ288" i="2"/>
  <c r="AP288" i="2"/>
  <c r="AO288" i="2"/>
  <c r="AF288" i="2"/>
  <c r="G288" i="2"/>
  <c r="C288" i="2"/>
  <c r="B288" i="2"/>
  <c r="AL287" i="2" s="1"/>
  <c r="AW287" i="2"/>
  <c r="AV287" i="2"/>
  <c r="AS287" i="2"/>
  <c r="AR287" i="2"/>
  <c r="AQ287" i="2"/>
  <c r="AP287" i="2"/>
  <c r="AO287" i="2"/>
  <c r="AF287" i="2"/>
  <c r="AK287" i="2" s="1"/>
  <c r="G287" i="2"/>
  <c r="C287" i="2"/>
  <c r="B287" i="2"/>
  <c r="AL286" i="2" s="1"/>
  <c r="AW286" i="2"/>
  <c r="AV286" i="2"/>
  <c r="AS286" i="2"/>
  <c r="AR286" i="2"/>
  <c r="AQ286" i="2"/>
  <c r="AP286" i="2"/>
  <c r="AO286" i="2"/>
  <c r="AF286" i="2"/>
  <c r="G286" i="2"/>
  <c r="C286" i="2"/>
  <c r="B286" i="2"/>
  <c r="AL285" i="2" s="1"/>
  <c r="AW285" i="2"/>
  <c r="AV285" i="2"/>
  <c r="AS285" i="2"/>
  <c r="AR285" i="2"/>
  <c r="AQ285" i="2"/>
  <c r="AP285" i="2"/>
  <c r="AO285" i="2"/>
  <c r="AF285" i="2"/>
  <c r="AK285" i="2" s="1"/>
  <c r="G285" i="2"/>
  <c r="C285" i="2"/>
  <c r="B285" i="2"/>
  <c r="AL284" i="2" s="1"/>
  <c r="AW284" i="2"/>
  <c r="AV284" i="2"/>
  <c r="AS284" i="2"/>
  <c r="AR284" i="2"/>
  <c r="AQ284" i="2"/>
  <c r="AP284" i="2"/>
  <c r="AO284" i="2"/>
  <c r="AF284" i="2"/>
  <c r="G284" i="2"/>
  <c r="C284" i="2"/>
  <c r="B284" i="2"/>
  <c r="AL283" i="2" s="1"/>
  <c r="AW283" i="2"/>
  <c r="AV283" i="2"/>
  <c r="AS283" i="2"/>
  <c r="AR283" i="2"/>
  <c r="AQ283" i="2"/>
  <c r="AP283" i="2"/>
  <c r="AO283" i="2"/>
  <c r="AF283" i="2"/>
  <c r="G283" i="2"/>
  <c r="C283" i="2"/>
  <c r="B283" i="2"/>
  <c r="AL282" i="2" s="1"/>
  <c r="AW282" i="2"/>
  <c r="AV282" i="2"/>
  <c r="AS282" i="2"/>
  <c r="AR282" i="2"/>
  <c r="AQ282" i="2"/>
  <c r="AP282" i="2"/>
  <c r="AO282" i="2"/>
  <c r="AF282" i="2"/>
  <c r="G282" i="2"/>
  <c r="C282" i="2"/>
  <c r="B282" i="2"/>
  <c r="AL281" i="2" s="1"/>
  <c r="AW281" i="2"/>
  <c r="AV281" i="2"/>
  <c r="AS281" i="2"/>
  <c r="AR281" i="2"/>
  <c r="AQ281" i="2"/>
  <c r="AP281" i="2"/>
  <c r="AO281" i="2"/>
  <c r="AF281" i="2"/>
  <c r="G281" i="2"/>
  <c r="C281" i="2"/>
  <c r="B281" i="2"/>
  <c r="AL280" i="2" s="1"/>
  <c r="AW280" i="2"/>
  <c r="AV280" i="2"/>
  <c r="AS280" i="2"/>
  <c r="AR280" i="2"/>
  <c r="AQ280" i="2"/>
  <c r="AP280" i="2"/>
  <c r="AO280" i="2"/>
  <c r="AF280" i="2"/>
  <c r="G280" i="2"/>
  <c r="C280" i="2"/>
  <c r="B280" i="2"/>
  <c r="AW279" i="2"/>
  <c r="AV279" i="2"/>
  <c r="AS279" i="2"/>
  <c r="AR279" i="2"/>
  <c r="AQ279" i="2"/>
  <c r="AP279" i="2"/>
  <c r="AO279" i="2"/>
  <c r="AF279" i="2"/>
  <c r="G279" i="2"/>
  <c r="C279" i="2"/>
  <c r="B279" i="2"/>
  <c r="AL278" i="2" s="1"/>
  <c r="AW278" i="2"/>
  <c r="AV278" i="2"/>
  <c r="AS278" i="2"/>
  <c r="AR278" i="2"/>
  <c r="AQ278" i="2"/>
  <c r="AP278" i="2"/>
  <c r="AO278" i="2"/>
  <c r="AF278" i="2"/>
  <c r="G278" i="2"/>
  <c r="C278" i="2"/>
  <c r="B278" i="2"/>
  <c r="AL277" i="2" s="1"/>
  <c r="AW277" i="2"/>
  <c r="AV277" i="2"/>
  <c r="AS277" i="2"/>
  <c r="AR277" i="2"/>
  <c r="AQ277" i="2"/>
  <c r="AP277" i="2"/>
  <c r="AO277" i="2"/>
  <c r="AF277" i="2"/>
  <c r="G277" i="2"/>
  <c r="C277" i="2"/>
  <c r="B277" i="2"/>
  <c r="AL276" i="2" s="1"/>
  <c r="AW276" i="2"/>
  <c r="AV276" i="2"/>
  <c r="AS276" i="2"/>
  <c r="AR276" i="2"/>
  <c r="AQ276" i="2"/>
  <c r="AP276" i="2"/>
  <c r="AO276" i="2"/>
  <c r="AF276" i="2"/>
  <c r="G276" i="2"/>
  <c r="C276" i="2"/>
  <c r="B276" i="2"/>
  <c r="AL275" i="2" s="1"/>
  <c r="AW275" i="2"/>
  <c r="AV275" i="2"/>
  <c r="AS275" i="2"/>
  <c r="AR275" i="2"/>
  <c r="AQ275" i="2"/>
  <c r="AP275" i="2"/>
  <c r="AO275" i="2"/>
  <c r="AF275" i="2"/>
  <c r="G275" i="2"/>
  <c r="C275" i="2"/>
  <c r="B275" i="2"/>
  <c r="AL274" i="2" s="1"/>
  <c r="AW274" i="2"/>
  <c r="AV274" i="2"/>
  <c r="AS274" i="2"/>
  <c r="AR274" i="2"/>
  <c r="AQ274" i="2"/>
  <c r="AP274" i="2"/>
  <c r="AO274" i="2"/>
  <c r="AF274" i="2"/>
  <c r="G274" i="2"/>
  <c r="C274" i="2"/>
  <c r="B274" i="2"/>
  <c r="AL273" i="2" s="1"/>
  <c r="AW273" i="2"/>
  <c r="AV273" i="2"/>
  <c r="AS273" i="2"/>
  <c r="AR273" i="2"/>
  <c r="AQ273" i="2"/>
  <c r="AP273" i="2"/>
  <c r="AO273" i="2"/>
  <c r="AF273" i="2"/>
  <c r="AK273" i="2" s="1"/>
  <c r="G273" i="2"/>
  <c r="C273" i="2"/>
  <c r="B273" i="2"/>
  <c r="AL272" i="2" s="1"/>
  <c r="AW272" i="2"/>
  <c r="AV272" i="2"/>
  <c r="AS272" i="2"/>
  <c r="AR272" i="2"/>
  <c r="AQ272" i="2"/>
  <c r="AP272" i="2"/>
  <c r="AO272" i="2"/>
  <c r="AF272" i="2"/>
  <c r="G272" i="2"/>
  <c r="C272" i="2"/>
  <c r="B272" i="2"/>
  <c r="AL271" i="2" s="1"/>
  <c r="AW271" i="2"/>
  <c r="AV271" i="2"/>
  <c r="AS271" i="2"/>
  <c r="AR271" i="2"/>
  <c r="AQ271" i="2"/>
  <c r="AP271" i="2"/>
  <c r="AO271" i="2"/>
  <c r="AF271" i="2"/>
  <c r="G271" i="2"/>
  <c r="C271" i="2"/>
  <c r="B271" i="2"/>
  <c r="AL270" i="2" s="1"/>
  <c r="AW270" i="2"/>
  <c r="AV270" i="2"/>
  <c r="AS270" i="2"/>
  <c r="AR270" i="2"/>
  <c r="AQ270" i="2"/>
  <c r="AP270" i="2"/>
  <c r="AO270" i="2"/>
  <c r="AF270" i="2"/>
  <c r="AK270" i="2" s="1"/>
  <c r="G270" i="2"/>
  <c r="C270" i="2"/>
  <c r="B270" i="2"/>
  <c r="AL269" i="2" s="1"/>
  <c r="AW269" i="2"/>
  <c r="AV269" i="2"/>
  <c r="AS269" i="2"/>
  <c r="AR269" i="2"/>
  <c r="AQ269" i="2"/>
  <c r="AP269" i="2"/>
  <c r="AO269" i="2"/>
  <c r="AF269" i="2"/>
  <c r="AK269" i="2" s="1"/>
  <c r="G269" i="2"/>
  <c r="C269" i="2"/>
  <c r="B269" i="2"/>
  <c r="AL268" i="2" s="1"/>
  <c r="AW268" i="2"/>
  <c r="AV268" i="2"/>
  <c r="AS268" i="2"/>
  <c r="AR268" i="2"/>
  <c r="AQ268" i="2"/>
  <c r="AP268" i="2"/>
  <c r="AO268" i="2"/>
  <c r="AF268" i="2"/>
  <c r="G268" i="2"/>
  <c r="C268" i="2"/>
  <c r="B268" i="2"/>
  <c r="AL267" i="2" s="1"/>
  <c r="AW267" i="2"/>
  <c r="AV267" i="2"/>
  <c r="AS267" i="2"/>
  <c r="AR267" i="2"/>
  <c r="AQ267" i="2"/>
  <c r="AP267" i="2"/>
  <c r="AO267" i="2"/>
  <c r="AF267" i="2"/>
  <c r="G267" i="2"/>
  <c r="C267" i="2"/>
  <c r="B267" i="2"/>
  <c r="AL266" i="2" s="1"/>
  <c r="AW266" i="2"/>
  <c r="AV266" i="2"/>
  <c r="AS266" i="2"/>
  <c r="AR266" i="2"/>
  <c r="AQ266" i="2"/>
  <c r="AP266" i="2"/>
  <c r="AO266" i="2"/>
  <c r="AF266" i="2"/>
  <c r="G266" i="2"/>
  <c r="C266" i="2"/>
  <c r="B266" i="2"/>
  <c r="AL265" i="2" s="1"/>
  <c r="AW265" i="2"/>
  <c r="AV265" i="2"/>
  <c r="AS265" i="2"/>
  <c r="AR265" i="2"/>
  <c r="AQ265" i="2"/>
  <c r="AP265" i="2"/>
  <c r="AO265" i="2"/>
  <c r="AF265" i="2"/>
  <c r="AK265" i="2" s="1"/>
  <c r="G265" i="2"/>
  <c r="C265" i="2"/>
  <c r="B265" i="2"/>
  <c r="AL264" i="2" s="1"/>
  <c r="AW264" i="2"/>
  <c r="AV264" i="2"/>
  <c r="AS264" i="2"/>
  <c r="AR264" i="2"/>
  <c r="AQ264" i="2"/>
  <c r="AP264" i="2"/>
  <c r="AO264" i="2"/>
  <c r="AF264" i="2"/>
  <c r="G264" i="2"/>
  <c r="C264" i="2"/>
  <c r="B264" i="2"/>
  <c r="AL263" i="2" s="1"/>
  <c r="AW263" i="2"/>
  <c r="AV263" i="2"/>
  <c r="AS263" i="2"/>
  <c r="AR263" i="2"/>
  <c r="AQ263" i="2"/>
  <c r="AP263" i="2"/>
  <c r="AO263" i="2"/>
  <c r="AF263" i="2"/>
  <c r="G263" i="2"/>
  <c r="C263" i="2"/>
  <c r="B263" i="2"/>
  <c r="AL262" i="2" s="1"/>
  <c r="AW262" i="2"/>
  <c r="AV262" i="2"/>
  <c r="AS262" i="2"/>
  <c r="AR262" i="2"/>
  <c r="AQ262" i="2"/>
  <c r="AP262" i="2"/>
  <c r="AO262" i="2"/>
  <c r="AF262" i="2"/>
  <c r="G262" i="2"/>
  <c r="C262" i="2"/>
  <c r="B262" i="2"/>
  <c r="AL261" i="2" s="1"/>
  <c r="AW261" i="2"/>
  <c r="AV261" i="2"/>
  <c r="AS261" i="2"/>
  <c r="AR261" i="2"/>
  <c r="AQ261" i="2"/>
  <c r="AP261" i="2"/>
  <c r="AO261" i="2"/>
  <c r="AF261" i="2"/>
  <c r="G261" i="2"/>
  <c r="C261" i="2"/>
  <c r="B261" i="2"/>
  <c r="AL260" i="2" s="1"/>
  <c r="AW260" i="2"/>
  <c r="AV260" i="2"/>
  <c r="AS260" i="2"/>
  <c r="AR260" i="2"/>
  <c r="AQ260" i="2"/>
  <c r="AP260" i="2"/>
  <c r="AO260" i="2"/>
  <c r="AF260" i="2"/>
  <c r="G260" i="2"/>
  <c r="C260" i="2"/>
  <c r="B260" i="2"/>
  <c r="AL259" i="2" s="1"/>
  <c r="AW259" i="2"/>
  <c r="AV259" i="2"/>
  <c r="AS259" i="2"/>
  <c r="AR259" i="2"/>
  <c r="AQ259" i="2"/>
  <c r="AP259" i="2"/>
  <c r="AO259" i="2"/>
  <c r="AF259" i="2"/>
  <c r="G259" i="2"/>
  <c r="C259" i="2"/>
  <c r="B259" i="2"/>
  <c r="AL258" i="2" s="1"/>
  <c r="AW258" i="2"/>
  <c r="AV258" i="2"/>
  <c r="AS258" i="2"/>
  <c r="AR258" i="2"/>
  <c r="AQ258" i="2"/>
  <c r="AP258" i="2"/>
  <c r="AO258" i="2"/>
  <c r="AF258" i="2"/>
  <c r="AK258" i="2" s="1"/>
  <c r="G258" i="2"/>
  <c r="C258" i="2"/>
  <c r="B258" i="2"/>
  <c r="AL257" i="2" s="1"/>
  <c r="AW257" i="2"/>
  <c r="AV257" i="2"/>
  <c r="AS257" i="2"/>
  <c r="AR257" i="2"/>
  <c r="AQ257" i="2"/>
  <c r="AP257" i="2"/>
  <c r="AO257" i="2"/>
  <c r="AF257" i="2"/>
  <c r="AK257" i="2" s="1"/>
  <c r="G257" i="2"/>
  <c r="C257" i="2"/>
  <c r="B257" i="2"/>
  <c r="AL256" i="2" s="1"/>
  <c r="AW256" i="2"/>
  <c r="AV256" i="2"/>
  <c r="AS256" i="2"/>
  <c r="AR256" i="2"/>
  <c r="AQ256" i="2"/>
  <c r="AP256" i="2"/>
  <c r="AO256" i="2"/>
  <c r="AF256" i="2"/>
  <c r="G256" i="2"/>
  <c r="C256" i="2"/>
  <c r="B256" i="2"/>
  <c r="AW255" i="2"/>
  <c r="AV255" i="2"/>
  <c r="AS255" i="2"/>
  <c r="AR255" i="2"/>
  <c r="AQ255" i="2"/>
  <c r="AP255" i="2"/>
  <c r="AO255" i="2"/>
  <c r="AF255" i="2"/>
  <c r="G255" i="2"/>
  <c r="C255" i="2"/>
  <c r="B255" i="2"/>
  <c r="AL254" i="2" s="1"/>
  <c r="AW254" i="2"/>
  <c r="AV254" i="2"/>
  <c r="AS254" i="2"/>
  <c r="AR254" i="2"/>
  <c r="AQ254" i="2"/>
  <c r="AP254" i="2"/>
  <c r="AO254" i="2"/>
  <c r="AF254" i="2"/>
  <c r="G254" i="2"/>
  <c r="C254" i="2"/>
  <c r="B254" i="2"/>
  <c r="AL253" i="2" s="1"/>
  <c r="AW253" i="2"/>
  <c r="AV253" i="2"/>
  <c r="AS253" i="2"/>
  <c r="AR253" i="2"/>
  <c r="AQ253" i="2"/>
  <c r="AP253" i="2"/>
  <c r="AO253" i="2"/>
  <c r="AF253" i="2"/>
  <c r="G253" i="2"/>
  <c r="C253" i="2"/>
  <c r="B253" i="2"/>
  <c r="AL252" i="2" s="1"/>
  <c r="AW252" i="2"/>
  <c r="AV252" i="2"/>
  <c r="AS252" i="2"/>
  <c r="AR252" i="2"/>
  <c r="AQ252" i="2"/>
  <c r="AP252" i="2"/>
  <c r="AO252" i="2"/>
  <c r="AF252" i="2"/>
  <c r="G252" i="2"/>
  <c r="C252" i="2"/>
  <c r="B252" i="2"/>
  <c r="AL251" i="2" s="1"/>
  <c r="AW251" i="2"/>
  <c r="AV251" i="2"/>
  <c r="AS251" i="2"/>
  <c r="AR251" i="2"/>
  <c r="AQ251" i="2"/>
  <c r="AP251" i="2"/>
  <c r="AO251" i="2"/>
  <c r="AF251" i="2"/>
  <c r="G251" i="2"/>
  <c r="C251" i="2"/>
  <c r="B251" i="2"/>
  <c r="AW250" i="2"/>
  <c r="AV250" i="2"/>
  <c r="AS250" i="2"/>
  <c r="AR250" i="2"/>
  <c r="AQ250" i="2"/>
  <c r="AP250" i="2"/>
  <c r="AO250" i="2"/>
  <c r="AF250" i="2"/>
  <c r="G250" i="2"/>
  <c r="C250" i="2"/>
  <c r="B250" i="2"/>
  <c r="AW249" i="2"/>
  <c r="AV249" i="2"/>
  <c r="AS249" i="2"/>
  <c r="AR249" i="2"/>
  <c r="AQ249" i="2"/>
  <c r="AP249" i="2"/>
  <c r="AO249" i="2"/>
  <c r="AF249" i="2"/>
  <c r="AK249" i="2" s="1"/>
  <c r="G249" i="2"/>
  <c r="C249" i="2"/>
  <c r="B249" i="2"/>
  <c r="AL248" i="2" s="1"/>
  <c r="AW248" i="2"/>
  <c r="AV248" i="2"/>
  <c r="AS248" i="2"/>
  <c r="AR248" i="2"/>
  <c r="AQ248" i="2"/>
  <c r="AP248" i="2"/>
  <c r="AO248" i="2"/>
  <c r="AF248" i="2"/>
  <c r="G248" i="2"/>
  <c r="C248" i="2"/>
  <c r="B248" i="2"/>
  <c r="AL247" i="2" s="1"/>
  <c r="AW247" i="2"/>
  <c r="AV247" i="2"/>
  <c r="AS247" i="2"/>
  <c r="AR247" i="2"/>
  <c r="AQ247" i="2"/>
  <c r="AP247" i="2"/>
  <c r="AO247" i="2"/>
  <c r="AF247" i="2"/>
  <c r="G247" i="2"/>
  <c r="C247" i="2"/>
  <c r="B247" i="2"/>
  <c r="AW246" i="2"/>
  <c r="AV246" i="2"/>
  <c r="AS246" i="2"/>
  <c r="AR246" i="2"/>
  <c r="AQ246" i="2"/>
  <c r="AP246" i="2"/>
  <c r="AO246" i="2"/>
  <c r="AF246" i="2"/>
  <c r="G246" i="2"/>
  <c r="C246" i="2"/>
  <c r="B246" i="2"/>
  <c r="AL245" i="2" s="1"/>
  <c r="AW245" i="2"/>
  <c r="AV245" i="2"/>
  <c r="AS245" i="2"/>
  <c r="AR245" i="2"/>
  <c r="AQ245" i="2"/>
  <c r="AP245" i="2"/>
  <c r="AO245" i="2"/>
  <c r="AF245" i="2"/>
  <c r="AK245" i="2" s="1"/>
  <c r="G245" i="2"/>
  <c r="C245" i="2"/>
  <c r="B245" i="2"/>
  <c r="AL244" i="2" s="1"/>
  <c r="AW244" i="2"/>
  <c r="AV244" i="2"/>
  <c r="AS244" i="2"/>
  <c r="AR244" i="2"/>
  <c r="AQ244" i="2"/>
  <c r="AP244" i="2"/>
  <c r="AO244" i="2"/>
  <c r="AF244" i="2"/>
  <c r="G244" i="2"/>
  <c r="C244" i="2"/>
  <c r="B244" i="2"/>
  <c r="AL243" i="2" s="1"/>
  <c r="AW243" i="2"/>
  <c r="AV243" i="2"/>
  <c r="AS243" i="2"/>
  <c r="AR243" i="2"/>
  <c r="AQ243" i="2"/>
  <c r="AP243" i="2"/>
  <c r="AO243" i="2"/>
  <c r="AF243" i="2"/>
  <c r="G243" i="2"/>
  <c r="C243" i="2"/>
  <c r="B243" i="2"/>
  <c r="AW242" i="2"/>
  <c r="AV242" i="2"/>
  <c r="AS242" i="2"/>
  <c r="AR242" i="2"/>
  <c r="AQ242" i="2"/>
  <c r="AP242" i="2"/>
  <c r="AO242" i="2"/>
  <c r="AF242" i="2"/>
  <c r="G242" i="2"/>
  <c r="C242" i="2"/>
  <c r="B242" i="2"/>
  <c r="AL241" i="2" s="1"/>
  <c r="AW241" i="2"/>
  <c r="AV241" i="2"/>
  <c r="AS241" i="2"/>
  <c r="AR241" i="2"/>
  <c r="AQ241" i="2"/>
  <c r="AP241" i="2"/>
  <c r="AO241" i="2"/>
  <c r="AF241" i="2"/>
  <c r="AK241" i="2" s="1"/>
  <c r="G241" i="2"/>
  <c r="C241" i="2"/>
  <c r="B241" i="2"/>
  <c r="AL240" i="2" s="1"/>
  <c r="AW240" i="2"/>
  <c r="AV240" i="2"/>
  <c r="AS240" i="2"/>
  <c r="AR240" i="2"/>
  <c r="AQ240" i="2"/>
  <c r="AP240" i="2"/>
  <c r="AO240" i="2"/>
  <c r="AF240" i="2"/>
  <c r="G240" i="2"/>
  <c r="C240" i="2"/>
  <c r="B240" i="2"/>
  <c r="AL239" i="2" s="1"/>
  <c r="AW239" i="2"/>
  <c r="AV239" i="2"/>
  <c r="AS239" i="2"/>
  <c r="AR239" i="2"/>
  <c r="AQ239" i="2"/>
  <c r="AP239" i="2"/>
  <c r="AO239" i="2"/>
  <c r="AF239" i="2"/>
  <c r="G239" i="2"/>
  <c r="C239" i="2"/>
  <c r="B239" i="2"/>
  <c r="AL238" i="2" s="1"/>
  <c r="AW238" i="2"/>
  <c r="AV238" i="2"/>
  <c r="AS238" i="2"/>
  <c r="AR238" i="2"/>
  <c r="AQ238" i="2"/>
  <c r="AP238" i="2"/>
  <c r="AO238" i="2"/>
  <c r="AF238" i="2"/>
  <c r="G238" i="2"/>
  <c r="C238" i="2"/>
  <c r="B238" i="2"/>
  <c r="AW237" i="2"/>
  <c r="AV237" i="2"/>
  <c r="AS237" i="2"/>
  <c r="AR237" i="2"/>
  <c r="AQ237" i="2"/>
  <c r="AP237" i="2"/>
  <c r="AO237" i="2"/>
  <c r="AF237" i="2"/>
  <c r="AK237" i="2" s="1"/>
  <c r="G237" i="2"/>
  <c r="C237" i="2"/>
  <c r="B237" i="2"/>
  <c r="AL236" i="2" s="1"/>
  <c r="AW236" i="2"/>
  <c r="AV236" i="2"/>
  <c r="AS236" i="2"/>
  <c r="AR236" i="2"/>
  <c r="AQ236" i="2"/>
  <c r="AP236" i="2"/>
  <c r="AO236" i="2"/>
  <c r="AF236" i="2"/>
  <c r="G236" i="2"/>
  <c r="C236" i="2"/>
  <c r="B236" i="2"/>
  <c r="AL235" i="2" s="1"/>
  <c r="AW235" i="2"/>
  <c r="AV235" i="2"/>
  <c r="AS235" i="2"/>
  <c r="AR235" i="2"/>
  <c r="AQ235" i="2"/>
  <c r="AP235" i="2"/>
  <c r="AO235" i="2"/>
  <c r="AF235" i="2"/>
  <c r="G235" i="2"/>
  <c r="C235" i="2"/>
  <c r="B235" i="2"/>
  <c r="AL234" i="2" s="1"/>
  <c r="AW234" i="2"/>
  <c r="AV234" i="2"/>
  <c r="AS234" i="2"/>
  <c r="AR234" i="2"/>
  <c r="AQ234" i="2"/>
  <c r="AP234" i="2"/>
  <c r="AO234" i="2"/>
  <c r="AF234" i="2"/>
  <c r="G234" i="2"/>
  <c r="C234" i="2"/>
  <c r="B234" i="2"/>
  <c r="AL233" i="2" s="1"/>
  <c r="AW233" i="2"/>
  <c r="AV233" i="2"/>
  <c r="AS233" i="2"/>
  <c r="AR233" i="2"/>
  <c r="AQ233" i="2"/>
  <c r="AP233" i="2"/>
  <c r="AO233" i="2"/>
  <c r="AF233" i="2"/>
  <c r="G233" i="2"/>
  <c r="C233" i="2"/>
  <c r="B233" i="2"/>
  <c r="AL232" i="2" s="1"/>
  <c r="AW232" i="2"/>
  <c r="AV232" i="2"/>
  <c r="AS232" i="2"/>
  <c r="AR232" i="2"/>
  <c r="AQ232" i="2"/>
  <c r="AP232" i="2"/>
  <c r="AO232" i="2"/>
  <c r="AF232" i="2"/>
  <c r="AK232" i="2" s="1"/>
  <c r="G232" i="2"/>
  <c r="C232" i="2"/>
  <c r="B232" i="2"/>
  <c r="AW231" i="2"/>
  <c r="AV231" i="2"/>
  <c r="AS231" i="2"/>
  <c r="AR231" i="2"/>
  <c r="AQ231" i="2"/>
  <c r="AP231" i="2"/>
  <c r="AO231" i="2"/>
  <c r="AF231" i="2"/>
  <c r="G231" i="2"/>
  <c r="C231" i="2"/>
  <c r="B231" i="2"/>
  <c r="AL230" i="2" s="1"/>
  <c r="AW230" i="2"/>
  <c r="AV230" i="2"/>
  <c r="AS230" i="2"/>
  <c r="AR230" i="2"/>
  <c r="AQ230" i="2"/>
  <c r="AP230" i="2"/>
  <c r="AO230" i="2"/>
  <c r="AF230" i="2"/>
  <c r="AK230" i="2" s="1"/>
  <c r="G230" i="2"/>
  <c r="C230" i="2"/>
  <c r="B230" i="2"/>
  <c r="AL229" i="2" s="1"/>
  <c r="AW229" i="2"/>
  <c r="AV229" i="2"/>
  <c r="AS229" i="2"/>
  <c r="AR229" i="2"/>
  <c r="AQ229" i="2"/>
  <c r="AP229" i="2"/>
  <c r="AO229" i="2"/>
  <c r="AF229" i="2"/>
  <c r="G229" i="2"/>
  <c r="C229" i="2"/>
  <c r="B229" i="2"/>
  <c r="AL228" i="2" s="1"/>
  <c r="AW228" i="2"/>
  <c r="AV228" i="2"/>
  <c r="AS228" i="2"/>
  <c r="AR228" i="2"/>
  <c r="AQ228" i="2"/>
  <c r="AP228" i="2"/>
  <c r="AO228" i="2"/>
  <c r="AF228" i="2"/>
  <c r="AK228" i="2" s="1"/>
  <c r="G228" i="2"/>
  <c r="C228" i="2"/>
  <c r="B228" i="2"/>
  <c r="AW227" i="2"/>
  <c r="AV227" i="2"/>
  <c r="AS227" i="2"/>
  <c r="AR227" i="2"/>
  <c r="AQ227" i="2"/>
  <c r="AP227" i="2"/>
  <c r="AO227" i="2"/>
  <c r="AF227" i="2"/>
  <c r="G227" i="2"/>
  <c r="C227" i="2"/>
  <c r="B227" i="2"/>
  <c r="AL226" i="2" s="1"/>
  <c r="AW226" i="2"/>
  <c r="AV226" i="2"/>
  <c r="AS226" i="2"/>
  <c r="AR226" i="2"/>
  <c r="AQ226" i="2"/>
  <c r="AP226" i="2"/>
  <c r="AO226" i="2"/>
  <c r="AF226" i="2"/>
  <c r="G226" i="2"/>
  <c r="C226" i="2"/>
  <c r="B226" i="2"/>
  <c r="AL225" i="2" s="1"/>
  <c r="AW225" i="2"/>
  <c r="AV225" i="2"/>
  <c r="AS225" i="2"/>
  <c r="AR225" i="2"/>
  <c r="AQ225" i="2"/>
  <c r="AP225" i="2"/>
  <c r="AO225" i="2"/>
  <c r="AF225" i="2"/>
  <c r="C225" i="2"/>
  <c r="B225" i="2"/>
  <c r="AL224" i="2" s="1"/>
  <c r="AW224" i="2"/>
  <c r="AV224" i="2"/>
  <c r="AS224" i="2"/>
  <c r="AR224" i="2"/>
  <c r="AQ224" i="2"/>
  <c r="AP224" i="2"/>
  <c r="AO224" i="2"/>
  <c r="AF224" i="2"/>
  <c r="AK224" i="2" s="1"/>
  <c r="G224" i="2"/>
  <c r="C224" i="2"/>
  <c r="B224" i="2"/>
  <c r="AW223" i="2"/>
  <c r="AV223" i="2"/>
  <c r="AS223" i="2"/>
  <c r="AR223" i="2"/>
  <c r="AQ223" i="2"/>
  <c r="AP223" i="2"/>
  <c r="AO223" i="2"/>
  <c r="AF223" i="2"/>
  <c r="G223" i="2"/>
  <c r="C223" i="2"/>
  <c r="B223" i="2"/>
  <c r="AL222" i="2" s="1"/>
  <c r="AW222" i="2"/>
  <c r="AV222" i="2"/>
  <c r="AS222" i="2"/>
  <c r="AR222" i="2"/>
  <c r="AQ222" i="2"/>
  <c r="AP222" i="2"/>
  <c r="AO222" i="2"/>
  <c r="AF222" i="2"/>
  <c r="G222" i="2"/>
  <c r="C222" i="2"/>
  <c r="B222" i="2"/>
  <c r="AL221" i="2" s="1"/>
  <c r="AW221" i="2"/>
  <c r="AV221" i="2"/>
  <c r="AS221" i="2"/>
  <c r="AR221" i="2"/>
  <c r="AQ221" i="2"/>
  <c r="AP221" i="2"/>
  <c r="AO221" i="2"/>
  <c r="AF221" i="2"/>
  <c r="AK221" i="2" s="1"/>
  <c r="G221" i="2"/>
  <c r="C221" i="2"/>
  <c r="B221" i="2"/>
  <c r="AL220" i="2" s="1"/>
  <c r="AW220" i="2"/>
  <c r="AV220" i="2"/>
  <c r="AS220" i="2"/>
  <c r="AR220" i="2"/>
  <c r="AQ220" i="2"/>
  <c r="AP220" i="2"/>
  <c r="AO220" i="2"/>
  <c r="AF220" i="2"/>
  <c r="AK220" i="2" s="1"/>
  <c r="G220" i="2"/>
  <c r="C220" i="2"/>
  <c r="B220" i="2"/>
  <c r="AW219" i="2"/>
  <c r="AV219" i="2"/>
  <c r="AS219" i="2"/>
  <c r="AR219" i="2"/>
  <c r="AQ219" i="2"/>
  <c r="AP219" i="2"/>
  <c r="AO219" i="2"/>
  <c r="AF219" i="2"/>
  <c r="G219" i="2"/>
  <c r="C219" i="2"/>
  <c r="B219" i="2"/>
  <c r="AL218" i="2" s="1"/>
  <c r="AW218" i="2"/>
  <c r="AV218" i="2"/>
  <c r="AS218" i="2"/>
  <c r="AR218" i="2"/>
  <c r="AQ218" i="2"/>
  <c r="AP218" i="2"/>
  <c r="AO218" i="2"/>
  <c r="AF218" i="2"/>
  <c r="G218" i="2"/>
  <c r="C218" i="2"/>
  <c r="B218" i="2"/>
  <c r="AL217" i="2" s="1"/>
  <c r="AW217" i="2"/>
  <c r="AV217" i="2"/>
  <c r="AS217" i="2"/>
  <c r="AR217" i="2"/>
  <c r="AQ217" i="2"/>
  <c r="AP217" i="2"/>
  <c r="AO217" i="2"/>
  <c r="AF217" i="2"/>
  <c r="AK217" i="2" s="1"/>
  <c r="G217" i="2"/>
  <c r="C217" i="2"/>
  <c r="B217" i="2"/>
  <c r="AL216" i="2" s="1"/>
  <c r="AW216" i="2"/>
  <c r="AS216" i="2"/>
  <c r="AR216" i="2"/>
  <c r="AQ216" i="2"/>
  <c r="AO216" i="2"/>
  <c r="AF216" i="2"/>
  <c r="G216" i="2"/>
  <c r="B216" i="2"/>
  <c r="AW215" i="2"/>
  <c r="AV215" i="2"/>
  <c r="AS215" i="2"/>
  <c r="AR215" i="2"/>
  <c r="AQ215" i="2"/>
  <c r="AP215" i="2"/>
  <c r="AO215" i="2"/>
  <c r="AF215" i="2"/>
  <c r="G215" i="2"/>
  <c r="C215" i="2"/>
  <c r="B215" i="2"/>
  <c r="AL214" i="2" s="1"/>
  <c r="AW214" i="2"/>
  <c r="AV214" i="2"/>
  <c r="AS214" i="2"/>
  <c r="AR214" i="2"/>
  <c r="AQ214" i="2"/>
  <c r="AP214" i="2"/>
  <c r="AO214" i="2"/>
  <c r="AF214" i="2"/>
  <c r="G214" i="2"/>
  <c r="C214" i="2"/>
  <c r="B214" i="2"/>
  <c r="AL213" i="2" s="1"/>
  <c r="AW213" i="2"/>
  <c r="AV213" i="2"/>
  <c r="AS213" i="2"/>
  <c r="AR213" i="2"/>
  <c r="AQ213" i="2"/>
  <c r="AP213" i="2"/>
  <c r="AO213" i="2"/>
  <c r="AF213" i="2"/>
  <c r="G213" i="2"/>
  <c r="C213" i="2"/>
  <c r="B213" i="2"/>
  <c r="AL212" i="2" s="1"/>
  <c r="AW212" i="2"/>
  <c r="AV212" i="2"/>
  <c r="AS212" i="2"/>
  <c r="AR212" i="2"/>
  <c r="AQ212" i="2"/>
  <c r="AP212" i="2"/>
  <c r="AO212" i="2"/>
  <c r="AF212" i="2"/>
  <c r="AK212" i="2" s="1"/>
  <c r="G212" i="2"/>
  <c r="C212" i="2"/>
  <c r="B212" i="2"/>
  <c r="AW211" i="2"/>
  <c r="AV211" i="2"/>
  <c r="AS211" i="2"/>
  <c r="AR211" i="2"/>
  <c r="AQ211" i="2"/>
  <c r="AP211" i="2"/>
  <c r="AO211" i="2"/>
  <c r="AF211" i="2"/>
  <c r="G211" i="2"/>
  <c r="C211" i="2"/>
  <c r="B211" i="2"/>
  <c r="AL210" i="2" s="1"/>
  <c r="AW210" i="2"/>
  <c r="AV210" i="2"/>
  <c r="AS210" i="2"/>
  <c r="AR210" i="2"/>
  <c r="AQ210" i="2"/>
  <c r="AP210" i="2"/>
  <c r="AO210" i="2"/>
  <c r="AF210" i="2"/>
  <c r="G210" i="2"/>
  <c r="C210" i="2"/>
  <c r="B210" i="2"/>
  <c r="AL209" i="2" s="1"/>
  <c r="AW209" i="2"/>
  <c r="AV209" i="2"/>
  <c r="AS209" i="2"/>
  <c r="AR209" i="2"/>
  <c r="AQ209" i="2"/>
  <c r="AP209" i="2"/>
  <c r="AO209" i="2"/>
  <c r="AF209" i="2"/>
  <c r="AK209" i="2" s="1"/>
  <c r="G209" i="2"/>
  <c r="C209" i="2"/>
  <c r="B209" i="2"/>
  <c r="AL208" i="2" s="1"/>
  <c r="AW208" i="2"/>
  <c r="AV208" i="2"/>
  <c r="AS208" i="2"/>
  <c r="AR208" i="2"/>
  <c r="AQ208" i="2"/>
  <c r="AP208" i="2"/>
  <c r="AO208" i="2"/>
  <c r="AF208" i="2"/>
  <c r="AK208" i="2" s="1"/>
  <c r="G208" i="2"/>
  <c r="C208" i="2"/>
  <c r="B208" i="2"/>
  <c r="AW207" i="2"/>
  <c r="AV207" i="2"/>
  <c r="AS207" i="2"/>
  <c r="AR207" i="2"/>
  <c r="AQ207" i="2"/>
  <c r="AP207" i="2"/>
  <c r="AO207" i="2"/>
  <c r="AF207" i="2"/>
  <c r="G207" i="2"/>
  <c r="C207" i="2"/>
  <c r="B207" i="2"/>
  <c r="AL206" i="2" s="1"/>
  <c r="AW206" i="2"/>
  <c r="AV206" i="2"/>
  <c r="AS206" i="2"/>
  <c r="AR206" i="2"/>
  <c r="AQ206" i="2"/>
  <c r="AP206" i="2"/>
  <c r="AO206" i="2"/>
  <c r="AF206" i="2"/>
  <c r="G206" i="2"/>
  <c r="C206" i="2"/>
  <c r="B206" i="2"/>
  <c r="AL205" i="2" s="1"/>
  <c r="AW205" i="2"/>
  <c r="AV205" i="2"/>
  <c r="AS205" i="2"/>
  <c r="AR205" i="2"/>
  <c r="AQ205" i="2"/>
  <c r="AP205" i="2"/>
  <c r="AO205" i="2"/>
  <c r="AF205" i="2"/>
  <c r="G205" i="2"/>
  <c r="C205" i="2"/>
  <c r="B205" i="2"/>
  <c r="AL204" i="2" s="1"/>
  <c r="AW204" i="2"/>
  <c r="AV204" i="2"/>
  <c r="AS204" i="2"/>
  <c r="AR204" i="2"/>
  <c r="AQ204" i="2"/>
  <c r="AP204" i="2"/>
  <c r="AO204" i="2"/>
  <c r="AF204" i="2"/>
  <c r="AK204" i="2" s="1"/>
  <c r="G204" i="2"/>
  <c r="C204" i="2"/>
  <c r="B204" i="2"/>
  <c r="AW203" i="2"/>
  <c r="AV203" i="2"/>
  <c r="AS203" i="2"/>
  <c r="AR203" i="2"/>
  <c r="AQ203" i="2"/>
  <c r="AP203" i="2"/>
  <c r="AO203" i="2"/>
  <c r="AF203" i="2"/>
  <c r="G203" i="2"/>
  <c r="C203" i="2"/>
  <c r="B203" i="2"/>
  <c r="AL202" i="2" s="1"/>
  <c r="AW202" i="2"/>
  <c r="AV202" i="2"/>
  <c r="AS202" i="2"/>
  <c r="AR202" i="2"/>
  <c r="AQ202" i="2"/>
  <c r="AP202" i="2"/>
  <c r="AO202" i="2"/>
  <c r="AF202" i="2"/>
  <c r="G202" i="2"/>
  <c r="C202" i="2"/>
  <c r="B202" i="2"/>
  <c r="AL201" i="2" s="1"/>
  <c r="AW201" i="2"/>
  <c r="AV201" i="2"/>
  <c r="AS201" i="2"/>
  <c r="AR201" i="2"/>
  <c r="AQ201" i="2"/>
  <c r="AP201" i="2"/>
  <c r="AO201" i="2"/>
  <c r="AF201" i="2"/>
  <c r="AK201" i="2" s="1"/>
  <c r="G201" i="2"/>
  <c r="C201" i="2"/>
  <c r="B201" i="2"/>
  <c r="AL200" i="2" s="1"/>
  <c r="AW200" i="2"/>
  <c r="AV200" i="2"/>
  <c r="AS200" i="2"/>
  <c r="AR200" i="2"/>
  <c r="AQ200" i="2"/>
  <c r="AP200" i="2"/>
  <c r="AO200" i="2"/>
  <c r="AF200" i="2"/>
  <c r="AK200" i="2" s="1"/>
  <c r="G200" i="2"/>
  <c r="C200" i="2"/>
  <c r="B200" i="2"/>
  <c r="AW199" i="2"/>
  <c r="AV199" i="2"/>
  <c r="AS199" i="2"/>
  <c r="AR199" i="2"/>
  <c r="AQ199" i="2"/>
  <c r="AP199" i="2"/>
  <c r="AO199" i="2"/>
  <c r="AF199" i="2"/>
  <c r="G199" i="2"/>
  <c r="C199" i="2"/>
  <c r="B199" i="2"/>
  <c r="AL198" i="2" s="1"/>
  <c r="AW198" i="2"/>
  <c r="AV198" i="2"/>
  <c r="AS198" i="2"/>
  <c r="AR198" i="2"/>
  <c r="AQ198" i="2"/>
  <c r="AP198" i="2"/>
  <c r="AO198" i="2"/>
  <c r="AF198" i="2"/>
  <c r="G198" i="2"/>
  <c r="C198" i="2"/>
  <c r="B198" i="2"/>
  <c r="AW197" i="2"/>
  <c r="AV197" i="2"/>
  <c r="AS197" i="2"/>
  <c r="AR197" i="2"/>
  <c r="AQ197" i="2"/>
  <c r="AP197" i="2"/>
  <c r="AO197" i="2"/>
  <c r="AF197" i="2"/>
  <c r="G197" i="2"/>
  <c r="C197" i="2"/>
  <c r="B197" i="2"/>
  <c r="AL196" i="2" s="1"/>
  <c r="AW196" i="2"/>
  <c r="AV196" i="2"/>
  <c r="AS196" i="2"/>
  <c r="AR196" i="2"/>
  <c r="AQ196" i="2"/>
  <c r="AP196" i="2"/>
  <c r="AO196" i="2"/>
  <c r="AF196" i="2"/>
  <c r="AK196" i="2" s="1"/>
  <c r="G196" i="2"/>
  <c r="C196" i="2"/>
  <c r="B196" i="2"/>
  <c r="AW195" i="2"/>
  <c r="AV195" i="2"/>
  <c r="AS195" i="2"/>
  <c r="AR195" i="2"/>
  <c r="AQ195" i="2"/>
  <c r="AP195" i="2"/>
  <c r="AO195" i="2"/>
  <c r="AF195" i="2"/>
  <c r="G195" i="2"/>
  <c r="C195" i="2"/>
  <c r="B195" i="2"/>
  <c r="AL194" i="2" s="1"/>
  <c r="AW194" i="2"/>
  <c r="AV194" i="2"/>
  <c r="AS194" i="2"/>
  <c r="AR194" i="2"/>
  <c r="AQ194" i="2"/>
  <c r="AP194" i="2"/>
  <c r="AO194" i="2"/>
  <c r="AF194" i="2"/>
  <c r="G194" i="2"/>
  <c r="C194" i="2"/>
  <c r="B194" i="2"/>
  <c r="AW193" i="2"/>
  <c r="AV193" i="2"/>
  <c r="AS193" i="2"/>
  <c r="AR193" i="2"/>
  <c r="AQ193" i="2"/>
  <c r="AP193" i="2"/>
  <c r="AO193" i="2"/>
  <c r="AF193" i="2"/>
  <c r="G193" i="2"/>
  <c r="C193" i="2"/>
  <c r="B193" i="2"/>
  <c r="AL192" i="2" s="1"/>
  <c r="AW192" i="2"/>
  <c r="AV192" i="2"/>
  <c r="AS192" i="2"/>
  <c r="AR192" i="2"/>
  <c r="AQ192" i="2"/>
  <c r="AP192" i="2"/>
  <c r="AO192" i="2"/>
  <c r="AF192" i="2"/>
  <c r="AK192" i="2" s="1"/>
  <c r="G192" i="2"/>
  <c r="C192" i="2"/>
  <c r="B192" i="2"/>
  <c r="AW191" i="2"/>
  <c r="AV191" i="2"/>
  <c r="AS191" i="2"/>
  <c r="AR191" i="2"/>
  <c r="AQ191" i="2"/>
  <c r="AP191" i="2"/>
  <c r="AO191" i="2"/>
  <c r="AF191" i="2"/>
  <c r="G191" i="2"/>
  <c r="C191" i="2"/>
  <c r="B191" i="2"/>
  <c r="AL190" i="2" s="1"/>
  <c r="AW190" i="2"/>
  <c r="AV190" i="2"/>
  <c r="AS190" i="2"/>
  <c r="AR190" i="2"/>
  <c r="AQ190" i="2"/>
  <c r="AP190" i="2"/>
  <c r="AO190" i="2"/>
  <c r="AF190" i="2"/>
  <c r="G190" i="2"/>
  <c r="C190" i="2"/>
  <c r="B190" i="2"/>
  <c r="AL189" i="2" s="1"/>
  <c r="AW189" i="2"/>
  <c r="AV189" i="2"/>
  <c r="AS189" i="2"/>
  <c r="AR189" i="2"/>
  <c r="AQ189" i="2"/>
  <c r="AP189" i="2"/>
  <c r="AO189" i="2"/>
  <c r="AF189" i="2"/>
  <c r="AK189" i="2" s="1"/>
  <c r="G189" i="2"/>
  <c r="C189" i="2"/>
  <c r="B189" i="2"/>
  <c r="AL188" i="2" s="1"/>
  <c r="AW188" i="2"/>
  <c r="AV188" i="2"/>
  <c r="AS188" i="2"/>
  <c r="AR188" i="2"/>
  <c r="AQ188" i="2"/>
  <c r="AP188" i="2"/>
  <c r="AO188" i="2"/>
  <c r="AF188" i="2"/>
  <c r="AK188" i="2" s="1"/>
  <c r="G188" i="2"/>
  <c r="C188" i="2"/>
  <c r="B188" i="2"/>
  <c r="AL187" i="2" s="1"/>
  <c r="BH187" i="2"/>
  <c r="AW187" i="2"/>
  <c r="AV187" i="2"/>
  <c r="AS187" i="2"/>
  <c r="AR187" i="2"/>
  <c r="AQ187" i="2"/>
  <c r="AP187" i="2"/>
  <c r="AO187" i="2"/>
  <c r="AF187" i="2"/>
  <c r="G187" i="2"/>
  <c r="C187" i="2"/>
  <c r="B187" i="2"/>
  <c r="AL186" i="2" s="1"/>
  <c r="BJ186" i="2"/>
  <c r="BJ190" i="2" s="1"/>
  <c r="BH186" i="2"/>
  <c r="BH190" i="2" s="1"/>
  <c r="AW186" i="2"/>
  <c r="AV186" i="2"/>
  <c r="AS186" i="2"/>
  <c r="AR186" i="2"/>
  <c r="AQ186" i="2"/>
  <c r="AP186" i="2"/>
  <c r="AO186" i="2"/>
  <c r="AF186" i="2"/>
  <c r="G186" i="2"/>
  <c r="C186" i="2"/>
  <c r="B186" i="2"/>
  <c r="AL185" i="2" s="1"/>
  <c r="BJ185" i="2"/>
  <c r="BH185" i="2"/>
  <c r="AW185" i="2"/>
  <c r="AV185" i="2"/>
  <c r="AS185" i="2"/>
  <c r="AR185" i="2"/>
  <c r="AQ185" i="2"/>
  <c r="AO185" i="2"/>
  <c r="AF185" i="2"/>
  <c r="G185" i="2"/>
  <c r="C185" i="2"/>
  <c r="B185" i="2"/>
  <c r="AL184" i="2" s="1"/>
  <c r="AW184" i="2"/>
  <c r="AV184" i="2"/>
  <c r="AS184" i="2"/>
  <c r="AR184" i="2"/>
  <c r="AQ184" i="2"/>
  <c r="AP184" i="2"/>
  <c r="AO184" i="2"/>
  <c r="AF184" i="2"/>
  <c r="AK184" i="2" s="1"/>
  <c r="G184" i="2"/>
  <c r="C184" i="2"/>
  <c r="B184" i="2"/>
  <c r="AL183" i="2" s="1"/>
  <c r="AW183" i="2"/>
  <c r="AV183" i="2"/>
  <c r="AS183" i="2"/>
  <c r="AR183" i="2"/>
  <c r="AQ183" i="2"/>
  <c r="AP183" i="2"/>
  <c r="AO183" i="2"/>
  <c r="AF183" i="2"/>
  <c r="G183" i="2"/>
  <c r="C183" i="2"/>
  <c r="B183" i="2"/>
  <c r="AW182" i="2"/>
  <c r="AV182" i="2"/>
  <c r="AS182" i="2"/>
  <c r="AR182" i="2"/>
  <c r="AQ182" i="2"/>
  <c r="AP182" i="2"/>
  <c r="AO182" i="2"/>
  <c r="AF182" i="2"/>
  <c r="G182" i="2"/>
  <c r="C182" i="2"/>
  <c r="B182" i="2"/>
  <c r="AL181" i="2" s="1"/>
  <c r="AW181" i="2"/>
  <c r="AV181" i="2"/>
  <c r="AS181" i="2"/>
  <c r="AR181" i="2"/>
  <c r="AQ181" i="2"/>
  <c r="AP181" i="2"/>
  <c r="AO181" i="2"/>
  <c r="AF181" i="2"/>
  <c r="AK181" i="2" s="1"/>
  <c r="G181" i="2"/>
  <c r="C181" i="2"/>
  <c r="B181" i="2"/>
  <c r="AL180" i="2" s="1"/>
  <c r="AW180" i="2"/>
  <c r="AV180" i="2"/>
  <c r="AS180" i="2"/>
  <c r="AR180" i="2"/>
  <c r="AQ180" i="2"/>
  <c r="AP180" i="2"/>
  <c r="AO180" i="2"/>
  <c r="AF180" i="2"/>
  <c r="AK180" i="2" s="1"/>
  <c r="G180" i="2"/>
  <c r="C180" i="2"/>
  <c r="B180" i="2"/>
  <c r="AL179" i="2" s="1"/>
  <c r="AW179" i="2"/>
  <c r="AV179" i="2"/>
  <c r="AS179" i="2"/>
  <c r="AR179" i="2"/>
  <c r="AQ179" i="2"/>
  <c r="AP179" i="2"/>
  <c r="AO179" i="2"/>
  <c r="AF179" i="2"/>
  <c r="G179" i="2"/>
  <c r="C179" i="2"/>
  <c r="B179" i="2"/>
  <c r="AW178" i="2"/>
  <c r="AV178" i="2"/>
  <c r="AS178" i="2"/>
  <c r="AR178" i="2"/>
  <c r="AQ178" i="2"/>
  <c r="AP178" i="2"/>
  <c r="AO178" i="2"/>
  <c r="AF178" i="2"/>
  <c r="G178" i="2"/>
  <c r="C178" i="2"/>
  <c r="B178" i="2"/>
  <c r="AL177" i="2" s="1"/>
  <c r="AW177" i="2"/>
  <c r="AV177" i="2"/>
  <c r="AS177" i="2"/>
  <c r="AR177" i="2"/>
  <c r="AQ177" i="2"/>
  <c r="AP177" i="2"/>
  <c r="AO177" i="2"/>
  <c r="AF177" i="2"/>
  <c r="AK177" i="2" s="1"/>
  <c r="G177" i="2"/>
  <c r="C177" i="2"/>
  <c r="B177" i="2"/>
  <c r="AL176" i="2" s="1"/>
  <c r="AW176" i="2"/>
  <c r="AV176" i="2"/>
  <c r="AS176" i="2"/>
  <c r="AR176" i="2"/>
  <c r="AQ176" i="2"/>
  <c r="AP176" i="2"/>
  <c r="AO176" i="2"/>
  <c r="AF176" i="2"/>
  <c r="AK176" i="2" s="1"/>
  <c r="G176" i="2"/>
  <c r="C176" i="2"/>
  <c r="B176" i="2"/>
  <c r="AL175" i="2" s="1"/>
  <c r="AW175" i="2"/>
  <c r="AV175" i="2"/>
  <c r="AS175" i="2"/>
  <c r="AR175" i="2"/>
  <c r="AQ175" i="2"/>
  <c r="AP175" i="2"/>
  <c r="AO175" i="2"/>
  <c r="AF175" i="2"/>
  <c r="G175" i="2"/>
  <c r="C175" i="2"/>
  <c r="B175" i="2"/>
  <c r="AW174" i="2"/>
  <c r="AV174" i="2"/>
  <c r="AS174" i="2"/>
  <c r="AR174" i="2"/>
  <c r="AQ174" i="2"/>
  <c r="AP174" i="2"/>
  <c r="AO174" i="2"/>
  <c r="AF174" i="2"/>
  <c r="G174" i="2"/>
  <c r="C174" i="2"/>
  <c r="B174" i="2"/>
  <c r="AL173" i="2" s="1"/>
  <c r="AW173" i="2"/>
  <c r="AV173" i="2"/>
  <c r="AS173" i="2"/>
  <c r="AR173" i="2"/>
  <c r="AQ173" i="2"/>
  <c r="AP173" i="2"/>
  <c r="AO173" i="2"/>
  <c r="AF173" i="2"/>
  <c r="AK173" i="2" s="1"/>
  <c r="G173" i="2"/>
  <c r="C173" i="2"/>
  <c r="B173" i="2"/>
  <c r="AL172" i="2" s="1"/>
  <c r="AW172" i="2"/>
  <c r="AV172" i="2"/>
  <c r="AS172" i="2"/>
  <c r="AR172" i="2"/>
  <c r="AQ172" i="2"/>
  <c r="AP172" i="2"/>
  <c r="AO172" i="2"/>
  <c r="AF172" i="2"/>
  <c r="AK172" i="2" s="1"/>
  <c r="G172" i="2"/>
  <c r="C172" i="2"/>
  <c r="B172" i="2"/>
  <c r="AL171" i="2" s="1"/>
  <c r="AW171" i="2"/>
  <c r="AV171" i="2"/>
  <c r="AS171" i="2"/>
  <c r="AR171" i="2"/>
  <c r="AQ171" i="2"/>
  <c r="AP171" i="2"/>
  <c r="AO171" i="2"/>
  <c r="AF171" i="2"/>
  <c r="G171" i="2"/>
  <c r="C171" i="2"/>
  <c r="B171" i="2"/>
  <c r="AW170" i="2"/>
  <c r="AV170" i="2"/>
  <c r="AS170" i="2"/>
  <c r="AR170" i="2"/>
  <c r="AQ170" i="2"/>
  <c r="AP170" i="2"/>
  <c r="AO170" i="2"/>
  <c r="AF170" i="2"/>
  <c r="G170" i="2"/>
  <c r="C170" i="2"/>
  <c r="B170" i="2"/>
  <c r="AL169" i="2" s="1"/>
  <c r="AW169" i="2"/>
  <c r="AV169" i="2"/>
  <c r="AS169" i="2"/>
  <c r="AR169" i="2"/>
  <c r="AQ169" i="2"/>
  <c r="AP169" i="2"/>
  <c r="AO169" i="2"/>
  <c r="AF169" i="2"/>
  <c r="AK169" i="2" s="1"/>
  <c r="G169" i="2"/>
  <c r="C169" i="2"/>
  <c r="B169" i="2"/>
  <c r="AL168" i="2" s="1"/>
  <c r="AW168" i="2"/>
  <c r="AV168" i="2"/>
  <c r="AS168" i="2"/>
  <c r="AR168" i="2"/>
  <c r="AQ168" i="2"/>
  <c r="AP168" i="2"/>
  <c r="AO168" i="2"/>
  <c r="AF168" i="2"/>
  <c r="AK168" i="2" s="1"/>
  <c r="G168" i="2"/>
  <c r="C168" i="2"/>
  <c r="B168" i="2"/>
  <c r="AL167" i="2" s="1"/>
  <c r="AW167" i="2"/>
  <c r="AV167" i="2"/>
  <c r="AS167" i="2"/>
  <c r="AR167" i="2"/>
  <c r="AQ167" i="2"/>
  <c r="AP167" i="2"/>
  <c r="AO167" i="2"/>
  <c r="AF167" i="2"/>
  <c r="G167" i="2"/>
  <c r="C167" i="2"/>
  <c r="B167" i="2"/>
  <c r="AW166" i="2"/>
  <c r="AV166" i="2"/>
  <c r="AS166" i="2"/>
  <c r="AR166" i="2"/>
  <c r="AQ166" i="2"/>
  <c r="AP166" i="2"/>
  <c r="AO166" i="2"/>
  <c r="AF166" i="2"/>
  <c r="G166" i="2"/>
  <c r="C166" i="2"/>
  <c r="B166" i="2"/>
  <c r="AL165" i="2" s="1"/>
  <c r="AW165" i="2"/>
  <c r="AV165" i="2"/>
  <c r="AS165" i="2"/>
  <c r="AR165" i="2"/>
  <c r="AQ165" i="2"/>
  <c r="AP165" i="2"/>
  <c r="AO165" i="2"/>
  <c r="AF165" i="2"/>
  <c r="AK165" i="2" s="1"/>
  <c r="G165" i="2"/>
  <c r="C165" i="2"/>
  <c r="B165" i="2"/>
  <c r="AL164" i="2" s="1"/>
  <c r="AW164" i="2"/>
  <c r="AV164" i="2"/>
  <c r="AS164" i="2"/>
  <c r="AR164" i="2"/>
  <c r="AQ164" i="2"/>
  <c r="AP164" i="2"/>
  <c r="AO164" i="2"/>
  <c r="AF164" i="2"/>
  <c r="G164" i="2"/>
  <c r="C164" i="2"/>
  <c r="B164" i="2"/>
  <c r="AL163" i="2" s="1"/>
  <c r="AW163" i="2"/>
  <c r="AV163" i="2"/>
  <c r="AS163" i="2"/>
  <c r="AR163" i="2"/>
  <c r="AQ163" i="2"/>
  <c r="AP163" i="2"/>
  <c r="AO163" i="2"/>
  <c r="AF163" i="2"/>
  <c r="G163" i="2"/>
  <c r="C163" i="2"/>
  <c r="B163" i="2"/>
  <c r="AW162" i="2"/>
  <c r="AV162" i="2"/>
  <c r="AS162" i="2"/>
  <c r="AR162" i="2"/>
  <c r="AQ162" i="2"/>
  <c r="AP162" i="2"/>
  <c r="AO162" i="2"/>
  <c r="AF162" i="2"/>
  <c r="G162" i="2"/>
  <c r="C162" i="2"/>
  <c r="B162" i="2"/>
  <c r="AL161" i="2" s="1"/>
  <c r="AW161" i="2"/>
  <c r="AV161" i="2"/>
  <c r="AS161" i="2"/>
  <c r="AR161" i="2"/>
  <c r="AQ161" i="2"/>
  <c r="AP161" i="2"/>
  <c r="AO161" i="2"/>
  <c r="AF161" i="2"/>
  <c r="G161" i="2"/>
  <c r="C161" i="2"/>
  <c r="B161" i="2"/>
  <c r="AW160" i="2"/>
  <c r="AV160" i="2"/>
  <c r="AS160" i="2"/>
  <c r="AR160" i="2"/>
  <c r="AQ160" i="2"/>
  <c r="AP160" i="2"/>
  <c r="AO160" i="2"/>
  <c r="AF160" i="2"/>
  <c r="AK160" i="2" s="1"/>
  <c r="G160" i="2"/>
  <c r="C160" i="2"/>
  <c r="B160" i="2"/>
  <c r="AL159" i="2" s="1"/>
  <c r="AW159" i="2"/>
  <c r="AV159" i="2"/>
  <c r="AS159" i="2"/>
  <c r="AR159" i="2"/>
  <c r="AQ159" i="2"/>
  <c r="AP159" i="2"/>
  <c r="AO159" i="2"/>
  <c r="AF159" i="2"/>
  <c r="AK159" i="2" s="1"/>
  <c r="G159" i="2"/>
  <c r="C159" i="2"/>
  <c r="B159" i="2"/>
  <c r="AW158" i="2"/>
  <c r="AV158" i="2"/>
  <c r="AS158" i="2"/>
  <c r="AR158" i="2"/>
  <c r="AQ158" i="2"/>
  <c r="AP158" i="2"/>
  <c r="AO158" i="2"/>
  <c r="AF158" i="2"/>
  <c r="AK158" i="2" s="1"/>
  <c r="G158" i="2"/>
  <c r="C158" i="2"/>
  <c r="B158" i="2"/>
  <c r="AL157" i="2" s="1"/>
  <c r="AW157" i="2"/>
  <c r="AV157" i="2"/>
  <c r="AS157" i="2"/>
  <c r="AR157" i="2"/>
  <c r="AQ157" i="2"/>
  <c r="AP157" i="2"/>
  <c r="AO157" i="2"/>
  <c r="AF157" i="2"/>
  <c r="G157" i="2"/>
  <c r="C157" i="2"/>
  <c r="B157" i="2"/>
  <c r="AW156" i="2"/>
  <c r="AV156" i="2"/>
  <c r="AS156" i="2"/>
  <c r="AR156" i="2"/>
  <c r="AQ156" i="2"/>
  <c r="AP156" i="2"/>
  <c r="AO156" i="2"/>
  <c r="AF156" i="2"/>
  <c r="G156" i="2"/>
  <c r="C156" i="2"/>
  <c r="B156" i="2"/>
  <c r="AL155" i="2" s="1"/>
  <c r="AW155" i="2"/>
  <c r="AV155" i="2"/>
  <c r="AS155" i="2"/>
  <c r="AR155" i="2"/>
  <c r="AQ155" i="2"/>
  <c r="AP155" i="2"/>
  <c r="AO155" i="2"/>
  <c r="AF155" i="2"/>
  <c r="AK155" i="2" s="1"/>
  <c r="G155" i="2"/>
  <c r="C155" i="2"/>
  <c r="B155" i="2"/>
  <c r="AW154" i="2"/>
  <c r="AV154" i="2"/>
  <c r="AS154" i="2"/>
  <c r="AR154" i="2"/>
  <c r="AQ154" i="2"/>
  <c r="AP154" i="2"/>
  <c r="AO154" i="2"/>
  <c r="AF154" i="2"/>
  <c r="G154" i="2"/>
  <c r="C154" i="2"/>
  <c r="B154" i="2"/>
  <c r="AL153" i="2" s="1"/>
  <c r="AW153" i="2"/>
  <c r="AV153" i="2"/>
  <c r="AS153" i="2"/>
  <c r="AR153" i="2"/>
  <c r="AQ153" i="2"/>
  <c r="AP153" i="2"/>
  <c r="AO153" i="2"/>
  <c r="AF153" i="2"/>
  <c r="G153" i="2"/>
  <c r="C153" i="2"/>
  <c r="B153" i="2"/>
  <c r="AW152" i="2"/>
  <c r="AV152" i="2"/>
  <c r="AS152" i="2"/>
  <c r="AR152" i="2"/>
  <c r="AQ152" i="2"/>
  <c r="AP152" i="2"/>
  <c r="AO152" i="2"/>
  <c r="AF152" i="2"/>
  <c r="G152" i="2"/>
  <c r="C152" i="2"/>
  <c r="B152" i="2"/>
  <c r="AL151" i="2" s="1"/>
  <c r="AW151" i="2"/>
  <c r="AV151" i="2"/>
  <c r="AS151" i="2"/>
  <c r="AR151" i="2"/>
  <c r="AQ151" i="2"/>
  <c r="AP151" i="2"/>
  <c r="AO151" i="2"/>
  <c r="AF151" i="2"/>
  <c r="AK151" i="2" s="1"/>
  <c r="G151" i="2"/>
  <c r="C151" i="2"/>
  <c r="B151" i="2"/>
  <c r="AL150" i="2" s="1"/>
  <c r="AW150" i="2"/>
  <c r="AV150" i="2"/>
  <c r="AS150" i="2"/>
  <c r="AR150" i="2"/>
  <c r="AQ150" i="2"/>
  <c r="AP150" i="2"/>
  <c r="AO150" i="2"/>
  <c r="AF150" i="2"/>
  <c r="G150" i="2"/>
  <c r="C150" i="2"/>
  <c r="B150" i="2"/>
  <c r="AL149" i="2" s="1"/>
  <c r="AW149" i="2"/>
  <c r="AV149" i="2"/>
  <c r="AS149" i="2"/>
  <c r="AR149" i="2"/>
  <c r="AQ149" i="2"/>
  <c r="AP149" i="2"/>
  <c r="AO149" i="2"/>
  <c r="AF149" i="2"/>
  <c r="G149" i="2"/>
  <c r="C149" i="2"/>
  <c r="B149" i="2"/>
  <c r="AW148" i="2"/>
  <c r="AV148" i="2"/>
  <c r="AS148" i="2"/>
  <c r="AR148" i="2"/>
  <c r="AQ148" i="2"/>
  <c r="AP148" i="2"/>
  <c r="AO148" i="2"/>
  <c r="AF148" i="2"/>
  <c r="AK148" i="2" s="1"/>
  <c r="G148" i="2"/>
  <c r="C148" i="2"/>
  <c r="B148" i="2"/>
  <c r="AL147" i="2" s="1"/>
  <c r="AW147" i="2"/>
  <c r="AV147" i="2"/>
  <c r="AS147" i="2"/>
  <c r="AR147" i="2"/>
  <c r="AQ147" i="2"/>
  <c r="AP147" i="2"/>
  <c r="AO147" i="2"/>
  <c r="AF147" i="2"/>
  <c r="AK147" i="2" s="1"/>
  <c r="G147" i="2"/>
  <c r="C147" i="2"/>
  <c r="B147" i="2"/>
  <c r="AL146" i="2" s="1"/>
  <c r="AW146" i="2"/>
  <c r="AV146" i="2"/>
  <c r="AS146" i="2"/>
  <c r="AR146" i="2"/>
  <c r="AQ146" i="2"/>
  <c r="AP146" i="2"/>
  <c r="AO146" i="2"/>
  <c r="AF146" i="2"/>
  <c r="G146" i="2"/>
  <c r="C146" i="2"/>
  <c r="B146" i="2"/>
  <c r="AW145" i="2"/>
  <c r="AV145" i="2"/>
  <c r="AS145" i="2"/>
  <c r="AR145" i="2"/>
  <c r="AQ145" i="2"/>
  <c r="AP145" i="2"/>
  <c r="AO145" i="2"/>
  <c r="AF145" i="2"/>
  <c r="G145" i="2"/>
  <c r="C145" i="2"/>
  <c r="B145" i="2"/>
  <c r="AL144" i="2" s="1"/>
  <c r="AW144" i="2"/>
  <c r="AV144" i="2"/>
  <c r="AS144" i="2"/>
  <c r="AR144" i="2"/>
  <c r="AQ144" i="2"/>
  <c r="AP144" i="2"/>
  <c r="AO144" i="2"/>
  <c r="AF144" i="2"/>
  <c r="AK144" i="2" s="1"/>
  <c r="G144" i="2"/>
  <c r="C144" i="2"/>
  <c r="B144" i="2"/>
  <c r="AL143" i="2" s="1"/>
  <c r="AW143" i="2"/>
  <c r="AV143" i="2"/>
  <c r="AS143" i="2"/>
  <c r="AR143" i="2"/>
  <c r="AQ143" i="2"/>
  <c r="AP143" i="2"/>
  <c r="AO143" i="2"/>
  <c r="AF143" i="2"/>
  <c r="AK143" i="2" s="1"/>
  <c r="G143" i="2"/>
  <c r="C143" i="2"/>
  <c r="B143" i="2"/>
  <c r="AL142" i="2" s="1"/>
  <c r="AW142" i="2"/>
  <c r="AV142" i="2"/>
  <c r="AS142" i="2"/>
  <c r="AR142" i="2"/>
  <c r="AQ142" i="2"/>
  <c r="AP142" i="2"/>
  <c r="AO142" i="2"/>
  <c r="AF142" i="2"/>
  <c r="G142" i="2"/>
  <c r="C142" i="2"/>
  <c r="B142" i="2"/>
  <c r="AW141" i="2"/>
  <c r="AV141" i="2"/>
  <c r="AS141" i="2"/>
  <c r="AR141" i="2"/>
  <c r="AQ141" i="2"/>
  <c r="AP141" i="2"/>
  <c r="AO141" i="2"/>
  <c r="AF141" i="2"/>
  <c r="AK141" i="2" s="1"/>
  <c r="G141" i="2"/>
  <c r="C141" i="2"/>
  <c r="B141" i="2"/>
  <c r="AL140" i="2" s="1"/>
  <c r="AW140" i="2"/>
  <c r="AV140" i="2"/>
  <c r="AS140" i="2"/>
  <c r="AR140" i="2"/>
  <c r="AQ140" i="2"/>
  <c r="AP140" i="2"/>
  <c r="AO140" i="2"/>
  <c r="AF140" i="2"/>
  <c r="G140" i="2"/>
  <c r="C140" i="2"/>
  <c r="B140" i="2"/>
  <c r="AL139" i="2" s="1"/>
  <c r="AW139" i="2"/>
  <c r="AV139" i="2"/>
  <c r="AS139" i="2"/>
  <c r="AR139" i="2"/>
  <c r="AQ139" i="2"/>
  <c r="AP139" i="2"/>
  <c r="AO139" i="2"/>
  <c r="AF139" i="2"/>
  <c r="AK139" i="2" s="1"/>
  <c r="G139" i="2"/>
  <c r="C139" i="2"/>
  <c r="B139" i="2"/>
  <c r="AL138" i="2" s="1"/>
  <c r="AW138" i="2"/>
  <c r="AV138" i="2"/>
  <c r="AS138" i="2"/>
  <c r="AR138" i="2"/>
  <c r="AQ138" i="2"/>
  <c r="AP138" i="2"/>
  <c r="AO138" i="2"/>
  <c r="AF138" i="2"/>
  <c r="G138" i="2"/>
  <c r="C138" i="2"/>
  <c r="B138" i="2"/>
  <c r="AW137" i="2"/>
  <c r="AV137" i="2"/>
  <c r="AS137" i="2"/>
  <c r="AR137" i="2"/>
  <c r="AQ137" i="2"/>
  <c r="AP137" i="2"/>
  <c r="AO137" i="2"/>
  <c r="AF137" i="2"/>
  <c r="AK137" i="2" s="1"/>
  <c r="G137" i="2"/>
  <c r="C137" i="2"/>
  <c r="B137" i="2"/>
  <c r="AL136" i="2" s="1"/>
  <c r="AW136" i="2"/>
  <c r="AV136" i="2"/>
  <c r="AS136" i="2"/>
  <c r="AR136" i="2"/>
  <c r="AQ136" i="2"/>
  <c r="AP136" i="2"/>
  <c r="AO136" i="2"/>
  <c r="AF136" i="2"/>
  <c r="G136" i="2"/>
  <c r="C136" i="2"/>
  <c r="B136" i="2"/>
  <c r="AL135" i="2" s="1"/>
  <c r="AW135" i="2"/>
  <c r="AV135" i="2"/>
  <c r="AS135" i="2"/>
  <c r="AR135" i="2"/>
  <c r="AQ135" i="2"/>
  <c r="AP135" i="2"/>
  <c r="AO135" i="2"/>
  <c r="AF135" i="2"/>
  <c r="AK135" i="2" s="1"/>
  <c r="G135" i="2"/>
  <c r="C135" i="2"/>
  <c r="B135" i="2"/>
  <c r="AL134" i="2" s="1"/>
  <c r="AW134" i="2"/>
  <c r="AV134" i="2"/>
  <c r="AS134" i="2"/>
  <c r="AR134" i="2"/>
  <c r="AQ134" i="2"/>
  <c r="AP134" i="2"/>
  <c r="AO134" i="2"/>
  <c r="AF134" i="2"/>
  <c r="G134" i="2"/>
  <c r="C134" i="2"/>
  <c r="B134" i="2"/>
  <c r="AL133" i="2" s="1"/>
  <c r="AW133" i="2"/>
  <c r="AV133" i="2"/>
  <c r="AS133" i="2"/>
  <c r="AR133" i="2"/>
  <c r="AQ133" i="2"/>
  <c r="AP133" i="2"/>
  <c r="AO133" i="2"/>
  <c r="AF133" i="2"/>
  <c r="G133" i="2"/>
  <c r="C133" i="2"/>
  <c r="B133" i="2"/>
  <c r="AL132" i="2" s="1"/>
  <c r="AW132" i="2"/>
  <c r="AV132" i="2"/>
  <c r="AS132" i="2"/>
  <c r="AR132" i="2"/>
  <c r="AQ132" i="2"/>
  <c r="AP132" i="2"/>
  <c r="AO132" i="2"/>
  <c r="AF132" i="2"/>
  <c r="G132" i="2"/>
  <c r="C132" i="2"/>
  <c r="B132" i="2"/>
  <c r="AL131" i="2" s="1"/>
  <c r="AW131" i="2"/>
  <c r="AV131" i="2"/>
  <c r="AS131" i="2"/>
  <c r="AR131" i="2"/>
  <c r="AQ131" i="2"/>
  <c r="AP131" i="2"/>
  <c r="AO131" i="2"/>
  <c r="AF131" i="2"/>
  <c r="G131" i="2"/>
  <c r="C131" i="2"/>
  <c r="B131" i="2"/>
  <c r="AL130" i="2" s="1"/>
  <c r="AW130" i="2"/>
  <c r="AV130" i="2"/>
  <c r="AS130" i="2"/>
  <c r="AR130" i="2"/>
  <c r="AQ130" i="2"/>
  <c r="AP130" i="2"/>
  <c r="AO130" i="2"/>
  <c r="AF130" i="2"/>
  <c r="G130" i="2"/>
  <c r="C130" i="2"/>
  <c r="B130" i="2"/>
  <c r="AL129" i="2" s="1"/>
  <c r="AW129" i="2"/>
  <c r="AV129" i="2"/>
  <c r="AS129" i="2"/>
  <c r="AR129" i="2"/>
  <c r="AQ129" i="2"/>
  <c r="AP129" i="2"/>
  <c r="AO129" i="2"/>
  <c r="AF129" i="2"/>
  <c r="AK129" i="2" s="1"/>
  <c r="G129" i="2"/>
  <c r="C129" i="2"/>
  <c r="B129" i="2"/>
  <c r="AL128" i="2" s="1"/>
  <c r="AW128" i="2"/>
  <c r="AV128" i="2"/>
  <c r="AS128" i="2"/>
  <c r="AR128" i="2"/>
  <c r="AQ128" i="2"/>
  <c r="AP128" i="2"/>
  <c r="AO128" i="2"/>
  <c r="AF128" i="2"/>
  <c r="G128" i="2"/>
  <c r="C128" i="2"/>
  <c r="B128" i="2"/>
  <c r="AL127" i="2" s="1"/>
  <c r="AW127" i="2"/>
  <c r="AV127" i="2"/>
  <c r="AS127" i="2"/>
  <c r="AR127" i="2"/>
  <c r="AQ127" i="2"/>
  <c r="AP127" i="2"/>
  <c r="AO127" i="2"/>
  <c r="AF127" i="2"/>
  <c r="G127" i="2"/>
  <c r="C127" i="2"/>
  <c r="B127" i="2"/>
  <c r="AL126" i="2" s="1"/>
  <c r="AW126" i="2"/>
  <c r="AV126" i="2"/>
  <c r="AS126" i="2"/>
  <c r="AR126" i="2"/>
  <c r="AQ126" i="2"/>
  <c r="AP126" i="2"/>
  <c r="AO126" i="2"/>
  <c r="AF126" i="2"/>
  <c r="G126" i="2"/>
  <c r="C126" i="2"/>
  <c r="B126" i="2"/>
  <c r="AL125" i="2" s="1"/>
  <c r="AW125" i="2"/>
  <c r="AV125" i="2"/>
  <c r="AS125" i="2"/>
  <c r="AR125" i="2"/>
  <c r="AQ125" i="2"/>
  <c r="AP125" i="2"/>
  <c r="AO125" i="2"/>
  <c r="AF125" i="2"/>
  <c r="G125" i="2"/>
  <c r="C125" i="2"/>
  <c r="B125" i="2"/>
  <c r="AL124" i="2" s="1"/>
  <c r="AW124" i="2"/>
  <c r="AV124" i="2"/>
  <c r="AS124" i="2"/>
  <c r="AR124" i="2"/>
  <c r="AQ124" i="2"/>
  <c r="AP124" i="2"/>
  <c r="AO124" i="2"/>
  <c r="AF124" i="2"/>
  <c r="G124" i="2"/>
  <c r="C124" i="2"/>
  <c r="B124" i="2"/>
  <c r="AL123" i="2" s="1"/>
  <c r="AW123" i="2"/>
  <c r="AV123" i="2"/>
  <c r="AS123" i="2"/>
  <c r="AR123" i="2"/>
  <c r="AQ123" i="2"/>
  <c r="AP123" i="2"/>
  <c r="F37" i="7" s="1"/>
  <c r="AO123" i="2"/>
  <c r="AF123" i="2"/>
  <c r="M37" i="7" s="1"/>
  <c r="G123" i="2"/>
  <c r="C123" i="2"/>
  <c r="B123" i="2"/>
  <c r="D37" i="7" s="1"/>
  <c r="AW122" i="2"/>
  <c r="AV122" i="2"/>
  <c r="AS122" i="2"/>
  <c r="O36" i="7" s="1"/>
  <c r="AR122" i="2"/>
  <c r="N36" i="7" s="1"/>
  <c r="AQ122" i="2"/>
  <c r="G36" i="7" s="1"/>
  <c r="AP122" i="2"/>
  <c r="F36" i="7" s="1"/>
  <c r="AO122" i="2"/>
  <c r="AF122" i="2"/>
  <c r="M36" i="7" s="1"/>
  <c r="G122" i="2"/>
  <c r="C122" i="2"/>
  <c r="B122" i="2"/>
  <c r="D36" i="7" s="1"/>
  <c r="AW121" i="2"/>
  <c r="AV121" i="2"/>
  <c r="AS121" i="2"/>
  <c r="AR121" i="2"/>
  <c r="N35" i="7" s="1"/>
  <c r="AQ121" i="2"/>
  <c r="G35" i="7" s="1"/>
  <c r="AP121" i="2"/>
  <c r="F35" i="7" s="1"/>
  <c r="AO121" i="2"/>
  <c r="AF121" i="2"/>
  <c r="M35" i="7" s="1"/>
  <c r="G121" i="2"/>
  <c r="C121" i="2"/>
  <c r="B121" i="2"/>
  <c r="AL120" i="2" s="1"/>
  <c r="AW120" i="2"/>
  <c r="AV120" i="2"/>
  <c r="AS120" i="2"/>
  <c r="AR120" i="2"/>
  <c r="N34" i="7" s="1"/>
  <c r="AQ120" i="2"/>
  <c r="G19" i="7" s="1"/>
  <c r="AP120" i="2"/>
  <c r="F19" i="7" s="1"/>
  <c r="AO120" i="2"/>
  <c r="AF120" i="2"/>
  <c r="G120" i="2"/>
  <c r="C120" i="2"/>
  <c r="B120" i="2"/>
  <c r="D19" i="7" s="1"/>
  <c r="AW119" i="2"/>
  <c r="AV119" i="2"/>
  <c r="AS119" i="2"/>
  <c r="O33" i="7" s="1"/>
  <c r="AR119" i="2"/>
  <c r="N33" i="7" s="1"/>
  <c r="AQ119" i="2"/>
  <c r="G18" i="7" s="1"/>
  <c r="AP119" i="2"/>
  <c r="F18" i="7" s="1"/>
  <c r="AO119" i="2"/>
  <c r="AF119" i="2"/>
  <c r="M33" i="7" s="1"/>
  <c r="G119" i="2"/>
  <c r="C119" i="2"/>
  <c r="B119" i="2"/>
  <c r="D18" i="7" s="1"/>
  <c r="S18" i="7" s="1"/>
  <c r="AW118" i="2"/>
  <c r="AV118" i="2"/>
  <c r="AS118" i="2"/>
  <c r="O32" i="7" s="1"/>
  <c r="AR118" i="2"/>
  <c r="N32" i="7" s="1"/>
  <c r="AQ118" i="2"/>
  <c r="G17" i="7" s="1"/>
  <c r="AP118" i="2"/>
  <c r="F17" i="7" s="1"/>
  <c r="AO118" i="2"/>
  <c r="AF118" i="2"/>
  <c r="G118" i="2"/>
  <c r="C118" i="2"/>
  <c r="B118" i="2"/>
  <c r="D17" i="7" s="1"/>
  <c r="S17" i="7" s="1"/>
  <c r="AW117" i="2"/>
  <c r="AV117" i="2"/>
  <c r="AS117" i="2"/>
  <c r="AR117" i="2"/>
  <c r="N31" i="7" s="1"/>
  <c r="AQ117" i="2"/>
  <c r="G16" i="7" s="1"/>
  <c r="AP117" i="2"/>
  <c r="F16" i="7" s="1"/>
  <c r="AO117" i="2"/>
  <c r="AF117" i="2"/>
  <c r="M31" i="7" s="1"/>
  <c r="G117" i="2"/>
  <c r="C117" i="2"/>
  <c r="B117" i="2"/>
  <c r="D16" i="7" s="1"/>
  <c r="AW116" i="2"/>
  <c r="AV116" i="2"/>
  <c r="AS116" i="2"/>
  <c r="AR116" i="2"/>
  <c r="N30" i="7" s="1"/>
  <c r="AQ116" i="2"/>
  <c r="G15" i="7" s="1"/>
  <c r="AP116" i="2"/>
  <c r="F15" i="7" s="1"/>
  <c r="AO116" i="2"/>
  <c r="AF116" i="2"/>
  <c r="G116" i="2"/>
  <c r="C116" i="2"/>
  <c r="B116" i="2"/>
  <c r="D15" i="7" s="1"/>
  <c r="AW115" i="2"/>
  <c r="AV115" i="2"/>
  <c r="AS115" i="2"/>
  <c r="O29" i="7" s="1"/>
  <c r="AR115" i="2"/>
  <c r="N29" i="7" s="1"/>
  <c r="AQ115" i="2"/>
  <c r="G14" i="7" s="1"/>
  <c r="AP115" i="2"/>
  <c r="F14" i="7" s="1"/>
  <c r="AO115" i="2"/>
  <c r="AF115" i="2"/>
  <c r="M29" i="7" s="1"/>
  <c r="G115" i="2"/>
  <c r="C115" i="2"/>
  <c r="B115" i="2"/>
  <c r="D14" i="7" s="1"/>
  <c r="S14" i="7" s="1"/>
  <c r="AW114" i="2"/>
  <c r="AV114" i="2"/>
  <c r="AS114" i="2"/>
  <c r="O28" i="7" s="1"/>
  <c r="AR114" i="2"/>
  <c r="N28" i="7" s="1"/>
  <c r="AQ114" i="2"/>
  <c r="G13" i="7" s="1"/>
  <c r="AP114" i="2"/>
  <c r="F13" i="7" s="1"/>
  <c r="AO114" i="2"/>
  <c r="AF114" i="2"/>
  <c r="M28" i="7" s="1"/>
  <c r="G114" i="2"/>
  <c r="C114" i="2"/>
  <c r="B114" i="2"/>
  <c r="D13" i="7" s="1"/>
  <c r="S13" i="7" s="1"/>
  <c r="AW113" i="2"/>
  <c r="AV113" i="2"/>
  <c r="AS113" i="2"/>
  <c r="AR113" i="2"/>
  <c r="N27" i="7" s="1"/>
  <c r="AQ113" i="2"/>
  <c r="G12" i="7" s="1"/>
  <c r="AP113" i="2"/>
  <c r="F12" i="7" s="1"/>
  <c r="AO113" i="2"/>
  <c r="AF113" i="2"/>
  <c r="M27" i="7" s="1"/>
  <c r="G113" i="2"/>
  <c r="C113" i="2"/>
  <c r="B113" i="2"/>
  <c r="D12" i="7" s="1"/>
  <c r="AW112" i="2"/>
  <c r="AV112" i="2"/>
  <c r="AS112" i="2"/>
  <c r="AR112" i="2"/>
  <c r="N26" i="7" s="1"/>
  <c r="AQ112" i="2"/>
  <c r="G11" i="7" s="1"/>
  <c r="AP112" i="2"/>
  <c r="F11" i="7" s="1"/>
  <c r="AO112" i="2"/>
  <c r="AF112" i="2"/>
  <c r="G112" i="2"/>
  <c r="C112" i="2"/>
  <c r="B112" i="2"/>
  <c r="AL111" i="2" s="1"/>
  <c r="AW111" i="2"/>
  <c r="AV111" i="2"/>
  <c r="AS111" i="2"/>
  <c r="O25" i="7" s="1"/>
  <c r="AR111" i="2"/>
  <c r="N25" i="7" s="1"/>
  <c r="AQ111" i="2"/>
  <c r="G10" i="7" s="1"/>
  <c r="AP111" i="2"/>
  <c r="F10" i="7" s="1"/>
  <c r="AO111" i="2"/>
  <c r="AF111" i="2"/>
  <c r="M25" i="7" s="1"/>
  <c r="G111" i="2"/>
  <c r="C111" i="2"/>
  <c r="B111" i="2"/>
  <c r="D10" i="7" s="1"/>
  <c r="AW110" i="2"/>
  <c r="AV110" i="2"/>
  <c r="AS110" i="2"/>
  <c r="O24" i="7" s="1"/>
  <c r="AR110" i="2"/>
  <c r="N24" i="7" s="1"/>
  <c r="AQ110" i="2"/>
  <c r="G9" i="7" s="1"/>
  <c r="AP110" i="2"/>
  <c r="F9" i="7" s="1"/>
  <c r="AO110" i="2"/>
  <c r="AF110" i="2"/>
  <c r="M24" i="7" s="1"/>
  <c r="G110" i="2"/>
  <c r="C110" i="2"/>
  <c r="B110" i="2"/>
  <c r="D9" i="7" s="1"/>
  <c r="S9" i="7" s="1"/>
  <c r="AW109" i="2"/>
  <c r="AV109" i="2"/>
  <c r="AS109" i="2"/>
  <c r="AR109" i="2"/>
  <c r="N23" i="7" s="1"/>
  <c r="AQ109" i="2"/>
  <c r="G8" i="7" s="1"/>
  <c r="AP109" i="2"/>
  <c r="F8" i="7" s="1"/>
  <c r="AO109" i="2"/>
  <c r="AF109" i="2"/>
  <c r="M23" i="7" s="1"/>
  <c r="G109" i="2"/>
  <c r="C109" i="2"/>
  <c r="B109" i="2"/>
  <c r="D8" i="7" s="1"/>
  <c r="AW108" i="2"/>
  <c r="AV108" i="2"/>
  <c r="AS108" i="2"/>
  <c r="AR108" i="2"/>
  <c r="N22" i="7" s="1"/>
  <c r="AQ108" i="2"/>
  <c r="AP108" i="2"/>
  <c r="AO108" i="2"/>
  <c r="AF108" i="2"/>
  <c r="G108" i="2"/>
  <c r="C108" i="2"/>
  <c r="E7" i="7" s="1"/>
  <c r="B108" i="2"/>
  <c r="D7" i="7" s="1"/>
  <c r="S7" i="7" s="1"/>
  <c r="AW107" i="2"/>
  <c r="AV107" i="2"/>
  <c r="AS107" i="2"/>
  <c r="O21" i="7" s="1"/>
  <c r="AR107" i="2"/>
  <c r="N21" i="7" s="1"/>
  <c r="AQ107" i="2"/>
  <c r="AP107" i="2"/>
  <c r="AO107" i="2"/>
  <c r="AF107" i="2"/>
  <c r="M21" i="7" s="1"/>
  <c r="G107" i="2"/>
  <c r="C107" i="2"/>
  <c r="E6" i="7" s="1"/>
  <c r="B107" i="2"/>
  <c r="D6" i="7" s="1"/>
  <c r="S6" i="7" s="1"/>
  <c r="AW106" i="2"/>
  <c r="AV106" i="2"/>
  <c r="AS106" i="2"/>
  <c r="O20" i="7" s="1"/>
  <c r="AR106" i="2"/>
  <c r="N20" i="7" s="1"/>
  <c r="AQ106" i="2"/>
  <c r="AP106" i="2"/>
  <c r="F20" i="7" s="1"/>
  <c r="AO106" i="2"/>
  <c r="AF106" i="2"/>
  <c r="G106" i="2"/>
  <c r="C106" i="2"/>
  <c r="B106" i="2"/>
  <c r="AL105" i="2" s="1"/>
  <c r="AW105" i="2"/>
  <c r="AV105" i="2"/>
  <c r="AS105" i="2"/>
  <c r="AR105" i="2"/>
  <c r="N19" i="7" s="1"/>
  <c r="AQ105" i="2"/>
  <c r="G34" i="7" s="1"/>
  <c r="AP105" i="2"/>
  <c r="F34" i="7" s="1"/>
  <c r="AO105" i="2"/>
  <c r="AF105" i="2"/>
  <c r="M19" i="7" s="1"/>
  <c r="G105" i="2"/>
  <c r="C105" i="2"/>
  <c r="B105" i="2"/>
  <c r="AL104" i="2" s="1"/>
  <c r="AW104" i="2"/>
  <c r="AV104" i="2"/>
  <c r="AS104" i="2"/>
  <c r="AR104" i="2"/>
  <c r="N18" i="7" s="1"/>
  <c r="AQ104" i="2"/>
  <c r="G33" i="7" s="1"/>
  <c r="AP104" i="2"/>
  <c r="F33" i="7" s="1"/>
  <c r="AO104" i="2"/>
  <c r="AF104" i="2"/>
  <c r="G104" i="2"/>
  <c r="C104" i="2"/>
  <c r="B104" i="2"/>
  <c r="AL103" i="2" s="1"/>
  <c r="AW103" i="2"/>
  <c r="AV103" i="2"/>
  <c r="AS103" i="2"/>
  <c r="O17" i="7" s="1"/>
  <c r="AR103" i="2"/>
  <c r="N17" i="7" s="1"/>
  <c r="AQ103" i="2"/>
  <c r="G32" i="7" s="1"/>
  <c r="AP103" i="2"/>
  <c r="F32" i="7" s="1"/>
  <c r="AO103" i="2"/>
  <c r="AF103" i="2"/>
  <c r="M17" i="7" s="1"/>
  <c r="G103" i="2"/>
  <c r="C103" i="2"/>
  <c r="B103" i="2"/>
  <c r="AW102" i="2"/>
  <c r="AV102" i="2"/>
  <c r="AS102" i="2"/>
  <c r="O16" i="7" s="1"/>
  <c r="AR102" i="2"/>
  <c r="N16" i="7" s="1"/>
  <c r="AQ102" i="2"/>
  <c r="G31" i="7" s="1"/>
  <c r="AP102" i="2"/>
  <c r="F31" i="7" s="1"/>
  <c r="AO102" i="2"/>
  <c r="AF102" i="2"/>
  <c r="M16" i="7" s="1"/>
  <c r="G102" i="2"/>
  <c r="C102" i="2"/>
  <c r="B102" i="2"/>
  <c r="AL101" i="2" s="1"/>
  <c r="AW101" i="2"/>
  <c r="AV101" i="2"/>
  <c r="AS101" i="2"/>
  <c r="AR101" i="2"/>
  <c r="N15" i="7" s="1"/>
  <c r="AQ101" i="2"/>
  <c r="G30" i="7" s="1"/>
  <c r="AP101" i="2"/>
  <c r="F30" i="7" s="1"/>
  <c r="AO101" i="2"/>
  <c r="AF101" i="2"/>
  <c r="M15" i="7" s="1"/>
  <c r="G101" i="2"/>
  <c r="C101" i="2"/>
  <c r="B101" i="2"/>
  <c r="AL100" i="2" s="1"/>
  <c r="AW100" i="2"/>
  <c r="AV100" i="2"/>
  <c r="AS100" i="2"/>
  <c r="AR100" i="2"/>
  <c r="N14" i="7" s="1"/>
  <c r="AQ100" i="2"/>
  <c r="G29" i="7" s="1"/>
  <c r="AP100" i="2"/>
  <c r="F29" i="7" s="1"/>
  <c r="AO100" i="2"/>
  <c r="AF100" i="2"/>
  <c r="G100" i="2"/>
  <c r="C100" i="2"/>
  <c r="B100" i="2"/>
  <c r="AL99" i="2" s="1"/>
  <c r="AW99" i="2"/>
  <c r="AV99" i="2"/>
  <c r="AS99" i="2"/>
  <c r="AR99" i="2"/>
  <c r="N13" i="7" s="1"/>
  <c r="AQ99" i="2"/>
  <c r="G28" i="7" s="1"/>
  <c r="AP99" i="2"/>
  <c r="F28" i="7" s="1"/>
  <c r="AO99" i="2"/>
  <c r="AF99" i="2"/>
  <c r="M13" i="7" s="1"/>
  <c r="G99" i="2"/>
  <c r="C99" i="2"/>
  <c r="B99" i="2"/>
  <c r="AW98" i="2"/>
  <c r="AV98" i="2"/>
  <c r="AS98" i="2"/>
  <c r="O12" i="7" s="1"/>
  <c r="AR98" i="2"/>
  <c r="N12" i="7" s="1"/>
  <c r="AQ98" i="2"/>
  <c r="G27" i="7" s="1"/>
  <c r="AP98" i="2"/>
  <c r="F27" i="7" s="1"/>
  <c r="AO98" i="2"/>
  <c r="AF98" i="2"/>
  <c r="G98" i="2"/>
  <c r="C98" i="2"/>
  <c r="B98" i="2"/>
  <c r="AL97" i="2" s="1"/>
  <c r="AW97" i="2"/>
  <c r="AV97" i="2"/>
  <c r="AS97" i="2"/>
  <c r="AR97" i="2"/>
  <c r="N11" i="7" s="1"/>
  <c r="AQ97" i="2"/>
  <c r="G26" i="7" s="1"/>
  <c r="AP97" i="2"/>
  <c r="F26" i="7" s="1"/>
  <c r="AO97" i="2"/>
  <c r="AF97" i="2"/>
  <c r="M11" i="7" s="1"/>
  <c r="G97" i="2"/>
  <c r="C97" i="2"/>
  <c r="B97" i="2"/>
  <c r="AL96" i="2" s="1"/>
  <c r="AW96" i="2"/>
  <c r="AV96" i="2"/>
  <c r="AS96" i="2"/>
  <c r="AR96" i="2"/>
  <c r="N10" i="7" s="1"/>
  <c r="AQ96" i="2"/>
  <c r="G25" i="7" s="1"/>
  <c r="AP96" i="2"/>
  <c r="F25" i="7" s="1"/>
  <c r="AO96" i="2"/>
  <c r="AF96" i="2"/>
  <c r="G96" i="2"/>
  <c r="C96" i="2"/>
  <c r="B96" i="2"/>
  <c r="AL95" i="2" s="1"/>
  <c r="AW95" i="2"/>
  <c r="AV95" i="2"/>
  <c r="AS95" i="2"/>
  <c r="O9" i="7" s="1"/>
  <c r="AR95" i="2"/>
  <c r="N9" i="7" s="1"/>
  <c r="AQ95" i="2"/>
  <c r="G24" i="7" s="1"/>
  <c r="AP95" i="2"/>
  <c r="F24" i="7" s="1"/>
  <c r="AO95" i="2"/>
  <c r="AF95" i="2"/>
  <c r="M9" i="7" s="1"/>
  <c r="G95" i="2"/>
  <c r="C95" i="2"/>
  <c r="B95" i="2"/>
  <c r="AW94" i="2"/>
  <c r="AV94" i="2"/>
  <c r="AS94" i="2"/>
  <c r="AR94" i="2"/>
  <c r="N8" i="7" s="1"/>
  <c r="AQ94" i="2"/>
  <c r="AP94" i="2"/>
  <c r="F23" i="7" s="1"/>
  <c r="AO94" i="2"/>
  <c r="AF94" i="2"/>
  <c r="G94" i="2"/>
  <c r="C94" i="2"/>
  <c r="B94" i="2"/>
  <c r="AL93" i="2" s="1"/>
  <c r="AW93" i="2"/>
  <c r="AV93" i="2"/>
  <c r="AS93" i="2"/>
  <c r="O7" i="7" s="1"/>
  <c r="AR93" i="2"/>
  <c r="N7" i="7" s="1"/>
  <c r="AQ93" i="2"/>
  <c r="AP93" i="2"/>
  <c r="AO93" i="2"/>
  <c r="AF93" i="2"/>
  <c r="M7" i="7" s="1"/>
  <c r="G93" i="2"/>
  <c r="I7" i="7" s="1"/>
  <c r="C93" i="2"/>
  <c r="B93" i="2"/>
  <c r="AL92" i="2" s="1"/>
  <c r="AW92" i="2"/>
  <c r="AV92" i="2"/>
  <c r="AS92" i="2"/>
  <c r="O6" i="7" s="1"/>
  <c r="AR92" i="2"/>
  <c r="N6" i="7" s="1"/>
  <c r="AQ92" i="2"/>
  <c r="AP92" i="2"/>
  <c r="AO92" i="2"/>
  <c r="AF92" i="2"/>
  <c r="M6" i="7" s="1"/>
  <c r="G92" i="2"/>
  <c r="C92" i="2"/>
  <c r="B92" i="2"/>
  <c r="AL91" i="2" s="1"/>
  <c r="AW91" i="2"/>
  <c r="AV91" i="2"/>
  <c r="AS91" i="2"/>
  <c r="AR91" i="2"/>
  <c r="AQ91" i="2"/>
  <c r="AP91" i="2"/>
  <c r="AO91" i="2"/>
  <c r="AF91" i="2"/>
  <c r="G91" i="2"/>
  <c r="C91" i="2"/>
  <c r="B91" i="2"/>
  <c r="AW90" i="2"/>
  <c r="AV90" i="2"/>
  <c r="AS90" i="2"/>
  <c r="AR90" i="2"/>
  <c r="AQ90" i="2"/>
  <c r="AP90" i="2"/>
  <c r="AO90" i="2"/>
  <c r="AF90" i="2"/>
  <c r="G90" i="2"/>
  <c r="C90" i="2"/>
  <c r="B90" i="2"/>
  <c r="AL89" i="2" s="1"/>
  <c r="AW89" i="2"/>
  <c r="AV89" i="2"/>
  <c r="AS89" i="2"/>
  <c r="AR89" i="2"/>
  <c r="AQ89" i="2"/>
  <c r="AP89" i="2"/>
  <c r="AO89" i="2"/>
  <c r="AF89" i="2"/>
  <c r="G89" i="2"/>
  <c r="C89" i="2"/>
  <c r="B89" i="2"/>
  <c r="AL88" i="2" s="1"/>
  <c r="AW88" i="2"/>
  <c r="AV88" i="2"/>
  <c r="AS88" i="2"/>
  <c r="AR88" i="2"/>
  <c r="AQ88" i="2"/>
  <c r="AP88" i="2"/>
  <c r="AO88" i="2"/>
  <c r="AF88" i="2"/>
  <c r="AK88" i="2" s="1"/>
  <c r="G88" i="2"/>
  <c r="C88" i="2"/>
  <c r="B88" i="2"/>
  <c r="AL87" i="2" s="1"/>
  <c r="AW87" i="2"/>
  <c r="AV87" i="2"/>
  <c r="AS87" i="2"/>
  <c r="AR87" i="2"/>
  <c r="AQ87" i="2"/>
  <c r="AP87" i="2"/>
  <c r="AO87" i="2"/>
  <c r="AF87" i="2"/>
  <c r="G87" i="2"/>
  <c r="C87" i="2"/>
  <c r="B87" i="2"/>
  <c r="AW86" i="2"/>
  <c r="AV86" i="2"/>
  <c r="AS86" i="2"/>
  <c r="AR86" i="2"/>
  <c r="AQ86" i="2"/>
  <c r="AP86" i="2"/>
  <c r="AO86" i="2"/>
  <c r="AF86" i="2"/>
  <c r="G86" i="2"/>
  <c r="C86" i="2"/>
  <c r="B86" i="2"/>
  <c r="AL85" i="2" s="1"/>
  <c r="AW85" i="2"/>
  <c r="AV85" i="2"/>
  <c r="AS85" i="2"/>
  <c r="AR85" i="2"/>
  <c r="AQ85" i="2"/>
  <c r="AP85" i="2"/>
  <c r="AO85" i="2"/>
  <c r="AF85" i="2"/>
  <c r="G85" i="2"/>
  <c r="C85" i="2"/>
  <c r="B85" i="2"/>
  <c r="AL84" i="2" s="1"/>
  <c r="AW84" i="2"/>
  <c r="AV84" i="2"/>
  <c r="AS84" i="2"/>
  <c r="AR84" i="2"/>
  <c r="AQ84" i="2"/>
  <c r="AP84" i="2"/>
  <c r="AO84" i="2"/>
  <c r="AF84" i="2"/>
  <c r="AK84" i="2" s="1"/>
  <c r="G84" i="2"/>
  <c r="C84" i="2"/>
  <c r="B84" i="2"/>
  <c r="AL83" i="2" s="1"/>
  <c r="AW83" i="2"/>
  <c r="AV83" i="2"/>
  <c r="AS83" i="2"/>
  <c r="AR83" i="2"/>
  <c r="AQ83" i="2"/>
  <c r="AP83" i="2"/>
  <c r="AO83" i="2"/>
  <c r="AF83" i="2"/>
  <c r="G83" i="2"/>
  <c r="C83" i="2"/>
  <c r="B83" i="2"/>
  <c r="AW82" i="2"/>
  <c r="AV82" i="2"/>
  <c r="AS82" i="2"/>
  <c r="AR82" i="2"/>
  <c r="AQ82" i="2"/>
  <c r="AP82" i="2"/>
  <c r="AO82" i="2"/>
  <c r="AF82" i="2"/>
  <c r="AK82" i="2" s="1"/>
  <c r="G82" i="2"/>
  <c r="C82" i="2"/>
  <c r="B82" i="2"/>
  <c r="AW81" i="2"/>
  <c r="AV81" i="2"/>
  <c r="AQ81" i="2"/>
  <c r="AP81" i="2"/>
  <c r="AO81" i="2"/>
  <c r="AE81" i="2"/>
  <c r="F68" i="5" s="1"/>
  <c r="AC81" i="2"/>
  <c r="F67" i="5" s="1"/>
  <c r="AA81" i="2"/>
  <c r="Y81" i="2"/>
  <c r="W81" i="2"/>
  <c r="U81" i="2"/>
  <c r="S81" i="2"/>
  <c r="Q81" i="2"/>
  <c r="F61" i="5" s="1"/>
  <c r="O81" i="2"/>
  <c r="M81" i="2"/>
  <c r="K81" i="2"/>
  <c r="G81" i="2"/>
  <c r="C81" i="2"/>
  <c r="B81" i="2"/>
  <c r="AL80" i="2" s="1"/>
  <c r="AW80" i="2"/>
  <c r="AV80" i="2"/>
  <c r="AS80" i="2"/>
  <c r="AR80" i="2"/>
  <c r="AQ80" i="2"/>
  <c r="AP80" i="2"/>
  <c r="AO80" i="2"/>
  <c r="AF80" i="2"/>
  <c r="G80" i="2"/>
  <c r="C80" i="2"/>
  <c r="B80" i="2"/>
  <c r="AW79" i="2"/>
  <c r="AV79" i="2"/>
  <c r="AS79" i="2"/>
  <c r="AR79" i="2"/>
  <c r="AQ79" i="2"/>
  <c r="AP79" i="2"/>
  <c r="AO79" i="2"/>
  <c r="AF79" i="2"/>
  <c r="G79" i="2"/>
  <c r="C79" i="2"/>
  <c r="B79" i="2"/>
  <c r="AL78" i="2" s="1"/>
  <c r="AW78" i="2"/>
  <c r="AV78" i="2"/>
  <c r="AS78" i="2"/>
  <c r="AR78" i="2"/>
  <c r="AQ78" i="2"/>
  <c r="AP78" i="2"/>
  <c r="AO78" i="2"/>
  <c r="AF78" i="2"/>
  <c r="G78" i="2"/>
  <c r="C78" i="2"/>
  <c r="B78" i="2"/>
  <c r="AL77" i="2" s="1"/>
  <c r="AW77" i="2"/>
  <c r="AV77" i="2"/>
  <c r="AS77" i="2"/>
  <c r="AQ77" i="2"/>
  <c r="AP77" i="2"/>
  <c r="AO77" i="2"/>
  <c r="M77" i="2"/>
  <c r="AR77" i="2" s="1"/>
  <c r="G77" i="2"/>
  <c r="C77" i="2"/>
  <c r="B77" i="2"/>
  <c r="AL76" i="2" s="1"/>
  <c r="AW76" i="2"/>
  <c r="AV76" i="2"/>
  <c r="AS76" i="2"/>
  <c r="AQ76" i="2"/>
  <c r="AP76" i="2"/>
  <c r="AO76" i="2"/>
  <c r="M76" i="2"/>
  <c r="AR76" i="2" s="1"/>
  <c r="G76" i="2"/>
  <c r="C76" i="2"/>
  <c r="B76" i="2"/>
  <c r="AL75" i="2" s="1"/>
  <c r="AW75" i="2"/>
  <c r="AV75" i="2"/>
  <c r="AS75" i="2"/>
  <c r="AQ75" i="2"/>
  <c r="AP75" i="2"/>
  <c r="AO75" i="2"/>
  <c r="M75" i="2"/>
  <c r="AR75" i="2" s="1"/>
  <c r="G75" i="2"/>
  <c r="C75" i="2"/>
  <c r="B75" i="2"/>
  <c r="AL74" i="2" s="1"/>
  <c r="AW74" i="2"/>
  <c r="AV74" i="2"/>
  <c r="AS74" i="2"/>
  <c r="AQ74" i="2"/>
  <c r="AP74" i="2"/>
  <c r="AO74" i="2"/>
  <c r="M74" i="2"/>
  <c r="AR74" i="2" s="1"/>
  <c r="G74" i="2"/>
  <c r="C74" i="2"/>
  <c r="B74" i="2"/>
  <c r="AL73" i="2" s="1"/>
  <c r="AW73" i="2"/>
  <c r="AV73" i="2"/>
  <c r="AS73" i="2"/>
  <c r="AQ73" i="2"/>
  <c r="AP73" i="2"/>
  <c r="AO73" i="2"/>
  <c r="M73" i="2"/>
  <c r="G73" i="2"/>
  <c r="C73" i="2"/>
  <c r="B73" i="2"/>
  <c r="AW72" i="2"/>
  <c r="AV72" i="2"/>
  <c r="AS72" i="2"/>
  <c r="AR72" i="2"/>
  <c r="AQ72" i="2"/>
  <c r="AP72" i="2"/>
  <c r="AO72" i="2"/>
  <c r="AF72" i="2"/>
  <c r="AK72" i="2" s="1"/>
  <c r="G72" i="2"/>
  <c r="C72" i="2"/>
  <c r="B72" i="2"/>
  <c r="AL71" i="2" s="1"/>
  <c r="AW71" i="2"/>
  <c r="AV71" i="2"/>
  <c r="AS71" i="2"/>
  <c r="AR71" i="2"/>
  <c r="AQ71" i="2"/>
  <c r="AP71" i="2"/>
  <c r="AO71" i="2"/>
  <c r="AF71" i="2"/>
  <c r="M71" i="2"/>
  <c r="G71" i="2"/>
  <c r="C71" i="2"/>
  <c r="B71" i="2"/>
  <c r="AL70" i="2" s="1"/>
  <c r="AW70" i="2"/>
  <c r="AV70" i="2"/>
  <c r="AS70" i="2"/>
  <c r="AR70" i="2"/>
  <c r="AQ70" i="2"/>
  <c r="AP70" i="2"/>
  <c r="AO70" i="2"/>
  <c r="AF70" i="2"/>
  <c r="M70" i="2"/>
  <c r="G70" i="2"/>
  <c r="C70" i="2"/>
  <c r="B70" i="2"/>
  <c r="AL69" i="2" s="1"/>
  <c r="AW69" i="2"/>
  <c r="AV69" i="2"/>
  <c r="AS69" i="2"/>
  <c r="AR69" i="2"/>
  <c r="AQ69" i="2"/>
  <c r="AP69" i="2"/>
  <c r="AO69" i="2"/>
  <c r="AF69" i="2"/>
  <c r="G69" i="2"/>
  <c r="C69" i="2"/>
  <c r="B69" i="2"/>
  <c r="AL68" i="2" s="1"/>
  <c r="AW68" i="2"/>
  <c r="AV68" i="2"/>
  <c r="AS68" i="2"/>
  <c r="AR68" i="2"/>
  <c r="AQ68" i="2"/>
  <c r="AP68" i="2"/>
  <c r="AO68" i="2"/>
  <c r="AF68" i="2"/>
  <c r="G68" i="2"/>
  <c r="C68" i="2"/>
  <c r="B68" i="2"/>
  <c r="AL67" i="2" s="1"/>
  <c r="AW67" i="2"/>
  <c r="AV67" i="2"/>
  <c r="AS67" i="2"/>
  <c r="AR67" i="2"/>
  <c r="AQ67" i="2"/>
  <c r="AP67" i="2"/>
  <c r="AO67" i="2"/>
  <c r="AF67" i="2"/>
  <c r="M67" i="2"/>
  <c r="G67" i="2"/>
  <c r="C67" i="2"/>
  <c r="B67" i="2"/>
  <c r="AL66" i="2" s="1"/>
  <c r="AW66" i="2"/>
  <c r="AV66" i="2"/>
  <c r="AS66" i="2"/>
  <c r="AR66" i="2"/>
  <c r="AQ66" i="2"/>
  <c r="AP66" i="2"/>
  <c r="AO66" i="2"/>
  <c r="AF66" i="2"/>
  <c r="G66" i="2"/>
  <c r="C66" i="2"/>
  <c r="B66" i="2"/>
  <c r="AL65" i="2" s="1"/>
  <c r="AW65" i="2"/>
  <c r="AV65" i="2"/>
  <c r="AS65" i="2"/>
  <c r="AR65" i="2"/>
  <c r="AQ65" i="2"/>
  <c r="AP65" i="2"/>
  <c r="AO65" i="2"/>
  <c r="M65" i="2"/>
  <c r="AF65" i="2" s="1"/>
  <c r="G65" i="2"/>
  <c r="C65" i="2"/>
  <c r="B65" i="2"/>
  <c r="AL64" i="2" s="1"/>
  <c r="AW64" i="2"/>
  <c r="AV64" i="2"/>
  <c r="AS64" i="2"/>
  <c r="AR64" i="2"/>
  <c r="AQ64" i="2"/>
  <c r="AP64" i="2"/>
  <c r="AO64" i="2"/>
  <c r="AF64" i="2"/>
  <c r="G64" i="2"/>
  <c r="C64" i="2"/>
  <c r="B64" i="2"/>
  <c r="AL63" i="2" s="1"/>
  <c r="AW63" i="2"/>
  <c r="AV63" i="2"/>
  <c r="AS63" i="2"/>
  <c r="AQ63" i="2"/>
  <c r="AP63" i="2"/>
  <c r="AO63" i="2"/>
  <c r="M63" i="2"/>
  <c r="F64" i="5" s="1"/>
  <c r="G63" i="2"/>
  <c r="C63" i="2"/>
  <c r="B63" i="2"/>
  <c r="AW62" i="2"/>
  <c r="AV62" i="2"/>
  <c r="AS62" i="2"/>
  <c r="AQ62" i="2"/>
  <c r="AP62" i="2"/>
  <c r="AO62" i="2"/>
  <c r="AF62" i="2"/>
  <c r="AK62" i="2" s="1"/>
  <c r="M62" i="2"/>
  <c r="AR62" i="2" s="1"/>
  <c r="G62" i="2"/>
  <c r="C62" i="2"/>
  <c r="B62" i="2"/>
  <c r="AL61" i="2" s="1"/>
  <c r="AW61" i="2"/>
  <c r="AV61" i="2"/>
  <c r="AS61" i="2"/>
  <c r="AQ61" i="2"/>
  <c r="AP61" i="2"/>
  <c r="AO61" i="2"/>
  <c r="M61" i="2"/>
  <c r="AR61" i="2" s="1"/>
  <c r="G61" i="2"/>
  <c r="C61" i="2"/>
  <c r="B61" i="2"/>
  <c r="AW60" i="2"/>
  <c r="AV60" i="2"/>
  <c r="AS60" i="2"/>
  <c r="AQ60" i="2"/>
  <c r="AP60" i="2"/>
  <c r="AO60" i="2"/>
  <c r="AF60" i="2"/>
  <c r="AI60" i="2" s="1"/>
  <c r="M60" i="2"/>
  <c r="AR60" i="2" s="1"/>
  <c r="G60" i="2"/>
  <c r="C60" i="2"/>
  <c r="B60" i="2"/>
  <c r="AL59" i="2" s="1"/>
  <c r="AW59" i="2"/>
  <c r="AV59" i="2"/>
  <c r="AS59" i="2"/>
  <c r="AQ59" i="2"/>
  <c r="AP59" i="2"/>
  <c r="AO59" i="2"/>
  <c r="M59" i="2"/>
  <c r="AR59" i="2" s="1"/>
  <c r="G59" i="2"/>
  <c r="C59" i="2"/>
  <c r="B59" i="2"/>
  <c r="AW58" i="2"/>
  <c r="AV58" i="2"/>
  <c r="AS58" i="2"/>
  <c r="AQ58" i="2"/>
  <c r="AP58" i="2"/>
  <c r="AO58" i="2"/>
  <c r="AF58" i="2"/>
  <c r="AK58" i="2" s="1"/>
  <c r="M58" i="2"/>
  <c r="AR58" i="2" s="1"/>
  <c r="G58" i="2"/>
  <c r="C58" i="2"/>
  <c r="B58" i="2"/>
  <c r="AL57" i="2" s="1"/>
  <c r="AW57" i="2"/>
  <c r="AV57" i="2"/>
  <c r="AS57" i="2"/>
  <c r="AQ57" i="2"/>
  <c r="AP57" i="2"/>
  <c r="AO57" i="2"/>
  <c r="M57" i="2"/>
  <c r="AR57" i="2" s="1"/>
  <c r="G57" i="2"/>
  <c r="C57" i="2"/>
  <c r="B57" i="2"/>
  <c r="AW56" i="2"/>
  <c r="AV56" i="2"/>
  <c r="AS56" i="2"/>
  <c r="AQ56" i="2"/>
  <c r="AP56" i="2"/>
  <c r="AO56" i="2"/>
  <c r="AF56" i="2"/>
  <c r="M56" i="2"/>
  <c r="AR56" i="2" s="1"/>
  <c r="G56" i="2"/>
  <c r="C56" i="2"/>
  <c r="B56" i="2"/>
  <c r="AL55" i="2" s="1"/>
  <c r="AW55" i="2"/>
  <c r="AV55" i="2"/>
  <c r="AS55" i="2"/>
  <c r="AQ55" i="2"/>
  <c r="AP55" i="2"/>
  <c r="AO55" i="2"/>
  <c r="M55" i="2"/>
  <c r="AR55" i="2" s="1"/>
  <c r="G55" i="2"/>
  <c r="C55" i="2"/>
  <c r="B55" i="2"/>
  <c r="AW54" i="2"/>
  <c r="AV54" i="2"/>
  <c r="AS54" i="2"/>
  <c r="AQ54" i="2"/>
  <c r="AP54" i="2"/>
  <c r="AO54" i="2"/>
  <c r="AF54" i="2"/>
  <c r="AK54" i="2" s="1"/>
  <c r="M54" i="2"/>
  <c r="AR54" i="2" s="1"/>
  <c r="G54" i="2"/>
  <c r="C54" i="2"/>
  <c r="B54" i="2"/>
  <c r="AL53" i="2" s="1"/>
  <c r="AW53" i="2"/>
  <c r="AV53" i="2"/>
  <c r="AS53" i="2"/>
  <c r="AQ53" i="2"/>
  <c r="AP53" i="2"/>
  <c r="AO53" i="2"/>
  <c r="M53" i="2"/>
  <c r="AR53" i="2" s="1"/>
  <c r="G53" i="2"/>
  <c r="C53" i="2"/>
  <c r="B53" i="2"/>
  <c r="AW52" i="2"/>
  <c r="AV52" i="2"/>
  <c r="AS52" i="2"/>
  <c r="AQ52" i="2"/>
  <c r="AP52" i="2"/>
  <c r="AO52" i="2"/>
  <c r="AF52" i="2"/>
  <c r="AI52" i="2" s="1"/>
  <c r="M52" i="2"/>
  <c r="AR52" i="2" s="1"/>
  <c r="G52" i="2"/>
  <c r="C52" i="2"/>
  <c r="B52" i="2"/>
  <c r="AL51" i="2" s="1"/>
  <c r="AW51" i="2"/>
  <c r="AV51" i="2"/>
  <c r="AS51" i="2"/>
  <c r="AQ51" i="2"/>
  <c r="AP51" i="2"/>
  <c r="AO51" i="2"/>
  <c r="M51" i="2"/>
  <c r="AR51" i="2" s="1"/>
  <c r="G51" i="2"/>
  <c r="C51" i="2"/>
  <c r="B51" i="2"/>
  <c r="AW50" i="2"/>
  <c r="AV50" i="2"/>
  <c r="AS50" i="2"/>
  <c r="AQ50" i="2"/>
  <c r="AP50" i="2"/>
  <c r="AO50" i="2"/>
  <c r="AF50" i="2"/>
  <c r="AK50" i="2" s="1"/>
  <c r="M50" i="2"/>
  <c r="AR50" i="2" s="1"/>
  <c r="G50" i="2"/>
  <c r="C50" i="2"/>
  <c r="B50" i="2"/>
  <c r="AL49" i="2" s="1"/>
  <c r="AW49" i="2"/>
  <c r="AV49" i="2"/>
  <c r="AS49" i="2"/>
  <c r="AQ49" i="2"/>
  <c r="AP49" i="2"/>
  <c r="AO49" i="2"/>
  <c r="M49" i="2"/>
  <c r="AR49" i="2" s="1"/>
  <c r="G49" i="2"/>
  <c r="C49" i="2"/>
  <c r="B49" i="2"/>
  <c r="AW48" i="2"/>
  <c r="AV48" i="2"/>
  <c r="AS48" i="2"/>
  <c r="AQ48" i="2"/>
  <c r="AP48" i="2"/>
  <c r="AO48" i="2"/>
  <c r="AF48" i="2"/>
  <c r="M48" i="2"/>
  <c r="AR48" i="2" s="1"/>
  <c r="G48" i="2"/>
  <c r="C48" i="2"/>
  <c r="B48" i="2"/>
  <c r="AL47" i="2" s="1"/>
  <c r="AW47" i="2"/>
  <c r="AV47" i="2"/>
  <c r="AS47" i="2"/>
  <c r="AQ47" i="2"/>
  <c r="AP47" i="2"/>
  <c r="AO47" i="2"/>
  <c r="M47" i="2"/>
  <c r="AR47" i="2" s="1"/>
  <c r="G47" i="2"/>
  <c r="C47" i="2"/>
  <c r="B47" i="2"/>
  <c r="AL46" i="2" s="1"/>
  <c r="AW46" i="2"/>
  <c r="AV46" i="2"/>
  <c r="AS46" i="2"/>
  <c r="AQ46" i="2"/>
  <c r="AP46" i="2"/>
  <c r="AO46" i="2"/>
  <c r="AF46" i="2"/>
  <c r="AK46" i="2" s="1"/>
  <c r="M46" i="2"/>
  <c r="AR46" i="2" s="1"/>
  <c r="G46" i="2"/>
  <c r="C46" i="2"/>
  <c r="B46" i="2"/>
  <c r="AL45" i="2" s="1"/>
  <c r="AW45" i="2"/>
  <c r="AV45" i="2"/>
  <c r="AS45" i="2"/>
  <c r="AQ45" i="2"/>
  <c r="AP45" i="2"/>
  <c r="AO45" i="2"/>
  <c r="M45" i="2"/>
  <c r="AR45" i="2" s="1"/>
  <c r="G45" i="2"/>
  <c r="C45" i="2"/>
  <c r="B45" i="2"/>
  <c r="AL44" i="2" s="1"/>
  <c r="AW44" i="2"/>
  <c r="AV44" i="2"/>
  <c r="AS44" i="2"/>
  <c r="AQ44" i="2"/>
  <c r="AP44" i="2"/>
  <c r="AO44" i="2"/>
  <c r="AF44" i="2"/>
  <c r="M44" i="2"/>
  <c r="AR44" i="2" s="1"/>
  <c r="G44" i="2"/>
  <c r="C44" i="2"/>
  <c r="B44" i="2"/>
  <c r="AL43" i="2" s="1"/>
  <c r="AW43" i="2"/>
  <c r="AV43" i="2"/>
  <c r="AS43" i="2"/>
  <c r="AQ43" i="2"/>
  <c r="AP43" i="2"/>
  <c r="AO43" i="2"/>
  <c r="M43" i="2"/>
  <c r="AR43" i="2" s="1"/>
  <c r="G43" i="2"/>
  <c r="C43" i="2"/>
  <c r="B43" i="2"/>
  <c r="AL42" i="2" s="1"/>
  <c r="AW42" i="2"/>
  <c r="AV42" i="2"/>
  <c r="AS42" i="2"/>
  <c r="AQ42" i="2"/>
  <c r="AP42" i="2"/>
  <c r="AO42" i="2"/>
  <c r="AF42" i="2"/>
  <c r="AK42" i="2" s="1"/>
  <c r="M42" i="2"/>
  <c r="AR42" i="2" s="1"/>
  <c r="G42" i="2"/>
  <c r="C42" i="2"/>
  <c r="B42" i="2"/>
  <c r="AL41" i="2" s="1"/>
  <c r="AW41" i="2"/>
  <c r="AV41" i="2"/>
  <c r="AS41" i="2"/>
  <c r="AQ41" i="2"/>
  <c r="AP41" i="2"/>
  <c r="AO41" i="2"/>
  <c r="M41" i="2"/>
  <c r="AR41" i="2" s="1"/>
  <c r="G41" i="2"/>
  <c r="C41" i="2"/>
  <c r="B41" i="2"/>
  <c r="AL40" i="2" s="1"/>
  <c r="AW40" i="2"/>
  <c r="AV40" i="2"/>
  <c r="AS40" i="2"/>
  <c r="AQ40" i="2"/>
  <c r="AP40" i="2"/>
  <c r="AO40" i="2"/>
  <c r="AF40" i="2"/>
  <c r="AI40" i="2" s="1"/>
  <c r="M40" i="2"/>
  <c r="AR40" i="2" s="1"/>
  <c r="G40" i="2"/>
  <c r="C40" i="2"/>
  <c r="B40" i="2"/>
  <c r="AL39" i="2" s="1"/>
  <c r="AW39" i="2"/>
  <c r="AV39" i="2"/>
  <c r="AS39" i="2"/>
  <c r="AQ39" i="2"/>
  <c r="AP39" i="2"/>
  <c r="AO39" i="2"/>
  <c r="M39" i="2"/>
  <c r="AR39" i="2" s="1"/>
  <c r="G39" i="2"/>
  <c r="C39" i="2"/>
  <c r="B39" i="2"/>
  <c r="AL38" i="2" s="1"/>
  <c r="AW38" i="2"/>
  <c r="AV38" i="2"/>
  <c r="AS38" i="2"/>
  <c r="AQ38" i="2"/>
  <c r="AP38" i="2"/>
  <c r="AO38" i="2"/>
  <c r="AF38" i="2"/>
  <c r="M38" i="2"/>
  <c r="AR38" i="2" s="1"/>
  <c r="G38" i="2"/>
  <c r="C38" i="2"/>
  <c r="B38" i="2"/>
  <c r="AL37" i="2" s="1"/>
  <c r="AW37" i="2"/>
  <c r="AV37" i="2"/>
  <c r="AS37" i="2"/>
  <c r="AQ37" i="2"/>
  <c r="AP37" i="2"/>
  <c r="AO37" i="2"/>
  <c r="M37" i="2"/>
  <c r="AR37" i="2" s="1"/>
  <c r="G37" i="2"/>
  <c r="C37" i="2"/>
  <c r="B37" i="2"/>
  <c r="AL36" i="2" s="1"/>
  <c r="AW36" i="2"/>
  <c r="AV36" i="2"/>
  <c r="AS36" i="2"/>
  <c r="AQ36" i="2"/>
  <c r="AP36" i="2"/>
  <c r="AO36" i="2"/>
  <c r="AF36" i="2"/>
  <c r="M36" i="2"/>
  <c r="AR36" i="2" s="1"/>
  <c r="G36" i="2"/>
  <c r="C36" i="2"/>
  <c r="B36" i="2"/>
  <c r="AL35" i="2" s="1"/>
  <c r="AW35" i="2"/>
  <c r="AV35" i="2"/>
  <c r="AS35" i="2"/>
  <c r="AQ35" i="2"/>
  <c r="AP35" i="2"/>
  <c r="AO35" i="2"/>
  <c r="M35" i="2"/>
  <c r="E64" i="5" s="1"/>
  <c r="G35" i="2"/>
  <c r="C35" i="2"/>
  <c r="B35" i="2"/>
  <c r="AW34" i="2"/>
  <c r="AV34" i="2"/>
  <c r="AS34" i="2"/>
  <c r="AQ34" i="2"/>
  <c r="AP34" i="2"/>
  <c r="AO34" i="2"/>
  <c r="AF34" i="2"/>
  <c r="M34" i="2"/>
  <c r="AR34" i="2" s="1"/>
  <c r="G34" i="2"/>
  <c r="C34" i="2"/>
  <c r="B34" i="2"/>
  <c r="AL33" i="2" s="1"/>
  <c r="AW33" i="2"/>
  <c r="AV33" i="2"/>
  <c r="AS33" i="2"/>
  <c r="AQ33" i="2"/>
  <c r="AP33" i="2"/>
  <c r="AO33" i="2"/>
  <c r="M33" i="2"/>
  <c r="AR33" i="2" s="1"/>
  <c r="G33" i="2"/>
  <c r="C33" i="2"/>
  <c r="B33" i="2"/>
  <c r="AW32" i="2"/>
  <c r="AV32" i="2"/>
  <c r="AS32" i="2"/>
  <c r="AQ32" i="2"/>
  <c r="AP32" i="2"/>
  <c r="AO32" i="2"/>
  <c r="AF32" i="2"/>
  <c r="M32" i="2"/>
  <c r="AR32" i="2" s="1"/>
  <c r="G32" i="2"/>
  <c r="C32" i="2"/>
  <c r="B32" i="2"/>
  <c r="AL31" i="2" s="1"/>
  <c r="AW31" i="2"/>
  <c r="AV31" i="2"/>
  <c r="AS31" i="2"/>
  <c r="AQ31" i="2"/>
  <c r="AP31" i="2"/>
  <c r="AO31" i="2"/>
  <c r="M31" i="2"/>
  <c r="AR31" i="2" s="1"/>
  <c r="G31" i="2"/>
  <c r="C31" i="2"/>
  <c r="B31" i="2"/>
  <c r="AW30" i="2"/>
  <c r="AV30" i="2"/>
  <c r="AS30" i="2"/>
  <c r="AQ30" i="2"/>
  <c r="AP30" i="2"/>
  <c r="AO30" i="2"/>
  <c r="AF30" i="2"/>
  <c r="M30" i="2"/>
  <c r="AR30" i="2" s="1"/>
  <c r="G30" i="2"/>
  <c r="C30" i="2"/>
  <c r="B30" i="2"/>
  <c r="AL29" i="2" s="1"/>
  <c r="AW29" i="2"/>
  <c r="AV29" i="2"/>
  <c r="AS29" i="2"/>
  <c r="AQ29" i="2"/>
  <c r="AP29" i="2"/>
  <c r="AO29" i="2"/>
  <c r="M29" i="2"/>
  <c r="AR29" i="2" s="1"/>
  <c r="G29" i="2"/>
  <c r="C29" i="2"/>
  <c r="B29" i="2"/>
  <c r="AW28" i="2"/>
  <c r="AV28" i="2"/>
  <c r="AS28" i="2"/>
  <c r="AQ28" i="2"/>
  <c r="AP28" i="2"/>
  <c r="AO28" i="2"/>
  <c r="AF28" i="2"/>
  <c r="AI28" i="2" s="1"/>
  <c r="M28" i="2"/>
  <c r="AR28" i="2" s="1"/>
  <c r="G28" i="2"/>
  <c r="C28" i="2"/>
  <c r="B28" i="2"/>
  <c r="AL27" i="2" s="1"/>
  <c r="AW27" i="2"/>
  <c r="AV27" i="2"/>
  <c r="AS27" i="2"/>
  <c r="AQ27" i="2"/>
  <c r="AP27" i="2"/>
  <c r="AO27" i="2"/>
  <c r="M27" i="2"/>
  <c r="AR27" i="2" s="1"/>
  <c r="G27" i="2"/>
  <c r="C27" i="2"/>
  <c r="B27" i="2"/>
  <c r="AW26" i="2"/>
  <c r="AV26" i="2"/>
  <c r="AS26" i="2"/>
  <c r="AQ26" i="2"/>
  <c r="AP26" i="2"/>
  <c r="AO26" i="2"/>
  <c r="AF26" i="2"/>
  <c r="M26" i="2"/>
  <c r="AR26" i="2" s="1"/>
  <c r="G26" i="2"/>
  <c r="C26" i="2"/>
  <c r="B26" i="2"/>
  <c r="AL25" i="2" s="1"/>
  <c r="AW25" i="2"/>
  <c r="AV25" i="2"/>
  <c r="AS25" i="2"/>
  <c r="AQ25" i="2"/>
  <c r="AP25" i="2"/>
  <c r="AO25" i="2"/>
  <c r="M25" i="2"/>
  <c r="AR25" i="2" s="1"/>
  <c r="G25" i="2"/>
  <c r="C25" i="2"/>
  <c r="B25" i="2"/>
  <c r="AW24" i="2"/>
  <c r="AV24" i="2"/>
  <c r="AS24" i="2"/>
  <c r="AR24" i="2"/>
  <c r="AQ24" i="2"/>
  <c r="AP24" i="2"/>
  <c r="AO24" i="2"/>
  <c r="AF24" i="2"/>
  <c r="M24" i="2"/>
  <c r="G24" i="2"/>
  <c r="C24" i="2"/>
  <c r="B24" i="2"/>
  <c r="AL23" i="2" s="1"/>
  <c r="AW23" i="2"/>
  <c r="AV23" i="2"/>
  <c r="AS23" i="2"/>
  <c r="AQ23" i="2"/>
  <c r="AP23" i="2"/>
  <c r="AO23" i="2"/>
  <c r="M23" i="2"/>
  <c r="AR23" i="2" s="1"/>
  <c r="G23" i="2"/>
  <c r="C23" i="2"/>
  <c r="B23" i="2"/>
  <c r="AW22" i="2"/>
  <c r="AV22" i="2"/>
  <c r="AS22" i="2"/>
  <c r="AR22" i="2"/>
  <c r="AQ22" i="2"/>
  <c r="AP22" i="2"/>
  <c r="AO22" i="2"/>
  <c r="AF22" i="2"/>
  <c r="M22" i="2"/>
  <c r="G22" i="2"/>
  <c r="C22" i="2"/>
  <c r="B22" i="2"/>
  <c r="AL21" i="2" s="1"/>
  <c r="AW21" i="2"/>
  <c r="AV21" i="2"/>
  <c r="AS21" i="2"/>
  <c r="AQ21" i="2"/>
  <c r="AP21" i="2"/>
  <c r="AO21" i="2"/>
  <c r="M21" i="2"/>
  <c r="AR21" i="2" s="1"/>
  <c r="G21" i="2"/>
  <c r="C21" i="2"/>
  <c r="B21" i="2"/>
  <c r="AW20" i="2"/>
  <c r="AV20" i="2"/>
  <c r="AS20" i="2"/>
  <c r="AR20" i="2"/>
  <c r="AQ20" i="2"/>
  <c r="AP20" i="2"/>
  <c r="AO20" i="2"/>
  <c r="AF20" i="2"/>
  <c r="M20" i="2"/>
  <c r="G20" i="2"/>
  <c r="C20" i="2"/>
  <c r="B20" i="2"/>
  <c r="AL19" i="2" s="1"/>
  <c r="AW19" i="2"/>
  <c r="AV19" i="2"/>
  <c r="AS19" i="2"/>
  <c r="AQ19" i="2"/>
  <c r="AP19" i="2"/>
  <c r="AO19" i="2"/>
  <c r="M19" i="2"/>
  <c r="AR19" i="2" s="1"/>
  <c r="G19" i="2"/>
  <c r="C19" i="2"/>
  <c r="B19" i="2"/>
  <c r="AW18" i="2"/>
  <c r="AV18" i="2"/>
  <c r="AS18" i="2"/>
  <c r="AR18" i="2"/>
  <c r="AQ18" i="2"/>
  <c r="AP18" i="2"/>
  <c r="AO18" i="2"/>
  <c r="AF18" i="2"/>
  <c r="M18" i="2"/>
  <c r="G18" i="2"/>
  <c r="C18" i="2"/>
  <c r="B18" i="2"/>
  <c r="AL17" i="2" s="1"/>
  <c r="AW17" i="2"/>
  <c r="AV17" i="2"/>
  <c r="AS17" i="2"/>
  <c r="AQ17" i="2"/>
  <c r="AP17" i="2"/>
  <c r="AO17" i="2"/>
  <c r="M17" i="2"/>
  <c r="AR17" i="2" s="1"/>
  <c r="G17" i="2"/>
  <c r="C17" i="2"/>
  <c r="B17" i="2"/>
  <c r="AW16" i="2"/>
  <c r="AV16" i="2"/>
  <c r="AS16" i="2"/>
  <c r="AR16" i="2"/>
  <c r="AQ16" i="2"/>
  <c r="AP16" i="2"/>
  <c r="AO16" i="2"/>
  <c r="AF16" i="2"/>
  <c r="M16" i="2"/>
  <c r="G16" i="2"/>
  <c r="C16" i="2"/>
  <c r="B16" i="2"/>
  <c r="AL15" i="2" s="1"/>
  <c r="AW15" i="2"/>
  <c r="AV15" i="2"/>
  <c r="AS15" i="2"/>
  <c r="AQ15" i="2"/>
  <c r="AP15" i="2"/>
  <c r="AO15" i="2"/>
  <c r="M15" i="2"/>
  <c r="AR15" i="2" s="1"/>
  <c r="G15" i="2"/>
  <c r="C15" i="2"/>
  <c r="B15" i="2"/>
  <c r="AW14" i="2"/>
  <c r="AV14" i="2"/>
  <c r="AS14" i="2"/>
  <c r="AR14" i="2"/>
  <c r="AQ14" i="2"/>
  <c r="AP14" i="2"/>
  <c r="AO14" i="2"/>
  <c r="AF14" i="2"/>
  <c r="M14" i="2"/>
  <c r="G14" i="2"/>
  <c r="C14" i="2"/>
  <c r="B14" i="2"/>
  <c r="AL13" i="2" s="1"/>
  <c r="AW13" i="2"/>
  <c r="AV13" i="2"/>
  <c r="AS13" i="2"/>
  <c r="AQ13" i="2"/>
  <c r="AP13" i="2"/>
  <c r="AO13" i="2"/>
  <c r="M13" i="2"/>
  <c r="AR13" i="2" s="1"/>
  <c r="G13" i="2"/>
  <c r="C13" i="2"/>
  <c r="B13" i="2"/>
  <c r="AW12" i="2"/>
  <c r="AV12" i="2"/>
  <c r="AS12" i="2"/>
  <c r="AR12" i="2"/>
  <c r="AQ12" i="2"/>
  <c r="AP12" i="2"/>
  <c r="AO12" i="2"/>
  <c r="AF12" i="2"/>
  <c r="M12" i="2"/>
  <c r="G12" i="2"/>
  <c r="C12" i="2"/>
  <c r="B12" i="2"/>
  <c r="AL11" i="2" s="1"/>
  <c r="AW11" i="2"/>
  <c r="AV11" i="2"/>
  <c r="AS11" i="2"/>
  <c r="AQ11" i="2"/>
  <c r="AP11" i="2"/>
  <c r="AO11" i="2"/>
  <c r="M11" i="2"/>
  <c r="AR11" i="2" s="1"/>
  <c r="G11" i="2"/>
  <c r="C11" i="2"/>
  <c r="B11" i="2"/>
  <c r="AW10" i="2"/>
  <c r="AV10" i="2"/>
  <c r="AS10" i="2"/>
  <c r="AR10" i="2"/>
  <c r="AQ10" i="2"/>
  <c r="AP10" i="2"/>
  <c r="AO10" i="2"/>
  <c r="AF10" i="2"/>
  <c r="M10" i="2"/>
  <c r="G10" i="2"/>
  <c r="C10" i="2"/>
  <c r="B10" i="2"/>
  <c r="AL9" i="2" s="1"/>
  <c r="AW9" i="2"/>
  <c r="AV9" i="2"/>
  <c r="AS9" i="2"/>
  <c r="AQ9" i="2"/>
  <c r="AP9" i="2"/>
  <c r="AO9" i="2"/>
  <c r="M9" i="2"/>
  <c r="AR9" i="2" s="1"/>
  <c r="G9" i="2"/>
  <c r="C9" i="2"/>
  <c r="B9" i="2"/>
  <c r="AW8" i="2"/>
  <c r="AV8" i="2"/>
  <c r="AS8" i="2"/>
  <c r="AR8" i="2"/>
  <c r="AQ8" i="2"/>
  <c r="AP8" i="2"/>
  <c r="AO8" i="2"/>
  <c r="AF8" i="2"/>
  <c r="M8" i="2"/>
  <c r="G8" i="2"/>
  <c r="C8" i="2"/>
  <c r="B8" i="2"/>
  <c r="AL7" i="2" s="1"/>
  <c r="AW7" i="2"/>
  <c r="AV7" i="2"/>
  <c r="AS7" i="2"/>
  <c r="AQ7" i="2"/>
  <c r="AP7" i="2"/>
  <c r="AO7" i="2"/>
  <c r="M7" i="2"/>
  <c r="AR7" i="2" s="1"/>
  <c r="G7" i="2"/>
  <c r="C7" i="2"/>
  <c r="B7" i="2"/>
  <c r="AW6" i="2"/>
  <c r="AV6" i="2"/>
  <c r="AS6" i="2"/>
  <c r="AR6" i="2"/>
  <c r="AQ6" i="2"/>
  <c r="AP6" i="2"/>
  <c r="AO6" i="2"/>
  <c r="AF6" i="2"/>
  <c r="M6" i="2"/>
  <c r="G6" i="2"/>
  <c r="C6" i="2"/>
  <c r="B6" i="2"/>
  <c r="AL5" i="2" s="1"/>
  <c r="AW5" i="2"/>
  <c r="AV5" i="2"/>
  <c r="AS5" i="2"/>
  <c r="AQ5" i="2"/>
  <c r="AP5" i="2"/>
  <c r="AO5" i="2"/>
  <c r="M5" i="2"/>
  <c r="G5" i="2"/>
  <c r="C5" i="2"/>
  <c r="B5" i="2"/>
  <c r="AW4" i="2"/>
  <c r="AV4" i="2"/>
  <c r="AS4" i="2"/>
  <c r="AR4" i="2"/>
  <c r="AQ4" i="2"/>
  <c r="AP4" i="2"/>
  <c r="AO4" i="2"/>
  <c r="AF4" i="2"/>
  <c r="G4" i="2"/>
  <c r="C4" i="2"/>
  <c r="AD1" i="2"/>
  <c r="AB1" i="2"/>
  <c r="Z1" i="2"/>
  <c r="X1" i="2"/>
  <c r="V1" i="2"/>
  <c r="T1" i="2"/>
  <c r="P1" i="2"/>
  <c r="L1" i="2"/>
  <c r="J1" i="2"/>
  <c r="G2" i="2" l="1"/>
  <c r="AQ2" i="2"/>
  <c r="AW2" i="2"/>
  <c r="AR2" i="2"/>
  <c r="BE269" i="2"/>
  <c r="M2" i="1"/>
  <c r="U2" i="1"/>
  <c r="AC2" i="1"/>
  <c r="H2" i="1"/>
  <c r="C2" i="2"/>
  <c r="AP2" i="2"/>
  <c r="AV2" i="2"/>
  <c r="AE2" i="1"/>
  <c r="BD274" i="2"/>
  <c r="BF274" i="2"/>
  <c r="B368" i="1"/>
  <c r="AL368" i="1" s="1"/>
  <c r="E2" i="1"/>
  <c r="Q2" i="1"/>
  <c r="Y2" i="1"/>
  <c r="J2" i="1"/>
  <c r="BE274" i="2"/>
  <c r="BC274" i="2"/>
  <c r="O2" i="1"/>
  <c r="W2" i="1"/>
  <c r="AW155" i="1"/>
  <c r="I2" i="1"/>
  <c r="BD269" i="2"/>
  <c r="BE270" i="2"/>
  <c r="K2" i="1"/>
  <c r="S2" i="1"/>
  <c r="AA2" i="1"/>
  <c r="AL246" i="2"/>
  <c r="B2" i="2"/>
  <c r="AJ4" i="1"/>
  <c r="BF270" i="2"/>
  <c r="P133" i="5"/>
  <c r="BE271" i="2"/>
  <c r="BC271" i="2"/>
  <c r="BD272" i="2"/>
  <c r="BF272" i="2"/>
  <c r="BE272" i="2"/>
  <c r="BC272" i="2"/>
  <c r="BF273" i="2"/>
  <c r="BD273" i="2"/>
  <c r="BD263" i="2"/>
  <c r="BE264" i="2"/>
  <c r="BF265" i="2"/>
  <c r="BC266" i="2"/>
  <c r="BF269" i="2"/>
  <c r="BC270" i="2"/>
  <c r="BD271" i="2"/>
  <c r="BF271" i="2"/>
  <c r="BC269" i="2"/>
  <c r="BD270" i="2"/>
  <c r="BE273" i="2"/>
  <c r="BC273" i="2"/>
  <c r="BE263" i="2"/>
  <c r="BC265" i="2"/>
  <c r="BF264" i="2"/>
  <c r="BD266" i="2"/>
  <c r="BC263" i="2"/>
  <c r="BD264" i="2"/>
  <c r="BE265" i="2"/>
  <c r="BF266" i="2"/>
  <c r="BC267" i="2"/>
  <c r="BE267" i="2"/>
  <c r="BD268" i="2"/>
  <c r="BF268" i="2"/>
  <c r="BD267" i="2"/>
  <c r="BF267" i="2"/>
  <c r="BF263" i="2"/>
  <c r="BC264" i="2"/>
  <c r="BD265" i="2"/>
  <c r="BE266" i="2"/>
  <c r="BC268" i="2"/>
  <c r="BE268" i="2"/>
  <c r="BF234" i="2"/>
  <c r="BC235" i="2"/>
  <c r="BD240" i="2"/>
  <c r="BE241" i="2"/>
  <c r="AS249" i="1"/>
  <c r="BD249" i="1" s="1"/>
  <c r="AS251" i="1"/>
  <c r="BD251" i="1" s="1"/>
  <c r="AS253" i="1"/>
  <c r="AY253" i="1" s="1"/>
  <c r="AS255" i="1"/>
  <c r="AS257" i="1"/>
  <c r="AY257" i="1" s="1"/>
  <c r="G376" i="2"/>
  <c r="P61" i="5"/>
  <c r="S36" i="7"/>
  <c r="BC249" i="2"/>
  <c r="BD250" i="2"/>
  <c r="BE251" i="2"/>
  <c r="BF252" i="2"/>
  <c r="BC253" i="2"/>
  <c r="BD254" i="2"/>
  <c r="AS268" i="1"/>
  <c r="AR262" i="1"/>
  <c r="AT262" i="1" s="1"/>
  <c r="AR264" i="1"/>
  <c r="AR266" i="1"/>
  <c r="AR276" i="1"/>
  <c r="AX276" i="1" s="1"/>
  <c r="BE234" i="2"/>
  <c r="BF235" i="2"/>
  <c r="BC236" i="2"/>
  <c r="BD237" i="2"/>
  <c r="BD241" i="2"/>
  <c r="BC248" i="2"/>
  <c r="BD249" i="2"/>
  <c r="BE250" i="2"/>
  <c r="BF251" i="2"/>
  <c r="BC252" i="2"/>
  <c r="BD253" i="2"/>
  <c r="BE254" i="2"/>
  <c r="BE260" i="2"/>
  <c r="AR271" i="1"/>
  <c r="AR273" i="1"/>
  <c r="AR275" i="1"/>
  <c r="AX275" i="1" s="1"/>
  <c r="BC238" i="2"/>
  <c r="BE240" i="2"/>
  <c r="BE248" i="2"/>
  <c r="BF249" i="2"/>
  <c r="BC250" i="2"/>
  <c r="BD251" i="2"/>
  <c r="BE252" i="2"/>
  <c r="BF253" i="2"/>
  <c r="BC254" i="2"/>
  <c r="BF255" i="2"/>
  <c r="BD255" i="2"/>
  <c r="BE258" i="2"/>
  <c r="BC258" i="2"/>
  <c r="BF259" i="2"/>
  <c r="BD259" i="2"/>
  <c r="BC260" i="2"/>
  <c r="BC262" i="2"/>
  <c r="BE262" i="2"/>
  <c r="AL2" i="1"/>
  <c r="AR248" i="1"/>
  <c r="AX248" i="1" s="1"/>
  <c r="AR250" i="1"/>
  <c r="AT250" i="1" s="1"/>
  <c r="AR252" i="1"/>
  <c r="AX252" i="1" s="1"/>
  <c r="AR258" i="1"/>
  <c r="AT258" i="1" s="1"/>
  <c r="AR268" i="1"/>
  <c r="AR270" i="1"/>
  <c r="AR272" i="1"/>
  <c r="AR274" i="1"/>
  <c r="BF236" i="2"/>
  <c r="BC237" i="2"/>
  <c r="BD238" i="2"/>
  <c r="BE239" i="2"/>
  <c r="C376" i="2"/>
  <c r="F376" i="2" s="1"/>
  <c r="AJ249" i="2"/>
  <c r="BE257" i="2"/>
  <c r="BC257" i="2"/>
  <c r="BF258" i="2"/>
  <c r="BD258" i="2"/>
  <c r="BC261" i="2"/>
  <c r="BE261" i="2"/>
  <c r="BD262" i="2"/>
  <c r="BF262" i="2"/>
  <c r="AS248" i="1"/>
  <c r="AY248" i="1" s="1"/>
  <c r="AS250" i="1"/>
  <c r="BD250" i="1" s="1"/>
  <c r="AS252" i="1"/>
  <c r="AY252" i="1" s="1"/>
  <c r="AS254" i="1"/>
  <c r="AS258" i="1"/>
  <c r="AS262" i="1"/>
  <c r="AY262" i="1" s="1"/>
  <c r="AS264" i="1"/>
  <c r="AU264" i="1" s="1"/>
  <c r="AS266" i="1"/>
  <c r="AY266" i="1" s="1"/>
  <c r="AS270" i="1"/>
  <c r="AS272" i="1"/>
  <c r="AS274" i="1"/>
  <c r="AS276" i="1"/>
  <c r="AY276" i="1" s="1"/>
  <c r="BE256" i="2"/>
  <c r="BC256" i="2"/>
  <c r="BF257" i="2"/>
  <c r="BD257" i="2"/>
  <c r="BD261" i="2"/>
  <c r="BF261" i="2"/>
  <c r="AR249" i="1"/>
  <c r="AT249" i="1" s="1"/>
  <c r="AR251" i="1"/>
  <c r="AX251" i="1" s="1"/>
  <c r="AR253" i="1"/>
  <c r="AX253" i="1" s="1"/>
  <c r="AR255" i="1"/>
  <c r="AR257" i="1"/>
  <c r="AR261" i="1"/>
  <c r="AR263" i="1"/>
  <c r="AR265" i="1"/>
  <c r="AR267" i="1"/>
  <c r="AR269" i="1"/>
  <c r="E16" i="7"/>
  <c r="T16" i="7" s="1"/>
  <c r="AG118" i="2"/>
  <c r="BD248" i="2"/>
  <c r="BE249" i="2"/>
  <c r="BF250" i="2"/>
  <c r="BC251" i="2"/>
  <c r="BD252" i="2"/>
  <c r="BE253" i="2"/>
  <c r="BF254" i="2"/>
  <c r="BE255" i="2"/>
  <c r="BC255" i="2"/>
  <c r="BF256" i="2"/>
  <c r="BD256" i="2"/>
  <c r="AF376" i="2"/>
  <c r="BE259" i="2"/>
  <c r="BC259" i="2"/>
  <c r="AS263" i="1"/>
  <c r="AS265" i="1"/>
  <c r="AU265" i="1" s="1"/>
  <c r="AS267" i="1"/>
  <c r="AS269" i="1"/>
  <c r="AS271" i="1"/>
  <c r="AS273" i="1"/>
  <c r="AS275" i="1"/>
  <c r="AU275" i="1" s="1"/>
  <c r="AS261" i="1"/>
  <c r="AU261" i="1" s="1"/>
  <c r="AL117" i="2"/>
  <c r="AL121" i="2"/>
  <c r="AL113" i="2"/>
  <c r="AL107" i="2"/>
  <c r="AJ204" i="2"/>
  <c r="AJ213" i="2"/>
  <c r="AL119" i="2"/>
  <c r="AI81" i="1"/>
  <c r="AI69" i="1"/>
  <c r="AL115" i="2"/>
  <c r="AJ205" i="2"/>
  <c r="AL109" i="2"/>
  <c r="AI72" i="1"/>
  <c r="AH4" i="1"/>
  <c r="AI80" i="1"/>
  <c r="AL249" i="2"/>
  <c r="AS260" i="1"/>
  <c r="BD260" i="2"/>
  <c r="BF260" i="2"/>
  <c r="AR260" i="1"/>
  <c r="AR259" i="1"/>
  <c r="AS259" i="1"/>
  <c r="AR256" i="1"/>
  <c r="AS256" i="1"/>
  <c r="AL247" i="1"/>
  <c r="AR247" i="1"/>
  <c r="AS247" i="1"/>
  <c r="BF249" i="1"/>
  <c r="AU249" i="1"/>
  <c r="AT253" i="1"/>
  <c r="AX258" i="1"/>
  <c r="AL2" i="2"/>
  <c r="AJ247" i="1"/>
  <c r="AR254" i="1"/>
  <c r="AJ216" i="1"/>
  <c r="AJ87" i="2"/>
  <c r="AJ153" i="2"/>
  <c r="AJ168" i="2"/>
  <c r="AJ198" i="2"/>
  <c r="AJ95" i="2"/>
  <c r="AJ126" i="2"/>
  <c r="AJ80" i="2"/>
  <c r="AH12" i="1"/>
  <c r="BF248" i="2"/>
  <c r="BE247" i="2"/>
  <c r="BC247" i="2"/>
  <c r="BE246" i="2"/>
  <c r="BC246" i="2"/>
  <c r="BF247" i="2"/>
  <c r="BD247" i="2"/>
  <c r="BF246" i="2"/>
  <c r="BD246" i="2"/>
  <c r="BC243" i="2"/>
  <c r="BE243" i="2"/>
  <c r="BC244" i="2"/>
  <c r="BE244" i="2"/>
  <c r="AK216" i="2"/>
  <c r="BC234" i="2"/>
  <c r="BD235" i="2"/>
  <c r="BD236" i="2"/>
  <c r="BE237" i="2"/>
  <c r="BE238" i="2"/>
  <c r="BF239" i="2"/>
  <c r="AI240" i="2"/>
  <c r="BF240" i="2"/>
  <c r="BF241" i="2"/>
  <c r="BD243" i="2"/>
  <c r="BF243" i="2"/>
  <c r="BD244" i="2"/>
  <c r="BF244" i="2"/>
  <c r="BD234" i="2"/>
  <c r="BE235" i="2"/>
  <c r="BE236" i="2"/>
  <c r="BF237" i="2"/>
  <c r="BF238" i="2"/>
  <c r="BC240" i="2"/>
  <c r="BC241" i="2"/>
  <c r="BF245" i="2"/>
  <c r="BD245" i="2"/>
  <c r="BC245" i="2"/>
  <c r="BE245" i="2"/>
  <c r="BC239" i="2"/>
  <c r="BD239" i="2"/>
  <c r="AR241" i="1"/>
  <c r="AX241" i="1" s="1"/>
  <c r="BF242" i="2"/>
  <c r="BD242" i="2"/>
  <c r="BC242" i="2"/>
  <c r="BE242" i="2"/>
  <c r="AS94" i="1"/>
  <c r="AU94" i="1" s="1"/>
  <c r="AS96" i="1"/>
  <c r="AY96" i="1" s="1"/>
  <c r="AS98" i="1"/>
  <c r="AU98" i="1" s="1"/>
  <c r="AS100" i="1"/>
  <c r="AY100" i="1" s="1"/>
  <c r="AS102" i="1"/>
  <c r="BD102" i="1" s="1"/>
  <c r="AS106" i="1"/>
  <c r="AU106" i="1" s="1"/>
  <c r="BD14" i="2"/>
  <c r="BC227" i="2"/>
  <c r="AR107" i="1"/>
  <c r="BC107" i="1" s="1"/>
  <c r="AR109" i="1"/>
  <c r="AT109" i="1" s="1"/>
  <c r="AR111" i="1"/>
  <c r="AT111" i="1" s="1"/>
  <c r="AR113" i="1"/>
  <c r="AR123" i="1"/>
  <c r="AX123" i="1" s="1"/>
  <c r="AR125" i="1"/>
  <c r="BC125" i="1" s="1"/>
  <c r="AR129" i="1"/>
  <c r="AX129" i="1" s="1"/>
  <c r="AR131" i="1"/>
  <c r="AR143" i="1"/>
  <c r="AX143" i="1" s="1"/>
  <c r="AR145" i="1"/>
  <c r="AX145" i="1" s="1"/>
  <c r="AR147" i="1"/>
  <c r="AX147" i="1" s="1"/>
  <c r="AR151" i="1"/>
  <c r="AR153" i="1"/>
  <c r="AX153" i="1" s="1"/>
  <c r="AR160" i="1"/>
  <c r="AT160" i="1" s="1"/>
  <c r="AS161" i="1"/>
  <c r="BD161" i="1" s="1"/>
  <c r="AS173" i="1"/>
  <c r="AU173" i="1" s="1"/>
  <c r="AR176" i="1"/>
  <c r="BC176" i="1" s="1"/>
  <c r="AS177" i="1"/>
  <c r="AY177" i="1" s="1"/>
  <c r="AR180" i="1"/>
  <c r="AX180" i="1" s="1"/>
  <c r="AS181" i="1"/>
  <c r="AR184" i="1"/>
  <c r="AX184" i="1" s="1"/>
  <c r="AR186" i="1"/>
  <c r="AX186" i="1" s="1"/>
  <c r="AR188" i="1"/>
  <c r="BE188" i="1" s="1"/>
  <c r="AR190" i="1"/>
  <c r="BE190" i="1" s="1"/>
  <c r="AR192" i="1"/>
  <c r="BC192" i="1" s="1"/>
  <c r="AR194" i="1"/>
  <c r="BE194" i="1" s="1"/>
  <c r="AS195" i="1"/>
  <c r="BF195" i="1" s="1"/>
  <c r="AS197" i="1"/>
  <c r="AS199" i="1"/>
  <c r="BD199" i="1" s="1"/>
  <c r="AR201" i="1"/>
  <c r="BC201" i="1" s="1"/>
  <c r="AR203" i="1"/>
  <c r="BE203" i="1" s="1"/>
  <c r="AR205" i="1"/>
  <c r="BC205" i="1" s="1"/>
  <c r="AR207" i="1"/>
  <c r="AR209" i="1"/>
  <c r="AX209" i="1" s="1"/>
  <c r="AR211" i="1"/>
  <c r="AT211" i="1" s="1"/>
  <c r="AR213" i="1"/>
  <c r="BC213" i="1" s="1"/>
  <c r="AR215" i="1"/>
  <c r="AX215" i="1" s="1"/>
  <c r="AR217" i="1"/>
  <c r="BC217" i="1" s="1"/>
  <c r="AR219" i="1"/>
  <c r="AT219" i="1" s="1"/>
  <c r="AR221" i="1"/>
  <c r="AX221" i="1" s="1"/>
  <c r="AR223" i="1"/>
  <c r="AX223" i="1" s="1"/>
  <c r="AR225" i="1"/>
  <c r="BC225" i="1" s="1"/>
  <c r="AR227" i="1"/>
  <c r="BE227" i="1" s="1"/>
  <c r="AR229" i="1"/>
  <c r="AT229" i="1" s="1"/>
  <c r="AR231" i="1"/>
  <c r="AR233" i="1"/>
  <c r="BE233" i="1" s="1"/>
  <c r="AR235" i="1"/>
  <c r="AX235" i="1" s="1"/>
  <c r="AR237" i="1"/>
  <c r="AX237" i="1" s="1"/>
  <c r="AS240" i="1"/>
  <c r="AY240" i="1" s="1"/>
  <c r="AS242" i="1"/>
  <c r="AY242" i="1" s="1"/>
  <c r="AS244" i="1"/>
  <c r="AU244" i="1" s="1"/>
  <c r="AS246" i="1"/>
  <c r="AS82" i="1"/>
  <c r="AS84" i="1"/>
  <c r="BD84" i="1" s="1"/>
  <c r="AS86" i="1"/>
  <c r="AU86" i="1" s="1"/>
  <c r="AS88" i="1"/>
  <c r="BD88" i="1" s="1"/>
  <c r="AS90" i="1"/>
  <c r="BD90" i="1" s="1"/>
  <c r="AS92" i="1"/>
  <c r="AU92" i="1" s="1"/>
  <c r="AS104" i="1"/>
  <c r="AU104" i="1" s="1"/>
  <c r="AY13" i="2"/>
  <c r="BF225" i="2"/>
  <c r="BF226" i="2"/>
  <c r="AU241" i="2"/>
  <c r="AY241" i="2"/>
  <c r="AY244" i="2"/>
  <c r="AR115" i="1"/>
  <c r="BC115" i="1" s="1"/>
  <c r="AR117" i="1"/>
  <c r="BC117" i="1" s="1"/>
  <c r="AR119" i="1"/>
  <c r="BC119" i="1" s="1"/>
  <c r="AR121" i="1"/>
  <c r="AT121" i="1" s="1"/>
  <c r="AR127" i="1"/>
  <c r="AX127" i="1" s="1"/>
  <c r="AR133" i="1"/>
  <c r="AX133" i="1" s="1"/>
  <c r="AR135" i="1"/>
  <c r="AR137" i="1"/>
  <c r="BC137" i="1" s="1"/>
  <c r="AR139" i="1"/>
  <c r="BC139" i="1" s="1"/>
  <c r="AR141" i="1"/>
  <c r="AX141" i="1" s="1"/>
  <c r="AR149" i="1"/>
  <c r="AX149" i="1" s="1"/>
  <c r="AR156" i="1"/>
  <c r="AX156" i="1" s="1"/>
  <c r="AS157" i="1"/>
  <c r="BD157" i="1" s="1"/>
  <c r="AR164" i="1"/>
  <c r="AX164" i="1" s="1"/>
  <c r="AS165" i="1"/>
  <c r="AR168" i="1"/>
  <c r="AX168" i="1" s="1"/>
  <c r="AS169" i="1"/>
  <c r="AU169" i="1" s="1"/>
  <c r="AR172" i="1"/>
  <c r="AX172" i="1" s="1"/>
  <c r="E74" i="5"/>
  <c r="P68" i="5"/>
  <c r="AJ225" i="2"/>
  <c r="BC226" i="2"/>
  <c r="BD227" i="2"/>
  <c r="AK124" i="2"/>
  <c r="BF230" i="2"/>
  <c r="BD230" i="2"/>
  <c r="BC233" i="2"/>
  <c r="BE233" i="2"/>
  <c r="BC232" i="2"/>
  <c r="BE232" i="2"/>
  <c r="BF229" i="2"/>
  <c r="BD229" i="2"/>
  <c r="BF233" i="2"/>
  <c r="BD233" i="2"/>
  <c r="BD225" i="2"/>
  <c r="BD226" i="2"/>
  <c r="BE227" i="2"/>
  <c r="BC231" i="2"/>
  <c r="BE231" i="2"/>
  <c r="BF232" i="2"/>
  <c r="BD232" i="2"/>
  <c r="AT251" i="2"/>
  <c r="AJ81" i="2"/>
  <c r="BE226" i="2"/>
  <c r="BF227" i="2"/>
  <c r="BC229" i="2"/>
  <c r="BE229" i="2"/>
  <c r="BC230" i="2"/>
  <c r="BE230" i="2"/>
  <c r="BF231" i="2"/>
  <c r="BD231" i="2"/>
  <c r="AH290" i="2"/>
  <c r="AR83" i="1"/>
  <c r="AR85" i="1"/>
  <c r="AT85" i="1" s="1"/>
  <c r="AR87" i="1"/>
  <c r="BC87" i="1" s="1"/>
  <c r="AR89" i="1"/>
  <c r="AT89" i="1" s="1"/>
  <c r="AR91" i="1"/>
  <c r="AX91" i="1" s="1"/>
  <c r="AR93" i="1"/>
  <c r="AX93" i="1" s="1"/>
  <c r="AR95" i="1"/>
  <c r="AR97" i="1"/>
  <c r="BC97" i="1" s="1"/>
  <c r="AR99" i="1"/>
  <c r="AR101" i="1"/>
  <c r="AR103" i="1"/>
  <c r="AT103" i="1" s="1"/>
  <c r="AR105" i="1"/>
  <c r="AT105" i="1" s="1"/>
  <c r="AL216" i="1"/>
  <c r="AI331" i="2"/>
  <c r="AS83" i="1"/>
  <c r="AY83" i="1" s="1"/>
  <c r="AS85" i="1"/>
  <c r="AY85" i="1" s="1"/>
  <c r="AS87" i="1"/>
  <c r="AY87" i="1" s="1"/>
  <c r="AS89" i="1"/>
  <c r="AU89" i="1" s="1"/>
  <c r="AS91" i="1"/>
  <c r="BD91" i="1" s="1"/>
  <c r="AS93" i="1"/>
  <c r="AU93" i="1" s="1"/>
  <c r="AS95" i="1"/>
  <c r="AY95" i="1" s="1"/>
  <c r="AS97" i="1"/>
  <c r="AU97" i="1" s="1"/>
  <c r="AS99" i="1"/>
  <c r="BD99" i="1" s="1"/>
  <c r="AS101" i="1"/>
  <c r="BD101" i="1" s="1"/>
  <c r="AS103" i="1"/>
  <c r="AS105" i="1"/>
  <c r="AY105" i="1" s="1"/>
  <c r="AS107" i="1"/>
  <c r="AY107" i="1" s="1"/>
  <c r="AS109" i="1"/>
  <c r="AY109" i="1" s="1"/>
  <c r="AS111" i="1"/>
  <c r="BD111" i="1" s="1"/>
  <c r="AS113" i="1"/>
  <c r="AU113" i="1" s="1"/>
  <c r="AS115" i="1"/>
  <c r="AS117" i="1"/>
  <c r="BD117" i="1" s="1"/>
  <c r="AS119" i="1"/>
  <c r="AU119" i="1" s="1"/>
  <c r="AS121" i="1"/>
  <c r="AY121" i="1" s="1"/>
  <c r="AS123" i="1"/>
  <c r="AU123" i="1" s="1"/>
  <c r="C124" i="1"/>
  <c r="AJ124" i="1" s="1"/>
  <c r="AP124" i="1"/>
  <c r="AS125" i="1"/>
  <c r="C126" i="1"/>
  <c r="AJ126" i="1" s="1"/>
  <c r="AP126" i="1"/>
  <c r="AS127" i="1"/>
  <c r="BD127" i="1" s="1"/>
  <c r="C128" i="1"/>
  <c r="AJ128" i="1" s="1"/>
  <c r="AP128" i="1"/>
  <c r="AS129" i="1"/>
  <c r="AU129" i="1" s="1"/>
  <c r="C130" i="1"/>
  <c r="AJ130" i="1" s="1"/>
  <c r="AP130" i="1"/>
  <c r="AS131" i="1"/>
  <c r="AU131" i="1" s="1"/>
  <c r="C132" i="1"/>
  <c r="AJ132" i="1" s="1"/>
  <c r="AP132" i="1"/>
  <c r="AS133" i="1"/>
  <c r="AU133" i="1" s="1"/>
  <c r="C134" i="1"/>
  <c r="AJ134" i="1" s="1"/>
  <c r="AP134" i="1"/>
  <c r="AS135" i="1"/>
  <c r="BD135" i="1" s="1"/>
  <c r="C136" i="1"/>
  <c r="AJ136" i="1" s="1"/>
  <c r="AP136" i="1"/>
  <c r="AS137" i="1"/>
  <c r="AU137" i="1" s="1"/>
  <c r="C138" i="1"/>
  <c r="AJ138" i="1" s="1"/>
  <c r="AP138" i="1"/>
  <c r="AS139" i="1"/>
  <c r="AY139" i="1" s="1"/>
  <c r="C140" i="1"/>
  <c r="AJ140" i="1" s="1"/>
  <c r="AP140" i="1"/>
  <c r="AS141" i="1"/>
  <c r="AU141" i="1" s="1"/>
  <c r="C142" i="1"/>
  <c r="AJ142" i="1" s="1"/>
  <c r="AP142" i="1"/>
  <c r="AS143" i="1"/>
  <c r="BD143" i="1" s="1"/>
  <c r="C144" i="1"/>
  <c r="AJ144" i="1" s="1"/>
  <c r="AP144" i="1"/>
  <c r="AS145" i="1"/>
  <c r="AY145" i="1" s="1"/>
  <c r="C146" i="1"/>
  <c r="AJ146" i="1" s="1"/>
  <c r="AP146" i="1"/>
  <c r="AS147" i="1"/>
  <c r="BD147" i="1" s="1"/>
  <c r="C148" i="1"/>
  <c r="AJ148" i="1" s="1"/>
  <c r="AP148" i="1"/>
  <c r="AS149" i="1"/>
  <c r="AU149" i="1" s="1"/>
  <c r="C150" i="1"/>
  <c r="AJ150" i="1" s="1"/>
  <c r="AP150" i="1"/>
  <c r="AS151" i="1"/>
  <c r="AY151" i="1" s="1"/>
  <c r="C152" i="1"/>
  <c r="AJ152" i="1" s="1"/>
  <c r="AP152" i="1"/>
  <c r="AS153" i="1"/>
  <c r="BD153" i="1" s="1"/>
  <c r="AR155" i="1"/>
  <c r="AS156" i="1"/>
  <c r="AU156" i="1" s="1"/>
  <c r="AR159" i="1"/>
  <c r="BC159" i="1" s="1"/>
  <c r="AS160" i="1"/>
  <c r="AR163" i="1"/>
  <c r="AT163" i="1" s="1"/>
  <c r="AS164" i="1"/>
  <c r="AY164" i="1" s="1"/>
  <c r="AR167" i="1"/>
  <c r="BC167" i="1" s="1"/>
  <c r="AS168" i="1"/>
  <c r="AY168" i="1" s="1"/>
  <c r="AR171" i="1"/>
  <c r="AS172" i="1"/>
  <c r="AR175" i="1"/>
  <c r="BC175" i="1" s="1"/>
  <c r="AS176" i="1"/>
  <c r="AR179" i="1"/>
  <c r="BC179" i="1" s="1"/>
  <c r="AS180" i="1"/>
  <c r="AU180" i="1" s="1"/>
  <c r="AR183" i="1"/>
  <c r="BC183" i="1" s="1"/>
  <c r="AS184" i="1"/>
  <c r="AS186" i="1"/>
  <c r="BF186" i="1" s="1"/>
  <c r="AS188" i="1"/>
  <c r="AU188" i="1" s="1"/>
  <c r="AS190" i="1"/>
  <c r="BD190" i="1" s="1"/>
  <c r="AS192" i="1"/>
  <c r="BF192" i="1" s="1"/>
  <c r="AS194" i="1"/>
  <c r="BD194" i="1" s="1"/>
  <c r="AR196" i="1"/>
  <c r="BE196" i="1" s="1"/>
  <c r="AR198" i="1"/>
  <c r="BE198" i="1" s="1"/>
  <c r="AR200" i="1"/>
  <c r="AS201" i="1"/>
  <c r="AY201" i="1" s="1"/>
  <c r="AS203" i="1"/>
  <c r="BD203" i="1" s="1"/>
  <c r="AS205" i="1"/>
  <c r="AY205" i="1" s="1"/>
  <c r="AS207" i="1"/>
  <c r="AU207" i="1" s="1"/>
  <c r="AS209" i="1"/>
  <c r="AU209" i="1" s="1"/>
  <c r="AS211" i="1"/>
  <c r="BF211" i="1" s="1"/>
  <c r="AS213" i="1"/>
  <c r="BD213" i="1" s="1"/>
  <c r="AS215" i="1"/>
  <c r="BF215" i="1" s="1"/>
  <c r="AS217" i="1"/>
  <c r="AS219" i="1"/>
  <c r="BF219" i="1" s="1"/>
  <c r="AS221" i="1"/>
  <c r="AU221" i="1" s="1"/>
  <c r="AS223" i="1"/>
  <c r="AY223" i="1" s="1"/>
  <c r="AS225" i="1"/>
  <c r="AY225" i="1" s="1"/>
  <c r="AS227" i="1"/>
  <c r="AS229" i="1"/>
  <c r="AU229" i="1" s="1"/>
  <c r="AS231" i="1"/>
  <c r="AU231" i="1" s="1"/>
  <c r="AS233" i="1"/>
  <c r="AS235" i="1"/>
  <c r="AS237" i="1"/>
  <c r="AY237" i="1" s="1"/>
  <c r="AR239" i="1"/>
  <c r="AT239" i="1" s="1"/>
  <c r="AR243" i="1"/>
  <c r="AR245" i="1"/>
  <c r="AX245" i="1" s="1"/>
  <c r="AR82" i="1"/>
  <c r="AR84" i="1"/>
  <c r="AX84" i="1" s="1"/>
  <c r="AR86" i="1"/>
  <c r="AT86" i="1" s="1"/>
  <c r="AR88" i="1"/>
  <c r="AR90" i="1"/>
  <c r="BC90" i="1" s="1"/>
  <c r="AR92" i="1"/>
  <c r="AX92" i="1" s="1"/>
  <c r="AR94" i="1"/>
  <c r="AR96" i="1"/>
  <c r="BC96" i="1" s="1"/>
  <c r="AR98" i="1"/>
  <c r="AR100" i="1"/>
  <c r="AT100" i="1" s="1"/>
  <c r="AR102" i="1"/>
  <c r="AX102" i="1" s="1"/>
  <c r="AR104" i="1"/>
  <c r="BC104" i="1" s="1"/>
  <c r="AR106" i="1"/>
  <c r="BC106" i="1" s="1"/>
  <c r="AR108" i="1"/>
  <c r="AT108" i="1" s="1"/>
  <c r="AR110" i="1"/>
  <c r="AR112" i="1"/>
  <c r="AT112" i="1" s="1"/>
  <c r="AR114" i="1"/>
  <c r="AX114" i="1" s="1"/>
  <c r="AR116" i="1"/>
  <c r="AT116" i="1" s="1"/>
  <c r="AR118" i="1"/>
  <c r="AX118" i="1" s="1"/>
  <c r="AR120" i="1"/>
  <c r="AX120" i="1" s="1"/>
  <c r="AR122" i="1"/>
  <c r="BC122" i="1" s="1"/>
  <c r="AR124" i="1"/>
  <c r="AR126" i="1"/>
  <c r="AR128" i="1"/>
  <c r="AR130" i="1"/>
  <c r="AR132" i="1"/>
  <c r="BC132" i="1" s="1"/>
  <c r="AR134" i="1"/>
  <c r="AR136" i="1"/>
  <c r="AX136" i="1" s="1"/>
  <c r="AR138" i="1"/>
  <c r="BC138" i="1" s="1"/>
  <c r="AR140" i="1"/>
  <c r="AR142" i="1"/>
  <c r="AR144" i="1"/>
  <c r="AX144" i="1" s="1"/>
  <c r="AR146" i="1"/>
  <c r="BC146" i="1" s="1"/>
  <c r="AR148" i="1"/>
  <c r="BC148" i="1" s="1"/>
  <c r="AR150" i="1"/>
  <c r="AX150" i="1" s="1"/>
  <c r="AR152" i="1"/>
  <c r="AR154" i="1"/>
  <c r="BC154" i="1" s="1"/>
  <c r="AS155" i="1"/>
  <c r="AU155" i="1" s="1"/>
  <c r="AR158" i="1"/>
  <c r="BC158" i="1" s="1"/>
  <c r="AS159" i="1"/>
  <c r="AY159" i="1" s="1"/>
  <c r="AR162" i="1"/>
  <c r="BC162" i="1" s="1"/>
  <c r="AS163" i="1"/>
  <c r="BD163" i="1" s="1"/>
  <c r="AR166" i="1"/>
  <c r="AX166" i="1" s="1"/>
  <c r="AS167" i="1"/>
  <c r="AR170" i="1"/>
  <c r="AX170" i="1" s="1"/>
  <c r="AS171" i="1"/>
  <c r="BD171" i="1" s="1"/>
  <c r="AR174" i="1"/>
  <c r="AX174" i="1" s="1"/>
  <c r="AS175" i="1"/>
  <c r="AR178" i="1"/>
  <c r="AX178" i="1" s="1"/>
  <c r="AS179" i="1"/>
  <c r="BD179" i="1" s="1"/>
  <c r="AR182" i="1"/>
  <c r="AT182" i="1" s="1"/>
  <c r="AS183" i="1"/>
  <c r="AU183" i="1" s="1"/>
  <c r="AR185" i="1"/>
  <c r="BE185" i="1" s="1"/>
  <c r="AR187" i="1"/>
  <c r="AX187" i="1" s="1"/>
  <c r="AR189" i="1"/>
  <c r="AX189" i="1" s="1"/>
  <c r="AR191" i="1"/>
  <c r="AT191" i="1" s="1"/>
  <c r="AR193" i="1"/>
  <c r="AX193" i="1" s="1"/>
  <c r="AS196" i="1"/>
  <c r="AS198" i="1"/>
  <c r="AU198" i="1" s="1"/>
  <c r="AS200" i="1"/>
  <c r="BF200" i="1" s="1"/>
  <c r="AR202" i="1"/>
  <c r="AX202" i="1" s="1"/>
  <c r="AR204" i="1"/>
  <c r="BE204" i="1" s="1"/>
  <c r="AR206" i="1"/>
  <c r="AX206" i="1" s="1"/>
  <c r="AR208" i="1"/>
  <c r="AX208" i="1" s="1"/>
  <c r="AR210" i="1"/>
  <c r="AX210" i="1" s="1"/>
  <c r="AR212" i="1"/>
  <c r="BE212" i="1" s="1"/>
  <c r="AR214" i="1"/>
  <c r="BC214" i="1" s="1"/>
  <c r="AR216" i="1"/>
  <c r="AR218" i="1"/>
  <c r="AX218" i="1" s="1"/>
  <c r="AR220" i="1"/>
  <c r="BE220" i="1" s="1"/>
  <c r="AR222" i="1"/>
  <c r="AX222" i="1" s="1"/>
  <c r="AR224" i="1"/>
  <c r="AX224" i="1" s="1"/>
  <c r="AR226" i="1"/>
  <c r="AT226" i="1" s="1"/>
  <c r="AR228" i="1"/>
  <c r="AR230" i="1"/>
  <c r="AR232" i="1"/>
  <c r="AR234" i="1"/>
  <c r="AR236" i="1"/>
  <c r="AR238" i="1"/>
  <c r="AS239" i="1"/>
  <c r="AY239" i="1" s="1"/>
  <c r="AS241" i="1"/>
  <c r="AS243" i="1"/>
  <c r="AY243" i="1" s="1"/>
  <c r="AS245" i="1"/>
  <c r="AS108" i="1"/>
  <c r="BD108" i="1" s="1"/>
  <c r="AS110" i="1"/>
  <c r="AU110" i="1" s="1"/>
  <c r="AS112" i="1"/>
  <c r="AS114" i="1"/>
  <c r="BD114" i="1" s="1"/>
  <c r="AS116" i="1"/>
  <c r="AU116" i="1" s="1"/>
  <c r="AS118" i="1"/>
  <c r="AS120" i="1"/>
  <c r="AY120" i="1" s="1"/>
  <c r="AS122" i="1"/>
  <c r="AS124" i="1"/>
  <c r="C125" i="1"/>
  <c r="AJ125" i="1" s="1"/>
  <c r="AP125" i="1"/>
  <c r="AT125" i="1" s="1"/>
  <c r="AS126" i="1"/>
  <c r="BD126" i="1" s="1"/>
  <c r="AS128" i="1"/>
  <c r="AU128" i="1" s="1"/>
  <c r="C129" i="1"/>
  <c r="AJ129" i="1" s="1"/>
  <c r="AP129" i="1"/>
  <c r="AS130" i="1"/>
  <c r="BD130" i="1" s="1"/>
  <c r="C131" i="1"/>
  <c r="AJ131" i="1" s="1"/>
  <c r="AP131" i="1"/>
  <c r="AS132" i="1"/>
  <c r="AU132" i="1" s="1"/>
  <c r="C133" i="1"/>
  <c r="AJ133" i="1" s="1"/>
  <c r="AP133" i="1"/>
  <c r="AS134" i="1"/>
  <c r="C135" i="1"/>
  <c r="AJ135" i="1" s="1"/>
  <c r="AP135" i="1"/>
  <c r="AS136" i="1"/>
  <c r="C137" i="1"/>
  <c r="AJ137" i="1" s="1"/>
  <c r="AP137" i="1"/>
  <c r="AS138" i="1"/>
  <c r="BD138" i="1" s="1"/>
  <c r="C139" i="1"/>
  <c r="AJ139" i="1" s="1"/>
  <c r="AP139" i="1"/>
  <c r="AS140" i="1"/>
  <c r="AU140" i="1" s="1"/>
  <c r="C141" i="1"/>
  <c r="AJ141" i="1" s="1"/>
  <c r="AP141" i="1"/>
  <c r="AS142" i="1"/>
  <c r="C143" i="1"/>
  <c r="AJ143" i="1" s="1"/>
  <c r="AP143" i="1"/>
  <c r="AS144" i="1"/>
  <c r="C145" i="1"/>
  <c r="AJ145" i="1" s="1"/>
  <c r="AP145" i="1"/>
  <c r="AS146" i="1"/>
  <c r="AU146" i="1" s="1"/>
  <c r="C147" i="1"/>
  <c r="AJ147" i="1" s="1"/>
  <c r="AP147" i="1"/>
  <c r="AS148" i="1"/>
  <c r="AU148" i="1" s="1"/>
  <c r="C149" i="1"/>
  <c r="AJ149" i="1" s="1"/>
  <c r="AP149" i="1"/>
  <c r="AS150" i="1"/>
  <c r="C151" i="1"/>
  <c r="AJ151" i="1" s="1"/>
  <c r="AP151" i="1"/>
  <c r="AS152" i="1"/>
  <c r="AU152" i="1" s="1"/>
  <c r="C153" i="1"/>
  <c r="AJ153" i="1" s="1"/>
  <c r="AP153" i="1"/>
  <c r="AS154" i="1"/>
  <c r="AY154" i="1" s="1"/>
  <c r="AR157" i="1"/>
  <c r="AS158" i="1"/>
  <c r="AR161" i="1"/>
  <c r="AX161" i="1" s="1"/>
  <c r="AS162" i="1"/>
  <c r="BD162" i="1" s="1"/>
  <c r="AR165" i="1"/>
  <c r="AT165" i="1" s="1"/>
  <c r="AS166" i="1"/>
  <c r="AY166" i="1" s="1"/>
  <c r="AR169" i="1"/>
  <c r="AT169" i="1" s="1"/>
  <c r="AS170" i="1"/>
  <c r="AY170" i="1" s="1"/>
  <c r="AR173" i="1"/>
  <c r="AX173" i="1" s="1"/>
  <c r="AS174" i="1"/>
  <c r="AR177" i="1"/>
  <c r="AT177" i="1" s="1"/>
  <c r="AS178" i="1"/>
  <c r="AU178" i="1" s="1"/>
  <c r="AR181" i="1"/>
  <c r="BC181" i="1" s="1"/>
  <c r="AS182" i="1"/>
  <c r="AU182" i="1" s="1"/>
  <c r="AS185" i="1"/>
  <c r="AU185" i="1" s="1"/>
  <c r="AS187" i="1"/>
  <c r="AU187" i="1" s="1"/>
  <c r="AS189" i="1"/>
  <c r="BD189" i="1" s="1"/>
  <c r="AS191" i="1"/>
  <c r="AU191" i="1" s="1"/>
  <c r="AS193" i="1"/>
  <c r="AU193" i="1" s="1"/>
  <c r="AR195" i="1"/>
  <c r="AT195" i="1" s="1"/>
  <c r="AR197" i="1"/>
  <c r="AX197" i="1" s="1"/>
  <c r="AR199" i="1"/>
  <c r="BC199" i="1" s="1"/>
  <c r="AS202" i="1"/>
  <c r="AU202" i="1" s="1"/>
  <c r="AS204" i="1"/>
  <c r="AU204" i="1" s="1"/>
  <c r="AS206" i="1"/>
  <c r="BF206" i="1" s="1"/>
  <c r="AS208" i="1"/>
  <c r="AU208" i="1" s="1"/>
  <c r="AS210" i="1"/>
  <c r="AS212" i="1"/>
  <c r="BF212" i="1" s="1"/>
  <c r="AS214" i="1"/>
  <c r="BF214" i="1" s="1"/>
  <c r="AS216" i="1"/>
  <c r="BD216" i="1" s="1"/>
  <c r="AS218" i="1"/>
  <c r="AU218" i="1" s="1"/>
  <c r="AS220" i="1"/>
  <c r="BD220" i="1" s="1"/>
  <c r="AS222" i="1"/>
  <c r="BF222" i="1" s="1"/>
  <c r="AS224" i="1"/>
  <c r="BF224" i="1" s="1"/>
  <c r="AS226" i="1"/>
  <c r="AU226" i="1" s="1"/>
  <c r="AS228" i="1"/>
  <c r="AY228" i="1" s="1"/>
  <c r="AS230" i="1"/>
  <c r="AS232" i="1"/>
  <c r="AY232" i="1" s="1"/>
  <c r="AS234" i="1"/>
  <c r="AS236" i="1"/>
  <c r="AY236" i="1" s="1"/>
  <c r="AS238" i="1"/>
  <c r="AY238" i="1" s="1"/>
  <c r="AR240" i="1"/>
  <c r="AR242" i="1"/>
  <c r="AR244" i="1"/>
  <c r="AR246" i="1"/>
  <c r="AJ83" i="2"/>
  <c r="AJ91" i="2"/>
  <c r="AJ99" i="2"/>
  <c r="AJ130" i="2"/>
  <c r="AJ149" i="2"/>
  <c r="AJ164" i="2"/>
  <c r="AJ172" i="2"/>
  <c r="AJ208" i="2"/>
  <c r="AJ292" i="2"/>
  <c r="C368" i="1"/>
  <c r="AJ276" i="2"/>
  <c r="AJ281" i="2"/>
  <c r="AJ282" i="2"/>
  <c r="AJ289" i="2"/>
  <c r="AH7" i="1"/>
  <c r="AH26" i="1"/>
  <c r="AH34" i="1"/>
  <c r="AH42" i="1"/>
  <c r="AH50" i="1"/>
  <c r="AH56" i="1"/>
  <c r="AH58" i="1"/>
  <c r="AH64" i="1"/>
  <c r="AJ11" i="2"/>
  <c r="AJ38" i="2"/>
  <c r="AJ19" i="2"/>
  <c r="AJ285" i="2"/>
  <c r="AJ42" i="2"/>
  <c r="AJ66" i="2"/>
  <c r="AJ78" i="2"/>
  <c r="AJ125" i="2"/>
  <c r="AJ175" i="2"/>
  <c r="AJ183" i="2"/>
  <c r="AJ192" i="2"/>
  <c r="AJ216" i="2"/>
  <c r="AJ232" i="2"/>
  <c r="AJ260" i="2"/>
  <c r="AJ262" i="2"/>
  <c r="AJ270" i="2"/>
  <c r="AH11" i="1"/>
  <c r="AG16" i="1"/>
  <c r="AJ70" i="2"/>
  <c r="AJ179" i="2"/>
  <c r="AJ188" i="2"/>
  <c r="AJ228" i="2"/>
  <c r="AJ229" i="2"/>
  <c r="AJ235" i="2"/>
  <c r="AJ243" i="2"/>
  <c r="AJ244" i="2"/>
  <c r="AJ265" i="2"/>
  <c r="AJ266" i="2"/>
  <c r="AJ273" i="2"/>
  <c r="AJ302" i="2"/>
  <c r="AJ303" i="2"/>
  <c r="AG68" i="1"/>
  <c r="AH72" i="1"/>
  <c r="AG79" i="1"/>
  <c r="AH81" i="1"/>
  <c r="AX233" i="1"/>
  <c r="AK229" i="2"/>
  <c r="AI229" i="2"/>
  <c r="AT225" i="2"/>
  <c r="BE225" i="2"/>
  <c r="AH5" i="1"/>
  <c r="AH6" i="1"/>
  <c r="AH8" i="1"/>
  <c r="AH9" i="1"/>
  <c r="AH10" i="1"/>
  <c r="AG15" i="1"/>
  <c r="AH15" i="1"/>
  <c r="AG18" i="1"/>
  <c r="AH18" i="1"/>
  <c r="AH20" i="1"/>
  <c r="AH22" i="1"/>
  <c r="AH24" i="1"/>
  <c r="AH28" i="1"/>
  <c r="AH30" i="1"/>
  <c r="AH32" i="1"/>
  <c r="AH36" i="1"/>
  <c r="AH38" i="1"/>
  <c r="AH40" i="1"/>
  <c r="AH44" i="1"/>
  <c r="AH46" i="1"/>
  <c r="AH48" i="1"/>
  <c r="AH52" i="1"/>
  <c r="AH54" i="1"/>
  <c r="AH60" i="1"/>
  <c r="AH62" i="1"/>
  <c r="AH71" i="1"/>
  <c r="AH80" i="1"/>
  <c r="AG80" i="1"/>
  <c r="AY92" i="1"/>
  <c r="BD98" i="1"/>
  <c r="AY106" i="1"/>
  <c r="AX115" i="1"/>
  <c r="AV155" i="1"/>
  <c r="AV2" i="1" s="1"/>
  <c r="AW156" i="1"/>
  <c r="AW2" i="1" s="1"/>
  <c r="AV1" i="1" s="1"/>
  <c r="AY169" i="1"/>
  <c r="BC186" i="1"/>
  <c r="BC194" i="1"/>
  <c r="AT217" i="1"/>
  <c r="BD219" i="1"/>
  <c r="AU242" i="1"/>
  <c r="BF228" i="2"/>
  <c r="BD228" i="2"/>
  <c r="BE228" i="2"/>
  <c r="BC228" i="2"/>
  <c r="BC225" i="2"/>
  <c r="AY196" i="2"/>
  <c r="BE200" i="2"/>
  <c r="AX235" i="2"/>
  <c r="AY258" i="2"/>
  <c r="AU337" i="2"/>
  <c r="AY337" i="2"/>
  <c r="AU341" i="2"/>
  <c r="AY341" i="2"/>
  <c r="AY343" i="2"/>
  <c r="AY368" i="2"/>
  <c r="AI79" i="2"/>
  <c r="AI203" i="2"/>
  <c r="AJ203" i="2"/>
  <c r="AJ217" i="2"/>
  <c r="AG239" i="2"/>
  <c r="I11" i="7"/>
  <c r="I12" i="7"/>
  <c r="AK4" i="2"/>
  <c r="BF221" i="2"/>
  <c r="BD221" i="2"/>
  <c r="BF222" i="2"/>
  <c r="BD222" i="2"/>
  <c r="BE218" i="2"/>
  <c r="BC218" i="2"/>
  <c r="AY205" i="2"/>
  <c r="BF218" i="2"/>
  <c r="BD218" i="2"/>
  <c r="BC4" i="2"/>
  <c r="BF220" i="2"/>
  <c r="BD220" i="2"/>
  <c r="AI66" i="2"/>
  <c r="BC203" i="2"/>
  <c r="BF205" i="2"/>
  <c r="BC223" i="2"/>
  <c r="BE223" i="2"/>
  <c r="AY5" i="2"/>
  <c r="AU26" i="2"/>
  <c r="AY123" i="2"/>
  <c r="BE220" i="2"/>
  <c r="BC220" i="2"/>
  <c r="BE221" i="2"/>
  <c r="BC221" i="2"/>
  <c r="BC222" i="2"/>
  <c r="BE222" i="2"/>
  <c r="BD223" i="2"/>
  <c r="BF223" i="2"/>
  <c r="AI335" i="2"/>
  <c r="BF224" i="2"/>
  <c r="BD224" i="2"/>
  <c r="AX224" i="2"/>
  <c r="BC224" i="2"/>
  <c r="BE224" i="2"/>
  <c r="AG221" i="2"/>
  <c r="BF219" i="2"/>
  <c r="BD219" i="2"/>
  <c r="BE219" i="2"/>
  <c r="BC219" i="2"/>
  <c r="AY37" i="2"/>
  <c r="AY44" i="2"/>
  <c r="BC79" i="2"/>
  <c r="AU80" i="2"/>
  <c r="AG96" i="2"/>
  <c r="BC116" i="2"/>
  <c r="AZ196" i="2"/>
  <c r="AZ201" i="2"/>
  <c r="AG274" i="2"/>
  <c r="AU44" i="2"/>
  <c r="AY55" i="2"/>
  <c r="BD63" i="2"/>
  <c r="AY64" i="2"/>
  <c r="AI69" i="2"/>
  <c r="E28" i="7"/>
  <c r="AJ102" i="2"/>
  <c r="AJ103" i="2"/>
  <c r="BC147" i="2"/>
  <c r="AG148" i="2"/>
  <c r="BC174" i="2"/>
  <c r="BD175" i="2"/>
  <c r="AY195" i="2"/>
  <c r="AJ196" i="2"/>
  <c r="AU285" i="2"/>
  <c r="AT296" i="2"/>
  <c r="AG72" i="2"/>
  <c r="AG90" i="2"/>
  <c r="BD143" i="2"/>
  <c r="AU144" i="2"/>
  <c r="AY144" i="2"/>
  <c r="BD147" i="2"/>
  <c r="AH148" i="2"/>
  <c r="AJ148" i="2"/>
  <c r="BC149" i="2"/>
  <c r="AI156" i="2"/>
  <c r="BC172" i="2"/>
  <c r="BD174" i="2"/>
  <c r="AJ286" i="2"/>
  <c r="AT301" i="2"/>
  <c r="AY367" i="2"/>
  <c r="AI319" i="2"/>
  <c r="AY40" i="2"/>
  <c r="AG48" i="2"/>
  <c r="AK110" i="2"/>
  <c r="E14" i="7"/>
  <c r="AK122" i="2"/>
  <c r="AH130" i="2"/>
  <c r="BC163" i="2"/>
  <c r="AT166" i="2"/>
  <c r="AX170" i="2"/>
  <c r="BC171" i="2"/>
  <c r="AH209" i="2"/>
  <c r="BD217" i="2"/>
  <c r="BF217" i="2"/>
  <c r="AI223" i="2"/>
  <c r="AU237" i="2"/>
  <c r="AI238" i="2"/>
  <c r="AG271" i="2"/>
  <c r="AY312" i="2"/>
  <c r="AY316" i="2"/>
  <c r="E10" i="3"/>
  <c r="S10" i="3" s="1"/>
  <c r="AU10" i="2"/>
  <c r="AY10" i="2"/>
  <c r="AG12" i="2"/>
  <c r="AG16" i="2"/>
  <c r="AT18" i="2"/>
  <c r="AG4" i="2"/>
  <c r="AT8" i="2"/>
  <c r="AJ10" i="2"/>
  <c r="AY16" i="2"/>
  <c r="AY26" i="2"/>
  <c r="AY51" i="2"/>
  <c r="AY59" i="2"/>
  <c r="AI110" i="2"/>
  <c r="BH189" i="2"/>
  <c r="AU188" i="2"/>
  <c r="AY188" i="2"/>
  <c r="BE189" i="2"/>
  <c r="AI201" i="2"/>
  <c r="AU204" i="2"/>
  <c r="BD204" i="2"/>
  <c r="AI211" i="2"/>
  <c r="BE213" i="2"/>
  <c r="AI264" i="2"/>
  <c r="AZ289" i="2"/>
  <c r="AG329" i="2"/>
  <c r="AG333" i="2"/>
  <c r="G159" i="1"/>
  <c r="G163" i="1"/>
  <c r="G167" i="1"/>
  <c r="G171" i="1"/>
  <c r="G175" i="1"/>
  <c r="G179" i="1"/>
  <c r="AI150" i="2"/>
  <c r="G158" i="1"/>
  <c r="G162" i="1"/>
  <c r="G166" i="1"/>
  <c r="G170" i="1"/>
  <c r="G174" i="1"/>
  <c r="G178" i="1"/>
  <c r="G182" i="1"/>
  <c r="I15" i="7"/>
  <c r="P15" i="7" s="1"/>
  <c r="I27" i="7"/>
  <c r="P27" i="7" s="1"/>
  <c r="M47" i="8"/>
  <c r="AI122" i="2"/>
  <c r="BC217" i="2"/>
  <c r="BE217" i="2"/>
  <c r="AT280" i="2"/>
  <c r="AU281" i="2"/>
  <c r="AI282" i="2"/>
  <c r="AJ9" i="2"/>
  <c r="AJ17" i="2"/>
  <c r="AJ25" i="2"/>
  <c r="AJ29" i="2"/>
  <c r="AJ33" i="2"/>
  <c r="AJ37" i="2"/>
  <c r="AJ41" i="2"/>
  <c r="AJ45" i="2"/>
  <c r="AJ49" i="2"/>
  <c r="AJ7" i="2"/>
  <c r="AJ15" i="2"/>
  <c r="AJ23" i="2"/>
  <c r="AJ36" i="2"/>
  <c r="AJ44" i="2"/>
  <c r="AJ5" i="2"/>
  <c r="AJ13" i="2"/>
  <c r="AJ21" i="2"/>
  <c r="AJ27" i="2"/>
  <c r="AJ31" i="2"/>
  <c r="AJ39" i="2"/>
  <c r="AJ43" i="2"/>
  <c r="AJ47" i="2"/>
  <c r="AL81" i="2"/>
  <c r="D11" i="7"/>
  <c r="S11" i="7" s="1"/>
  <c r="AJ111" i="2"/>
  <c r="AI14" i="1"/>
  <c r="AI64" i="1"/>
  <c r="AJ53" i="2"/>
  <c r="AJ57" i="2"/>
  <c r="AJ61" i="2"/>
  <c r="AJ67" i="2"/>
  <c r="AJ68" i="2"/>
  <c r="F66" i="5"/>
  <c r="P66" i="5" s="1"/>
  <c r="AJ89" i="2"/>
  <c r="AJ119" i="2"/>
  <c r="AJ123" i="2"/>
  <c r="AJ131" i="2"/>
  <c r="AJ132" i="2"/>
  <c r="AJ134" i="2"/>
  <c r="AJ135" i="2"/>
  <c r="AJ142" i="2"/>
  <c r="AJ143" i="2"/>
  <c r="AJ163" i="2"/>
  <c r="AJ171" i="2"/>
  <c r="AJ180" i="2"/>
  <c r="AJ194" i="2"/>
  <c r="AJ200" i="2"/>
  <c r="AJ202" i="2"/>
  <c r="AJ209" i="2"/>
  <c r="AJ221" i="2"/>
  <c r="AJ238" i="2"/>
  <c r="AJ251" i="2"/>
  <c r="AJ252" i="2"/>
  <c r="AJ254" i="2"/>
  <c r="AJ274" i="2"/>
  <c r="AJ293" i="2"/>
  <c r="AJ294" i="2"/>
  <c r="AJ306" i="2"/>
  <c r="AI13" i="1"/>
  <c r="AH14" i="1"/>
  <c r="AI17" i="1"/>
  <c r="AG69" i="1"/>
  <c r="AJ305" i="2"/>
  <c r="AH13" i="1"/>
  <c r="AG14" i="1"/>
  <c r="AI16" i="1"/>
  <c r="AH17" i="1"/>
  <c r="AH69" i="1"/>
  <c r="AI79" i="1"/>
  <c r="AJ51" i="2"/>
  <c r="AJ55" i="2"/>
  <c r="AJ59" i="2"/>
  <c r="AJ64" i="2"/>
  <c r="AJ65" i="2"/>
  <c r="AJ71" i="2"/>
  <c r="AR81" i="2"/>
  <c r="AT81" i="2" s="1"/>
  <c r="AJ85" i="2"/>
  <c r="AJ115" i="2"/>
  <c r="AJ127" i="2"/>
  <c r="AJ128" i="2"/>
  <c r="AJ138" i="2"/>
  <c r="AJ139" i="2"/>
  <c r="AJ146" i="2"/>
  <c r="AJ147" i="2"/>
  <c r="AJ150" i="2"/>
  <c r="AJ159" i="2"/>
  <c r="AJ167" i="2"/>
  <c r="AJ176" i="2"/>
  <c r="AJ187" i="2"/>
  <c r="AJ189" i="2"/>
  <c r="AJ212" i="2"/>
  <c r="AJ224" i="2"/>
  <c r="AJ234" i="2"/>
  <c r="AJ257" i="2"/>
  <c r="AJ268" i="2"/>
  <c r="AJ278" i="2"/>
  <c r="AJ284" i="2"/>
  <c r="AJ290" i="2"/>
  <c r="AJ297" i="2"/>
  <c r="AJ298" i="2"/>
  <c r="AJ299" i="2"/>
  <c r="AG13" i="1"/>
  <c r="AI15" i="1"/>
  <c r="AH16" i="1"/>
  <c r="AG17" i="1"/>
  <c r="AI18" i="1"/>
  <c r="AI68" i="1"/>
  <c r="AU217" i="2"/>
  <c r="AK92" i="2"/>
  <c r="BD190" i="2"/>
  <c r="BE191" i="2"/>
  <c r="AG237" i="2"/>
  <c r="AH253" i="2"/>
  <c r="AH258" i="2"/>
  <c r="AY262" i="2"/>
  <c r="AY265" i="2"/>
  <c r="AJ275" i="2"/>
  <c r="AG295" i="2"/>
  <c r="AY366" i="2"/>
  <c r="T5" i="4"/>
  <c r="I30" i="7"/>
  <c r="BC77" i="2"/>
  <c r="AX89" i="2"/>
  <c r="AY90" i="2"/>
  <c r="BD115" i="2"/>
  <c r="AH126" i="2"/>
  <c r="AH140" i="2"/>
  <c r="AU152" i="2"/>
  <c r="AY152" i="2"/>
  <c r="BC158" i="2"/>
  <c r="BD162" i="2"/>
  <c r="AY192" i="2"/>
  <c r="AU228" i="2"/>
  <c r="AY235" i="2"/>
  <c r="AY236" i="2"/>
  <c r="AI237" i="2"/>
  <c r="AI245" i="2"/>
  <c r="AI249" i="2"/>
  <c r="AK253" i="2"/>
  <c r="AY253" i="2"/>
  <c r="AU293" i="2"/>
  <c r="AY299" i="2"/>
  <c r="AU309" i="2"/>
  <c r="AY309" i="2"/>
  <c r="AY328" i="2"/>
  <c r="AY332" i="2"/>
  <c r="AY342" i="2"/>
  <c r="BD4" i="2"/>
  <c r="AI6" i="2"/>
  <c r="AJ6" i="2"/>
  <c r="AJ14" i="2"/>
  <c r="AJ16" i="2"/>
  <c r="AY17" i="2"/>
  <c r="BD18" i="2"/>
  <c r="AT20" i="2"/>
  <c r="AU22" i="2"/>
  <c r="AY22" i="2"/>
  <c r="AG24" i="2"/>
  <c r="AJ24" i="2"/>
  <c r="AY28" i="2"/>
  <c r="AG30" i="2"/>
  <c r="AY47" i="2"/>
  <c r="BF63" i="2"/>
  <c r="BC64" i="2"/>
  <c r="AY84" i="2"/>
  <c r="BC90" i="2"/>
  <c r="AG94" i="2"/>
  <c r="AJ107" i="2"/>
  <c r="AI127" i="2"/>
  <c r="AJ129" i="2"/>
  <c r="BD133" i="2"/>
  <c r="AI133" i="2"/>
  <c r="BD136" i="2"/>
  <c r="AJ141" i="2"/>
  <c r="AU151" i="2"/>
  <c r="AY151" i="2"/>
  <c r="AX152" i="2"/>
  <c r="AU158" i="2"/>
  <c r="BD159" i="2"/>
  <c r="AT162" i="2"/>
  <c r="BC162" i="2"/>
  <c r="AJ215" i="2"/>
  <c r="AY217" i="2"/>
  <c r="AI219" i="2"/>
  <c r="AZ222" i="2"/>
  <c r="AJ222" i="2"/>
  <c r="AZ223" i="2"/>
  <c r="AJ223" i="2"/>
  <c r="AY225" i="2"/>
  <c r="AI227" i="2"/>
  <c r="AJ227" i="2"/>
  <c r="AJ231" i="2"/>
  <c r="AZ232" i="2"/>
  <c r="AY233" i="2"/>
  <c r="AU249" i="2"/>
  <c r="AY249" i="2"/>
  <c r="AT256" i="2"/>
  <c r="AG258" i="2"/>
  <c r="AG291" i="2"/>
  <c r="AZ308" i="2"/>
  <c r="AU321" i="2"/>
  <c r="AY321" i="2"/>
  <c r="AU325" i="2"/>
  <c r="AY325" i="2"/>
  <c r="H21" i="4"/>
  <c r="AK16" i="1"/>
  <c r="AL16" i="1"/>
  <c r="AJ12" i="2"/>
  <c r="AJ22" i="2"/>
  <c r="AU28" i="2"/>
  <c r="AJ28" i="2"/>
  <c r="AJ32" i="2"/>
  <c r="AJ50" i="2"/>
  <c r="AJ54" i="2"/>
  <c r="AJ58" i="2"/>
  <c r="AJ62" i="2"/>
  <c r="AH84" i="2"/>
  <c r="AK102" i="2"/>
  <c r="AG104" i="2"/>
  <c r="AG112" i="2"/>
  <c r="AI114" i="2"/>
  <c r="AH294" i="2"/>
  <c r="AH295" i="2"/>
  <c r="AK295" i="2"/>
  <c r="AZ302" i="2"/>
  <c r="AI304" i="2"/>
  <c r="AK15" i="1"/>
  <c r="AL15" i="1"/>
  <c r="AI102" i="2"/>
  <c r="AK114" i="2"/>
  <c r="AI118" i="2"/>
  <c r="AH124" i="2"/>
  <c r="AZ127" i="2"/>
  <c r="BC128" i="2"/>
  <c r="AG129" i="2"/>
  <c r="AI141" i="2"/>
  <c r="BC141" i="2"/>
  <c r="AK150" i="2"/>
  <c r="AH151" i="2"/>
  <c r="AZ155" i="2"/>
  <c r="AG213" i="2"/>
  <c r="AH213" i="2"/>
  <c r="AJ242" i="2"/>
  <c r="AG287" i="2"/>
  <c r="AI290" i="2"/>
  <c r="AH298" i="2"/>
  <c r="AZ312" i="2"/>
  <c r="AG347" i="2"/>
  <c r="AH347" i="2"/>
  <c r="AK14" i="1"/>
  <c r="AL14" i="1"/>
  <c r="AK69" i="1"/>
  <c r="AL69" i="1"/>
  <c r="AG10" i="2"/>
  <c r="AG20" i="2"/>
  <c r="AT24" i="2"/>
  <c r="AY30" i="2"/>
  <c r="AY48" i="2"/>
  <c r="AY52" i="2"/>
  <c r="AY56" i="2"/>
  <c r="AY60" i="2"/>
  <c r="AU72" i="2"/>
  <c r="AY76" i="2"/>
  <c r="AY78" i="2"/>
  <c r="BA94" i="2"/>
  <c r="AU6" i="2"/>
  <c r="AY6" i="2"/>
  <c r="AG8" i="2"/>
  <c r="AJ8" i="2"/>
  <c r="AY20" i="2"/>
  <c r="AT22" i="2"/>
  <c r="BD26" i="2"/>
  <c r="AJ26" i="2"/>
  <c r="AY27" i="2"/>
  <c r="AU30" i="2"/>
  <c r="AJ34" i="2"/>
  <c r="AY35" i="2"/>
  <c r="AU48" i="2"/>
  <c r="AU56" i="2"/>
  <c r="AK69" i="2"/>
  <c r="AU69" i="2"/>
  <c r="BD85" i="2"/>
  <c r="AI92" i="2"/>
  <c r="AY92" i="2"/>
  <c r="BD93" i="2"/>
  <c r="BC100" i="2"/>
  <c r="E30" i="7"/>
  <c r="AG102" i="2"/>
  <c r="E34" i="7"/>
  <c r="AG106" i="2"/>
  <c r="E12" i="7"/>
  <c r="AG114" i="2"/>
  <c r="E18" i="7"/>
  <c r="AG120" i="2"/>
  <c r="BD125" i="2"/>
  <c r="BD126" i="2"/>
  <c r="AY127" i="2"/>
  <c r="BD128" i="2"/>
  <c r="AH129" i="2"/>
  <c r="AI131" i="2"/>
  <c r="AG136" i="2"/>
  <c r="AK187" i="2"/>
  <c r="AH187" i="2"/>
  <c r="AG199" i="2"/>
  <c r="AG218" i="2"/>
  <c r="AZ236" i="2"/>
  <c r="AZ266" i="2"/>
  <c r="AI275" i="2"/>
  <c r="AK275" i="2"/>
  <c r="AI295" i="2"/>
  <c r="AI298" i="2"/>
  <c r="AK13" i="1"/>
  <c r="AL13" i="1"/>
  <c r="AK17" i="1"/>
  <c r="AL17" i="1"/>
  <c r="F8" i="3"/>
  <c r="T8" i="3" s="1"/>
  <c r="T8" i="4"/>
  <c r="BC164" i="2"/>
  <c r="BD166" i="2"/>
  <c r="BC179" i="2"/>
  <c r="BC180" i="2"/>
  <c r="BD182" i="2"/>
  <c r="BD186" i="2"/>
  <c r="BF194" i="2"/>
  <c r="BC195" i="2"/>
  <c r="AU208" i="2"/>
  <c r="AY208" i="2"/>
  <c r="AI230" i="2"/>
  <c r="AI235" i="2"/>
  <c r="AI243" i="2"/>
  <c r="AY269" i="2"/>
  <c r="AT288" i="2"/>
  <c r="AY294" i="2"/>
  <c r="AU298" i="2"/>
  <c r="AH303" i="2"/>
  <c r="AH307" i="2"/>
  <c r="AH315" i="2"/>
  <c r="AY324" i="2"/>
  <c r="AG325" i="2"/>
  <c r="AU333" i="2"/>
  <c r="AY333" i="2"/>
  <c r="AY340" i="2"/>
  <c r="AG341" i="2"/>
  <c r="AU345" i="2"/>
  <c r="AY345" i="2"/>
  <c r="AH353" i="2"/>
  <c r="J56" i="8"/>
  <c r="K68" i="8"/>
  <c r="L19" i="4"/>
  <c r="AC19" i="4" s="1"/>
  <c r="L63" i="4"/>
  <c r="M63" i="4" s="1"/>
  <c r="I36" i="7"/>
  <c r="P36" i="7" s="1"/>
  <c r="G58" i="8"/>
  <c r="K69" i="8"/>
  <c r="J53" i="8"/>
  <c r="J59" i="8"/>
  <c r="BC134" i="2"/>
  <c r="BC135" i="2"/>
  <c r="BC137" i="2"/>
  <c r="BD139" i="2"/>
  <c r="AI140" i="2"/>
  <c r="AG158" i="2"/>
  <c r="BD167" i="2"/>
  <c r="AT174" i="2"/>
  <c r="BC182" i="2"/>
  <c r="BD183" i="2"/>
  <c r="BD187" i="2"/>
  <c r="AH196" i="2"/>
  <c r="BD196" i="2"/>
  <c r="BE205" i="2"/>
  <c r="BE208" i="2"/>
  <c r="BE209" i="2"/>
  <c r="BC210" i="2"/>
  <c r="AJ210" i="2"/>
  <c r="AJ211" i="2"/>
  <c r="BC214" i="2"/>
  <c r="AJ218" i="2"/>
  <c r="AY221" i="2"/>
  <c r="AY222" i="2"/>
  <c r="AY223" i="2"/>
  <c r="AJ226" i="2"/>
  <c r="AY231" i="2"/>
  <c r="AY232" i="2"/>
  <c r="AG235" i="2"/>
  <c r="AH237" i="2"/>
  <c r="AJ237" i="2"/>
  <c r="AU245" i="2"/>
  <c r="AT248" i="2"/>
  <c r="AT255" i="2"/>
  <c r="AH262" i="2"/>
  <c r="AU277" i="2"/>
  <c r="AG279" i="2"/>
  <c r="AZ282" i="2"/>
  <c r="AJ283" i="2"/>
  <c r="AY289" i="2"/>
  <c r="AY298" i="2"/>
  <c r="AY303" i="2"/>
  <c r="AY308" i="2"/>
  <c r="AH311" i="2"/>
  <c r="AY315" i="2"/>
  <c r="AY320" i="2"/>
  <c r="AG321" i="2"/>
  <c r="AU329" i="2"/>
  <c r="AY329" i="2"/>
  <c r="AY336" i="2"/>
  <c r="AG337" i="2"/>
  <c r="AT350" i="2"/>
  <c r="AY365" i="2"/>
  <c r="AT368" i="2"/>
  <c r="AK4" i="1"/>
  <c r="G55" i="8"/>
  <c r="AI32" i="2"/>
  <c r="AK32" i="2"/>
  <c r="BD38" i="2"/>
  <c r="AY38" i="2"/>
  <c r="N37" i="7"/>
  <c r="Q37" i="7" s="1"/>
  <c r="BC123" i="2"/>
  <c r="AG205" i="2"/>
  <c r="AK205" i="2"/>
  <c r="AG6" i="2"/>
  <c r="AY36" i="2"/>
  <c r="BD36" i="2"/>
  <c r="AI56" i="2"/>
  <c r="AK56" i="2"/>
  <c r="AH93" i="2"/>
  <c r="BC96" i="2"/>
  <c r="M12" i="7"/>
  <c r="AK98" i="2"/>
  <c r="AY161" i="2"/>
  <c r="BD161" i="2"/>
  <c r="BF200" i="2"/>
  <c r="AY200" i="2"/>
  <c r="BE215" i="2"/>
  <c r="BC215" i="2"/>
  <c r="AI279" i="2"/>
  <c r="AH279" i="2"/>
  <c r="AK279" i="2"/>
  <c r="AY4" i="2"/>
  <c r="AK6" i="2"/>
  <c r="AY9" i="2"/>
  <c r="BD10" i="2"/>
  <c r="AY12" i="2"/>
  <c r="AT14" i="2"/>
  <c r="AT16" i="2"/>
  <c r="AU18" i="2"/>
  <c r="AY18" i="2"/>
  <c r="AG22" i="2"/>
  <c r="AY25" i="2"/>
  <c r="AK28" i="2"/>
  <c r="BD28" i="2"/>
  <c r="AG32" i="2"/>
  <c r="BD34" i="2"/>
  <c r="AY34" i="2"/>
  <c r="AG56" i="2"/>
  <c r="BD65" i="2"/>
  <c r="AY65" i="2"/>
  <c r="AH68" i="2"/>
  <c r="AZ84" i="2"/>
  <c r="AY88" i="2"/>
  <c r="AI88" i="2"/>
  <c r="I6" i="7"/>
  <c r="P6" i="7" s="1"/>
  <c r="AG92" i="2"/>
  <c r="AI98" i="2"/>
  <c r="BC104" i="2"/>
  <c r="M20" i="7"/>
  <c r="AK106" i="2"/>
  <c r="AI106" i="2"/>
  <c r="BC166" i="2"/>
  <c r="AY213" i="2"/>
  <c r="BD213" i="2"/>
  <c r="AY215" i="2"/>
  <c r="BF215" i="2"/>
  <c r="BD215" i="2"/>
  <c r="AY216" i="2"/>
  <c r="BF216" i="2"/>
  <c r="BD216" i="2"/>
  <c r="AY266" i="2"/>
  <c r="AU266" i="2"/>
  <c r="D319" i="2"/>
  <c r="D319" i="1" s="1"/>
  <c r="AG28" i="2"/>
  <c r="M8" i="7"/>
  <c r="P8" i="7" s="1"/>
  <c r="AK94" i="2"/>
  <c r="BE216" i="2"/>
  <c r="BC216" i="2"/>
  <c r="BD6" i="2"/>
  <c r="AY8" i="2"/>
  <c r="AT10" i="2"/>
  <c r="AT12" i="2"/>
  <c r="AU14" i="2"/>
  <c r="AY14" i="2"/>
  <c r="AJ18" i="2"/>
  <c r="AJ20" i="2"/>
  <c r="AY21" i="2"/>
  <c r="BD22" i="2"/>
  <c r="AY24" i="2"/>
  <c r="AY33" i="2"/>
  <c r="AI48" i="2"/>
  <c r="AK48" i="2"/>
  <c r="AI64" i="2"/>
  <c r="O13" i="7"/>
  <c r="R13" i="7" s="1"/>
  <c r="BD99" i="2"/>
  <c r="BD107" i="2"/>
  <c r="E10" i="7"/>
  <c r="D124" i="2"/>
  <c r="D124" i="1" s="1"/>
  <c r="D125" i="2"/>
  <c r="D125" i="1" s="1"/>
  <c r="AJ133" i="2"/>
  <c r="AK136" i="2"/>
  <c r="AH136" i="2"/>
  <c r="AI136" i="2"/>
  <c r="AY158" i="2"/>
  <c r="AX162" i="2"/>
  <c r="AI189" i="2"/>
  <c r="BD195" i="2"/>
  <c r="AU195" i="2"/>
  <c r="AH343" i="2"/>
  <c r="AG343" i="2"/>
  <c r="AY32" i="2"/>
  <c r="AU40" i="2"/>
  <c r="BD44" i="2"/>
  <c r="AY46" i="2"/>
  <c r="BD48" i="2"/>
  <c r="AU52" i="2"/>
  <c r="AY54" i="2"/>
  <c r="BD56" i="2"/>
  <c r="AU60" i="2"/>
  <c r="AY62" i="2"/>
  <c r="BD64" i="2"/>
  <c r="AU65" i="2"/>
  <c r="AT68" i="2"/>
  <c r="AZ68" i="2"/>
  <c r="AG69" i="2"/>
  <c r="AY69" i="2"/>
  <c r="AZ83" i="2"/>
  <c r="BD84" i="2"/>
  <c r="AX85" i="2"/>
  <c r="AJ86" i="2"/>
  <c r="AI89" i="2"/>
  <c r="AH91" i="2"/>
  <c r="E24" i="7"/>
  <c r="T24" i="7" s="1"/>
  <c r="AJ98" i="2"/>
  <c r="BC108" i="2"/>
  <c r="M32" i="7"/>
  <c r="AK118" i="2"/>
  <c r="AZ131" i="2"/>
  <c r="AK133" i="2"/>
  <c r="AG133" i="2"/>
  <c r="BC138" i="2"/>
  <c r="BC139" i="2"/>
  <c r="BD142" i="2"/>
  <c r="AT143" i="2"/>
  <c r="AT152" i="2"/>
  <c r="AI158" i="2"/>
  <c r="AT158" i="2"/>
  <c r="AU159" i="2"/>
  <c r="AY159" i="2"/>
  <c r="AI160" i="2"/>
  <c r="BC208" i="2"/>
  <c r="AZ225" i="2"/>
  <c r="AK248" i="2"/>
  <c r="AG248" i="2"/>
  <c r="AH254" i="2"/>
  <c r="AK274" i="2"/>
  <c r="AH274" i="2"/>
  <c r="AJ279" i="2"/>
  <c r="D320" i="2"/>
  <c r="D320" i="1" s="1"/>
  <c r="AI323" i="2"/>
  <c r="AI339" i="2"/>
  <c r="AK351" i="2"/>
  <c r="AH351" i="2"/>
  <c r="AU34" i="2"/>
  <c r="AI38" i="2"/>
  <c r="AU38" i="2"/>
  <c r="AG42" i="2"/>
  <c r="AY42" i="2"/>
  <c r="BD50" i="2"/>
  <c r="BD52" i="2"/>
  <c r="BD58" i="2"/>
  <c r="BD60" i="2"/>
  <c r="BC65" i="2"/>
  <c r="BD68" i="2"/>
  <c r="AI72" i="2"/>
  <c r="BC74" i="2"/>
  <c r="BD74" i="2"/>
  <c r="AY77" i="2"/>
  <c r="AY83" i="2"/>
  <c r="AY85" i="2"/>
  <c r="BF64" i="2"/>
  <c r="BF67" i="2" s="1"/>
  <c r="BG64" i="2"/>
  <c r="BG67" i="2" s="1"/>
  <c r="AJ90" i="2"/>
  <c r="D123" i="2"/>
  <c r="D123" i="1" s="1"/>
  <c r="BD94" i="2"/>
  <c r="AJ94" i="2"/>
  <c r="E26" i="7"/>
  <c r="AG98" i="2"/>
  <c r="E32" i="7"/>
  <c r="BC120" i="2"/>
  <c r="AG124" i="2"/>
  <c r="AH125" i="2"/>
  <c r="AH133" i="2"/>
  <c r="AJ136" i="2"/>
  <c r="AI137" i="2"/>
  <c r="AJ137" i="2"/>
  <c r="AJ140" i="2"/>
  <c r="AH141" i="2"/>
  <c r="AI142" i="2"/>
  <c r="AH145" i="2"/>
  <c r="BC152" i="2"/>
  <c r="BC153" i="2"/>
  <c r="AY155" i="2"/>
  <c r="AK156" i="2"/>
  <c r="BC156" i="2"/>
  <c r="BC160" i="2"/>
  <c r="AU165" i="2"/>
  <c r="AY165" i="2"/>
  <c r="AI172" i="2"/>
  <c r="AU173" i="2"/>
  <c r="AY173" i="2"/>
  <c r="AI180" i="2"/>
  <c r="AU181" i="2"/>
  <c r="AY181" i="2"/>
  <c r="AK185" i="2"/>
  <c r="AH185" i="2"/>
  <c r="BF196" i="2"/>
  <c r="AK199" i="2"/>
  <c r="AI199" i="2"/>
  <c r="AH207" i="2"/>
  <c r="AI207" i="2"/>
  <c r="BC207" i="2"/>
  <c r="AK246" i="2"/>
  <c r="AI246" i="2"/>
  <c r="AK254" i="2"/>
  <c r="AI254" i="2"/>
  <c r="AI327" i="2"/>
  <c r="AT182" i="2"/>
  <c r="AY185" i="2"/>
  <c r="AY186" i="2"/>
  <c r="AY187" i="2"/>
  <c r="BD188" i="2"/>
  <c r="AT195" i="2"/>
  <c r="BC198" i="2"/>
  <c r="AU199" i="2"/>
  <c r="BF201" i="2"/>
  <c r="BD203" i="2"/>
  <c r="BD205" i="2"/>
  <c r="BF214" i="2"/>
  <c r="AZ218" i="2"/>
  <c r="AZ219" i="2"/>
  <c r="AY220" i="2"/>
  <c r="AU221" i="2"/>
  <c r="AZ226" i="2"/>
  <c r="AZ227" i="2"/>
  <c r="AX228" i="2"/>
  <c r="AT231" i="2"/>
  <c r="AY240" i="2"/>
  <c r="AX247" i="2"/>
  <c r="AU248" i="2"/>
  <c r="AY248" i="2"/>
  <c r="AG252" i="2"/>
  <c r="AT252" i="2"/>
  <c r="AT257" i="2"/>
  <c r="AU261" i="2"/>
  <c r="AI262" i="2"/>
  <c r="AT269" i="2"/>
  <c r="AU270" i="2"/>
  <c r="AY270" i="2"/>
  <c r="AZ272" i="2"/>
  <c r="AY273" i="2"/>
  <c r="AG281" i="2"/>
  <c r="AY282" i="2"/>
  <c r="AI287" i="2"/>
  <c r="AG297" i="2"/>
  <c r="D327" i="2"/>
  <c r="D327" i="1" s="1"/>
  <c r="AG317" i="2"/>
  <c r="D353" i="2"/>
  <c r="D353" i="1" s="1"/>
  <c r="AJ352" i="2"/>
  <c r="AF109" i="1"/>
  <c r="AG109" i="1" s="1"/>
  <c r="AF115" i="1"/>
  <c r="AI115" i="1" s="1"/>
  <c r="AL157" i="1"/>
  <c r="F6" i="3"/>
  <c r="T6" i="4"/>
  <c r="J148" i="5"/>
  <c r="P138" i="5"/>
  <c r="AG110" i="2"/>
  <c r="BC112" i="2"/>
  <c r="E35" i="7"/>
  <c r="T35" i="7" s="1"/>
  <c r="AG122" i="2"/>
  <c r="AY125" i="2"/>
  <c r="BD129" i="2"/>
  <c r="AI129" i="2"/>
  <c r="BD130" i="2"/>
  <c r="AI130" i="2"/>
  <c r="AY131" i="2"/>
  <c r="BC132" i="2"/>
  <c r="AH134" i="2"/>
  <c r="AI134" i="2"/>
  <c r="BD135" i="2"/>
  <c r="AY143" i="2"/>
  <c r="AJ144" i="2"/>
  <c r="AI148" i="2"/>
  <c r="BD152" i="2"/>
  <c r="AY153" i="2"/>
  <c r="AJ158" i="2"/>
  <c r="BG160" i="2"/>
  <c r="BH160" i="2" s="1"/>
  <c r="BJ160" i="2" s="1"/>
  <c r="AY163" i="2"/>
  <c r="AY167" i="2"/>
  <c r="AY169" i="2"/>
  <c r="AY175" i="2"/>
  <c r="AY177" i="2"/>
  <c r="AY183" i="2"/>
  <c r="D214" i="2"/>
  <c r="D214" i="1" s="1"/>
  <c r="AT186" i="2"/>
  <c r="AH188" i="2"/>
  <c r="AY190" i="2"/>
  <c r="AJ191" i="2"/>
  <c r="BC193" i="2"/>
  <c r="BE193" i="2"/>
  <c r="AT194" i="2"/>
  <c r="AX195" i="2"/>
  <c r="AJ195" i="2"/>
  <c r="AU196" i="2"/>
  <c r="AJ199" i="2"/>
  <c r="AH200" i="2"/>
  <c r="AH201" i="2"/>
  <c r="AT203" i="2"/>
  <c r="BD207" i="2"/>
  <c r="AT220" i="2"/>
  <c r="AZ221" i="2"/>
  <c r="AH223" i="2"/>
  <c r="AU224" i="2"/>
  <c r="AY226" i="2"/>
  <c r="AY227" i="2"/>
  <c r="AU229" i="2"/>
  <c r="AU236" i="2"/>
  <c r="AT239" i="2"/>
  <c r="AZ244" i="2"/>
  <c r="AJ246" i="2"/>
  <c r="AH249" i="2"/>
  <c r="AK252" i="2"/>
  <c r="AU252" i="2"/>
  <c r="AY252" i="2"/>
  <c r="AY254" i="2"/>
  <c r="AI255" i="2"/>
  <c r="AU257" i="2"/>
  <c r="AU258" i="2"/>
  <c r="AJ259" i="2"/>
  <c r="AZ260" i="2"/>
  <c r="AG262" i="2"/>
  <c r="AZ265" i="2"/>
  <c r="AT268" i="2"/>
  <c r="AJ271" i="2"/>
  <c r="AT273" i="2"/>
  <c r="AH278" i="2"/>
  <c r="AY278" i="2"/>
  <c r="AK281" i="2"/>
  <c r="AZ281" i="2"/>
  <c r="AH282" i="2"/>
  <c r="AU282" i="2"/>
  <c r="AX284" i="2"/>
  <c r="AH287" i="2"/>
  <c r="AZ293" i="2"/>
  <c r="AU297" i="2"/>
  <c r="AY311" i="2"/>
  <c r="AG313" i="2"/>
  <c r="AK317" i="2"/>
  <c r="AU317" i="2"/>
  <c r="AY317" i="2"/>
  <c r="AT322" i="2"/>
  <c r="AT326" i="2"/>
  <c r="AT330" i="2"/>
  <c r="AT334" i="2"/>
  <c r="AT338" i="2"/>
  <c r="AT346" i="2"/>
  <c r="AY347" i="2"/>
  <c r="X51" i="4"/>
  <c r="L51" i="4"/>
  <c r="AC51" i="4" s="1"/>
  <c r="Q66" i="4"/>
  <c r="R66" i="4" s="1"/>
  <c r="H66" i="4"/>
  <c r="K60" i="8"/>
  <c r="AY281" i="2"/>
  <c r="AH286" i="2"/>
  <c r="AY286" i="2"/>
  <c r="AU289" i="2"/>
  <c r="AZ290" i="2"/>
  <c r="AY293" i="2"/>
  <c r="AK297" i="2"/>
  <c r="AY307" i="2"/>
  <c r="AG309" i="2"/>
  <c r="AK313" i="2"/>
  <c r="AU313" i="2"/>
  <c r="AY313" i="2"/>
  <c r="AZ316" i="2"/>
  <c r="AZ320" i="2"/>
  <c r="AZ324" i="2"/>
  <c r="AZ328" i="2"/>
  <c r="AZ332" i="2"/>
  <c r="AZ336" i="2"/>
  <c r="AZ340" i="2"/>
  <c r="AY350" i="2"/>
  <c r="AT352" i="2"/>
  <c r="AY358" i="2"/>
  <c r="AT360" i="2"/>
  <c r="AK361" i="2"/>
  <c r="AH361" i="2"/>
  <c r="X49" i="4"/>
  <c r="Y49" i="4" s="1"/>
  <c r="L49" i="4"/>
  <c r="AC49" i="4" s="1"/>
  <c r="AD49" i="4" s="1"/>
  <c r="I20" i="7"/>
  <c r="I24" i="7"/>
  <c r="P24" i="7" s="1"/>
  <c r="I37" i="7"/>
  <c r="P37" i="7" s="1"/>
  <c r="K70" i="8"/>
  <c r="K55" i="8"/>
  <c r="K58" i="8"/>
  <c r="K73" i="8"/>
  <c r="AU299" i="2"/>
  <c r="AU302" i="2"/>
  <c r="AT310" i="2"/>
  <c r="AT314" i="2"/>
  <c r="AT318" i="2"/>
  <c r="AH319" i="2"/>
  <c r="AY319" i="2"/>
  <c r="AH323" i="2"/>
  <c r="AY323" i="2"/>
  <c r="AH327" i="2"/>
  <c r="AY327" i="2"/>
  <c r="AH331" i="2"/>
  <c r="AY331" i="2"/>
  <c r="AH335" i="2"/>
  <c r="AY335" i="2"/>
  <c r="AH339" i="2"/>
  <c r="AY339" i="2"/>
  <c r="AT342" i="2"/>
  <c r="AY346" i="2"/>
  <c r="AU349" i="2"/>
  <c r="AY349" i="2"/>
  <c r="AZ354" i="2"/>
  <c r="AY357" i="2"/>
  <c r="AT358" i="2"/>
  <c r="AT362" i="2"/>
  <c r="AZ366" i="2"/>
  <c r="AK5" i="1"/>
  <c r="AK6" i="1"/>
  <c r="AK7" i="1"/>
  <c r="AK8" i="1"/>
  <c r="AK9" i="1"/>
  <c r="AK10" i="1"/>
  <c r="AK11" i="1"/>
  <c r="AK12" i="1"/>
  <c r="G157" i="1"/>
  <c r="G161" i="1"/>
  <c r="G165" i="1"/>
  <c r="G169" i="1"/>
  <c r="G173" i="1"/>
  <c r="G177" i="1"/>
  <c r="G181" i="1"/>
  <c r="Y22" i="4"/>
  <c r="I18" i="7"/>
  <c r="I31" i="7"/>
  <c r="P31" i="7" s="1"/>
  <c r="I34" i="7"/>
  <c r="I35" i="7"/>
  <c r="P35" i="7" s="1"/>
  <c r="H58" i="8"/>
  <c r="I71" i="8"/>
  <c r="H19" i="4"/>
  <c r="AF77" i="4"/>
  <c r="AV79" i="4"/>
  <c r="AW81" i="4" s="1"/>
  <c r="H53" i="5"/>
  <c r="I10" i="7"/>
  <c r="L39" i="7"/>
  <c r="I26" i="7"/>
  <c r="I33" i="7"/>
  <c r="P33" i="7" s="1"/>
  <c r="F56" i="8"/>
  <c r="F59" i="8"/>
  <c r="AG214" i="2"/>
  <c r="AT215" i="2"/>
  <c r="H79" i="4"/>
  <c r="BD8" i="2"/>
  <c r="BD12" i="2"/>
  <c r="AI18" i="2"/>
  <c r="AK18" i="2"/>
  <c r="BD20" i="2"/>
  <c r="BD24" i="2"/>
  <c r="D31" i="2"/>
  <c r="D31" i="1" s="1"/>
  <c r="BD32" i="2"/>
  <c r="AI34" i="2"/>
  <c r="AK34" i="2"/>
  <c r="BD42" i="2"/>
  <c r="AI44" i="2"/>
  <c r="AG44" i="2"/>
  <c r="AH86" i="2"/>
  <c r="AK86" i="2"/>
  <c r="AZ88" i="2"/>
  <c r="BC88" i="2"/>
  <c r="BG145" i="2"/>
  <c r="BG124" i="2"/>
  <c r="BG132" i="2"/>
  <c r="D183" i="2"/>
  <c r="D183" i="1" s="1"/>
  <c r="D155" i="2"/>
  <c r="D155" i="1" s="1"/>
  <c r="BD163" i="2"/>
  <c r="BG164" i="2"/>
  <c r="BH164" i="2" s="1"/>
  <c r="AH170" i="2"/>
  <c r="AI170" i="2"/>
  <c r="AG170" i="2"/>
  <c r="BD177" i="2"/>
  <c r="AK190" i="2"/>
  <c r="AH190" i="2"/>
  <c r="BF192" i="2"/>
  <c r="AK197" i="2"/>
  <c r="AI197" i="2"/>
  <c r="AY206" i="2"/>
  <c r="BF206" i="2"/>
  <c r="AY210" i="2"/>
  <c r="BF210" i="2"/>
  <c r="AZ212" i="2"/>
  <c r="BC212" i="2"/>
  <c r="AH225" i="2"/>
  <c r="AG225" i="2"/>
  <c r="AX227" i="2"/>
  <c r="AX232" i="2"/>
  <c r="AX320" i="2"/>
  <c r="AK365" i="2"/>
  <c r="AH365" i="2"/>
  <c r="F70" i="8"/>
  <c r="F55" i="8"/>
  <c r="J55" i="8"/>
  <c r="J70" i="8"/>
  <c r="K71" i="8"/>
  <c r="K56" i="8"/>
  <c r="D5" i="2"/>
  <c r="D5" i="1" s="1"/>
  <c r="BC6" i="2"/>
  <c r="AX6" i="2"/>
  <c r="AG18" i="2"/>
  <c r="AG34" i="2"/>
  <c r="D47" i="2"/>
  <c r="D47" i="1" s="1"/>
  <c r="AJ46" i="2"/>
  <c r="BA66" i="2"/>
  <c r="AY67" i="2"/>
  <c r="BD67" i="2"/>
  <c r="AZ80" i="2"/>
  <c r="AX80" i="2"/>
  <c r="BD83" i="2"/>
  <c r="AI86" i="2"/>
  <c r="O10" i="7"/>
  <c r="R10" i="7" s="1"/>
  <c r="AY96" i="2"/>
  <c r="AH97" i="2"/>
  <c r="M14" i="7"/>
  <c r="AK100" i="2"/>
  <c r="AI100" i="2"/>
  <c r="O15" i="7"/>
  <c r="R15" i="7" s="1"/>
  <c r="BD101" i="2"/>
  <c r="D102" i="2"/>
  <c r="D102" i="1" s="1"/>
  <c r="AJ101" i="2"/>
  <c r="BC102" i="2"/>
  <c r="O18" i="7"/>
  <c r="V18" i="7" s="1"/>
  <c r="AY104" i="2"/>
  <c r="AH105" i="2"/>
  <c r="M22" i="7"/>
  <c r="AK108" i="2"/>
  <c r="AI108" i="2"/>
  <c r="D110" i="2"/>
  <c r="D110" i="1" s="1"/>
  <c r="AJ109" i="2"/>
  <c r="BC110" i="2"/>
  <c r="M30" i="7"/>
  <c r="AK116" i="2"/>
  <c r="AI116" i="2"/>
  <c r="D118" i="2"/>
  <c r="D118" i="1" s="1"/>
  <c r="AJ117" i="2"/>
  <c r="O34" i="7"/>
  <c r="V34" i="7" s="1"/>
  <c r="AY120" i="2"/>
  <c r="AH121" i="2"/>
  <c r="O37" i="7"/>
  <c r="R37" i="7" s="1"/>
  <c r="BD123" i="2"/>
  <c r="AH128" i="2"/>
  <c r="AG128" i="2"/>
  <c r="AX132" i="2"/>
  <c r="AX139" i="2"/>
  <c r="AZ151" i="2"/>
  <c r="AH152" i="2"/>
  <c r="AK152" i="2"/>
  <c r="AI152" i="2"/>
  <c r="BD155" i="2"/>
  <c r="D158" i="2"/>
  <c r="D158" i="1" s="1"/>
  <c r="AY162" i="2"/>
  <c r="AZ178" i="2"/>
  <c r="BC178" i="2"/>
  <c r="BF186" i="2"/>
  <c r="AH192" i="2"/>
  <c r="AX198" i="2"/>
  <c r="AZ204" i="2"/>
  <c r="BC204" i="2"/>
  <c r="AK206" i="2"/>
  <c r="AI206" i="2"/>
  <c r="AI210" i="2"/>
  <c r="AK210" i="2"/>
  <c r="AH214" i="2"/>
  <c r="AK214" i="2"/>
  <c r="AI214" i="2"/>
  <c r="AI233" i="2"/>
  <c r="AH233" i="2"/>
  <c r="AK233" i="2"/>
  <c r="AG233" i="2"/>
  <c r="AZ241" i="2"/>
  <c r="AI266" i="2"/>
  <c r="AH266" i="2"/>
  <c r="AG266" i="2"/>
  <c r="AK266" i="2"/>
  <c r="AJ320" i="2"/>
  <c r="D321" i="2"/>
  <c r="D321" i="1" s="1"/>
  <c r="D336" i="2"/>
  <c r="D336" i="1" s="1"/>
  <c r="AJ336" i="2"/>
  <c r="D337" i="2"/>
  <c r="D337" i="1" s="1"/>
  <c r="AI8" i="2"/>
  <c r="AK8" i="2"/>
  <c r="AU8" i="2"/>
  <c r="AI12" i="2"/>
  <c r="AK12" i="2"/>
  <c r="AU12" i="2"/>
  <c r="AI16" i="2"/>
  <c r="AK16" i="2"/>
  <c r="AU16" i="2"/>
  <c r="AI20" i="2"/>
  <c r="AK20" i="2"/>
  <c r="AU20" i="2"/>
  <c r="AI24" i="2"/>
  <c r="AK24" i="2"/>
  <c r="AU24" i="2"/>
  <c r="D27" i="2"/>
  <c r="D27" i="1" s="1"/>
  <c r="AI30" i="2"/>
  <c r="AK30" i="2"/>
  <c r="D61" i="2"/>
  <c r="D61" i="1" s="1"/>
  <c r="D37" i="2"/>
  <c r="D37" i="1" s="1"/>
  <c r="AY39" i="2"/>
  <c r="AG40" i="2"/>
  <c r="BD40" i="2"/>
  <c r="AY41" i="2"/>
  <c r="D43" i="2"/>
  <c r="D43" i="1" s="1"/>
  <c r="AK44" i="2"/>
  <c r="AI46" i="2"/>
  <c r="AY50" i="2"/>
  <c r="AG52" i="2"/>
  <c r="AY58" i="2"/>
  <c r="AG60" i="2"/>
  <c r="AX66" i="2"/>
  <c r="BC66" i="2"/>
  <c r="BB71" i="2"/>
  <c r="BC72" i="2"/>
  <c r="AI78" i="2"/>
  <c r="AH78" i="2"/>
  <c r="BD80" i="2"/>
  <c r="AZ87" i="2"/>
  <c r="AX87" i="2"/>
  <c r="BD89" i="2"/>
  <c r="AH90" i="2"/>
  <c r="AK90" i="2"/>
  <c r="AI90" i="2"/>
  <c r="AG100" i="2"/>
  <c r="AG108" i="2"/>
  <c r="AG116" i="2"/>
  <c r="BF144" i="2"/>
  <c r="BG128" i="2"/>
  <c r="AX131" i="2"/>
  <c r="BD132" i="2"/>
  <c r="BD134" i="2"/>
  <c r="AY139" i="2"/>
  <c r="AG140" i="2"/>
  <c r="BD140" i="2"/>
  <c r="AY140" i="2"/>
  <c r="BC142" i="2"/>
  <c r="BC146" i="2"/>
  <c r="BD148" i="2"/>
  <c r="AY148" i="2"/>
  <c r="AX149" i="2"/>
  <c r="AG152" i="2"/>
  <c r="AX153" i="2"/>
  <c r="BF155" i="2"/>
  <c r="BE155" i="2" s="1"/>
  <c r="BF157" i="2"/>
  <c r="BE157" i="2" s="1"/>
  <c r="BI157" i="2" s="1"/>
  <c r="AH162" i="2"/>
  <c r="AK162" i="2"/>
  <c r="AI162" i="2"/>
  <c r="AZ165" i="2"/>
  <c r="BD165" i="2"/>
  <c r="AH166" i="2"/>
  <c r="AK166" i="2"/>
  <c r="AI166" i="2"/>
  <c r="BD170" i="2"/>
  <c r="AY170" i="2"/>
  <c r="AU170" i="2"/>
  <c r="AZ173" i="2"/>
  <c r="BD173" i="2"/>
  <c r="AH174" i="2"/>
  <c r="AK174" i="2"/>
  <c r="AI174" i="2"/>
  <c r="BD178" i="2"/>
  <c r="AY178" i="2"/>
  <c r="AU178" i="2"/>
  <c r="AZ181" i="2"/>
  <c r="BD181" i="2"/>
  <c r="AH182" i="2"/>
  <c r="AK182" i="2"/>
  <c r="AI182" i="2"/>
  <c r="BF185" i="2"/>
  <c r="BF187" i="2"/>
  <c r="D188" i="2"/>
  <c r="D188" i="1" s="1"/>
  <c r="BF190" i="2"/>
  <c r="AH191" i="2"/>
  <c r="AI191" i="2"/>
  <c r="AG191" i="2"/>
  <c r="AH195" i="2"/>
  <c r="AK195" i="2"/>
  <c r="AI195" i="2"/>
  <c r="BC201" i="2"/>
  <c r="AH206" i="2"/>
  <c r="AY209" i="2"/>
  <c r="BD209" i="2"/>
  <c r="AH210" i="2"/>
  <c r="AH215" i="2"/>
  <c r="AI215" i="2"/>
  <c r="AZ216" i="2"/>
  <c r="AX216" i="2"/>
  <c r="AZ217" i="2"/>
  <c r="AH218" i="2"/>
  <c r="AK218" i="2"/>
  <c r="AI218" i="2"/>
  <c r="AG222" i="2"/>
  <c r="AY228" i="2"/>
  <c r="AG230" i="2"/>
  <c r="AH230" i="2"/>
  <c r="AI239" i="2"/>
  <c r="AX239" i="2"/>
  <c r="AZ240" i="2"/>
  <c r="AX240" i="2"/>
  <c r="AZ245" i="2"/>
  <c r="D249" i="2"/>
  <c r="D249" i="1" s="1"/>
  <c r="AK259" i="2"/>
  <c r="AI259" i="2"/>
  <c r="AH259" i="2"/>
  <c r="AI271" i="2"/>
  <c r="AH271" i="2"/>
  <c r="AK271" i="2"/>
  <c r="D291" i="2"/>
  <c r="D291" i="1" s="1"/>
  <c r="AK283" i="2"/>
  <c r="AI283" i="2"/>
  <c r="AX289" i="2"/>
  <c r="AY290" i="2"/>
  <c r="AI299" i="2"/>
  <c r="AH299" i="2"/>
  <c r="AG299" i="2"/>
  <c r="AK299" i="2"/>
  <c r="AX312" i="2"/>
  <c r="AX328" i="2"/>
  <c r="AI345" i="2"/>
  <c r="AH345" i="2"/>
  <c r="AG345" i="2"/>
  <c r="AK345" i="2"/>
  <c r="AK367" i="2"/>
  <c r="AH367" i="2"/>
  <c r="AE1" i="2"/>
  <c r="AI10" i="2"/>
  <c r="AK10" i="2"/>
  <c r="AI14" i="2"/>
  <c r="AK14" i="2"/>
  <c r="BD16" i="2"/>
  <c r="AI22" i="2"/>
  <c r="AK22" i="2"/>
  <c r="AI26" i="2"/>
  <c r="AK26" i="2"/>
  <c r="BB70" i="2"/>
  <c r="AX83" i="2"/>
  <c r="AX127" i="2"/>
  <c r="AX138" i="2"/>
  <c r="AI144" i="2"/>
  <c r="AH144" i="2"/>
  <c r="AK164" i="2"/>
  <c r="AI164" i="2"/>
  <c r="BD169" i="2"/>
  <c r="AH178" i="2"/>
  <c r="AI178" i="2"/>
  <c r="AG178" i="2"/>
  <c r="BD191" i="2"/>
  <c r="AY191" i="2"/>
  <c r="AU191" i="2"/>
  <c r="AK193" i="2"/>
  <c r="AI193" i="2"/>
  <c r="AX212" i="2"/>
  <c r="AX223" i="2"/>
  <c r="AH231" i="2"/>
  <c r="AI231" i="2"/>
  <c r="AX236" i="2"/>
  <c r="AX265" i="2"/>
  <c r="AK267" i="2"/>
  <c r="AI267" i="2"/>
  <c r="AK300" i="2"/>
  <c r="AI300" i="2"/>
  <c r="AX302" i="2"/>
  <c r="AX336" i="2"/>
  <c r="D4" i="2"/>
  <c r="D4" i="1" s="1"/>
  <c r="AX4" i="2"/>
  <c r="AG14" i="2"/>
  <c r="AG26" i="2"/>
  <c r="D35" i="2"/>
  <c r="D35" i="1" s="1"/>
  <c r="AI50" i="2"/>
  <c r="AG50" i="2"/>
  <c r="AI58" i="2"/>
  <c r="AG58" i="2"/>
  <c r="D73" i="2"/>
  <c r="D73" i="1" s="1"/>
  <c r="AI84" i="2"/>
  <c r="AG84" i="2"/>
  <c r="BC94" i="2"/>
  <c r="O23" i="7"/>
  <c r="R23" i="7" s="1"/>
  <c r="BD109" i="2"/>
  <c r="O26" i="7"/>
  <c r="R26" i="7" s="1"/>
  <c r="AY112" i="2"/>
  <c r="AH113" i="2"/>
  <c r="O31" i="7"/>
  <c r="V31" i="7" s="1"/>
  <c r="BD117" i="2"/>
  <c r="BC118" i="2"/>
  <c r="D127" i="2"/>
  <c r="D127" i="1" s="1"/>
  <c r="BC127" i="2"/>
  <c r="AX134" i="2"/>
  <c r="AG144" i="2"/>
  <c r="BD151" i="2"/>
  <c r="BG158" i="2"/>
  <c r="BH158" i="2" s="1"/>
  <c r="BJ158" i="2" s="1"/>
  <c r="AU162" i="2"/>
  <c r="AH165" i="2"/>
  <c r="AK170" i="2"/>
  <c r="AZ170" i="2"/>
  <c r="BC170" i="2"/>
  <c r="AH173" i="2"/>
  <c r="AK178" i="2"/>
  <c r="AX178" i="2"/>
  <c r="AH181" i="2"/>
  <c r="D185" i="2"/>
  <c r="D185" i="1" s="1"/>
  <c r="D187" i="2"/>
  <c r="D187" i="1" s="1"/>
  <c r="AJ186" i="2"/>
  <c r="AY202" i="2"/>
  <c r="BF202" i="2"/>
  <c r="AX204" i="2"/>
  <c r="AZ224" i="2"/>
  <c r="AZ228" i="2"/>
  <c r="D232" i="2"/>
  <c r="D232" i="1" s="1"/>
  <c r="AK242" i="2"/>
  <c r="AH242" i="2"/>
  <c r="AI242" i="2"/>
  <c r="D335" i="2"/>
  <c r="D335" i="1" s="1"/>
  <c r="AK68" i="1"/>
  <c r="H1" i="2"/>
  <c r="G1" i="2" s="1"/>
  <c r="AF1" i="2"/>
  <c r="AI4" i="2"/>
  <c r="AT4" i="2"/>
  <c r="AT6" i="2"/>
  <c r="AY7" i="2"/>
  <c r="AY11" i="2"/>
  <c r="AY15" i="2"/>
  <c r="AY19" i="2"/>
  <c r="AY23" i="2"/>
  <c r="AY29" i="2"/>
  <c r="BD30" i="2"/>
  <c r="AJ30" i="2"/>
  <c r="AY31" i="2"/>
  <c r="D41" i="2"/>
  <c r="D41" i="1" s="1"/>
  <c r="AJ40" i="2"/>
  <c r="AU42" i="2"/>
  <c r="AY45" i="2"/>
  <c r="AG46" i="2"/>
  <c r="BD46" i="2"/>
  <c r="D49" i="2"/>
  <c r="D49" i="1" s="1"/>
  <c r="D51" i="2"/>
  <c r="D51" i="1" s="1"/>
  <c r="AK52" i="2"/>
  <c r="AI54" i="2"/>
  <c r="AG54" i="2"/>
  <c r="BD54" i="2"/>
  <c r="AK60" i="2"/>
  <c r="AI62" i="2"/>
  <c r="AG62" i="2"/>
  <c r="BD62" i="2"/>
  <c r="BA72" i="2"/>
  <c r="BA63" i="2"/>
  <c r="BB64" i="2"/>
  <c r="AZ69" i="2"/>
  <c r="BC69" i="2"/>
  <c r="AX69" i="2"/>
  <c r="AY74" i="2"/>
  <c r="BC75" i="2"/>
  <c r="BD75" i="2"/>
  <c r="AY75" i="2"/>
  <c r="BD78" i="2"/>
  <c r="AH79" i="2"/>
  <c r="AK79" i="2"/>
  <c r="AI82" i="2"/>
  <c r="BC84" i="2"/>
  <c r="AI85" i="2"/>
  <c r="AH85" i="2"/>
  <c r="AJ93" i="2"/>
  <c r="BD95" i="2"/>
  <c r="M10" i="7"/>
  <c r="AK96" i="2"/>
  <c r="AI96" i="2"/>
  <c r="O11" i="7"/>
  <c r="V11" i="7" s="1"/>
  <c r="BD97" i="2"/>
  <c r="D98" i="2"/>
  <c r="D98" i="1" s="1"/>
  <c r="AJ97" i="2"/>
  <c r="BC98" i="2"/>
  <c r="O14" i="7"/>
  <c r="V14" i="7" s="1"/>
  <c r="AY100" i="2"/>
  <c r="AH101" i="2"/>
  <c r="BD103" i="2"/>
  <c r="M18" i="7"/>
  <c r="AK104" i="2"/>
  <c r="AI104" i="2"/>
  <c r="O19" i="7"/>
  <c r="R19" i="7" s="1"/>
  <c r="BD105" i="2"/>
  <c r="D106" i="2"/>
  <c r="D106" i="1" s="1"/>
  <c r="AJ105" i="2"/>
  <c r="BC106" i="2"/>
  <c r="O22" i="7"/>
  <c r="R22" i="7" s="1"/>
  <c r="AY108" i="2"/>
  <c r="AH109" i="2"/>
  <c r="BD111" i="2"/>
  <c r="M26" i="7"/>
  <c r="AK112" i="2"/>
  <c r="AI112" i="2"/>
  <c r="O27" i="7"/>
  <c r="V27" i="7" s="1"/>
  <c r="BD113" i="2"/>
  <c r="D114" i="2"/>
  <c r="D114" i="1" s="1"/>
  <c r="AJ113" i="2"/>
  <c r="BC114" i="2"/>
  <c r="O30" i="7"/>
  <c r="V30" i="7" s="1"/>
  <c r="AY116" i="2"/>
  <c r="AH117" i="2"/>
  <c r="BD119" i="2"/>
  <c r="M34" i="7"/>
  <c r="AK120" i="2"/>
  <c r="AI120" i="2"/>
  <c r="O35" i="7"/>
  <c r="V35" i="7" s="1"/>
  <c r="BD121" i="2"/>
  <c r="D122" i="2"/>
  <c r="D122" i="1" s="1"/>
  <c r="AJ121" i="2"/>
  <c r="BC122" i="2"/>
  <c r="BG125" i="2"/>
  <c r="AX128" i="2"/>
  <c r="BC131" i="2"/>
  <c r="AH132" i="2"/>
  <c r="AG132" i="2"/>
  <c r="AX135" i="2"/>
  <c r="AY136" i="2"/>
  <c r="AZ140" i="2"/>
  <c r="AK145" i="2"/>
  <c r="AI145" i="2"/>
  <c r="BC145" i="2"/>
  <c r="AX147" i="2"/>
  <c r="AZ150" i="2"/>
  <c r="BC150" i="2"/>
  <c r="BD153" i="2"/>
  <c r="AK154" i="2"/>
  <c r="AI154" i="2"/>
  <c r="BC154" i="2"/>
  <c r="AH155" i="2"/>
  <c r="D156" i="2"/>
  <c r="D156" i="1" s="1"/>
  <c r="AJ155" i="2"/>
  <c r="BG156" i="2"/>
  <c r="BH156" i="2" s="1"/>
  <c r="BJ156" i="2" s="1"/>
  <c r="D159" i="2"/>
  <c r="D159" i="1" s="1"/>
  <c r="AZ159" i="2"/>
  <c r="AG162" i="2"/>
  <c r="AX163" i="2"/>
  <c r="AG166" i="2"/>
  <c r="AY166" i="2"/>
  <c r="AI168" i="2"/>
  <c r="AX171" i="2"/>
  <c r="AG174" i="2"/>
  <c r="AY174" i="2"/>
  <c r="AI176" i="2"/>
  <c r="AZ177" i="2"/>
  <c r="AX179" i="2"/>
  <c r="AG182" i="2"/>
  <c r="AY182" i="2"/>
  <c r="AI184" i="2"/>
  <c r="BL185" i="2"/>
  <c r="BF188" i="2"/>
  <c r="AK191" i="2"/>
  <c r="AZ191" i="2"/>
  <c r="BC191" i="2"/>
  <c r="AX191" i="2"/>
  <c r="BD192" i="2"/>
  <c r="AG195" i="2"/>
  <c r="AZ199" i="2"/>
  <c r="BE199" i="2"/>
  <c r="BC199" i="2"/>
  <c r="AX199" i="2"/>
  <c r="BE201" i="2"/>
  <c r="AI202" i="2"/>
  <c r="AJ206" i="2"/>
  <c r="AZ207" i="2"/>
  <c r="AX207" i="2"/>
  <c r="AZ211" i="2"/>
  <c r="BC211" i="2"/>
  <c r="AX211" i="2"/>
  <c r="D242" i="2"/>
  <c r="D242" i="1" s="1"/>
  <c r="AI217" i="2"/>
  <c r="AH217" i="2"/>
  <c r="AG217" i="2"/>
  <c r="AX219" i="2"/>
  <c r="AI221" i="2"/>
  <c r="AH221" i="2"/>
  <c r="AI222" i="2"/>
  <c r="AK222" i="2"/>
  <c r="AH222" i="2"/>
  <c r="AK226" i="2"/>
  <c r="AI226" i="2"/>
  <c r="AH226" i="2"/>
  <c r="D229" i="2"/>
  <c r="D229" i="1" s="1"/>
  <c r="AG236" i="2"/>
  <c r="AH236" i="2"/>
  <c r="AH241" i="2"/>
  <c r="AI241" i="2"/>
  <c r="AG241" i="2"/>
  <c r="AX244" i="2"/>
  <c r="AJ245" i="2"/>
  <c r="AH255" i="2"/>
  <c r="AX260" i="2"/>
  <c r="AK263" i="2"/>
  <c r="AI263" i="2"/>
  <c r="AI270" i="2"/>
  <c r="AH270" i="2"/>
  <c r="AG270" i="2"/>
  <c r="AU290" i="2"/>
  <c r="AK291" i="2"/>
  <c r="AI291" i="2"/>
  <c r="D311" i="2"/>
  <c r="D311" i="1" s="1"/>
  <c r="AJ312" i="2"/>
  <c r="D313" i="2"/>
  <c r="D313" i="1" s="1"/>
  <c r="D328" i="2"/>
  <c r="D328" i="1" s="1"/>
  <c r="AJ328" i="2"/>
  <c r="D329" i="2"/>
  <c r="D329" i="1" s="1"/>
  <c r="AJ343" i="2"/>
  <c r="D339" i="2"/>
  <c r="D339" i="1" s="1"/>
  <c r="D363" i="2"/>
  <c r="D363" i="1" s="1"/>
  <c r="AZ344" i="2"/>
  <c r="AX344" i="2"/>
  <c r="BA64" i="2"/>
  <c r="BD66" i="2"/>
  <c r="BC70" i="2"/>
  <c r="AX70" i="2"/>
  <c r="BC71" i="2"/>
  <c r="AX71" i="2"/>
  <c r="BD77" i="2"/>
  <c r="AX79" i="2"/>
  <c r="AY80" i="2"/>
  <c r="AX82" i="2"/>
  <c r="BC82" i="2"/>
  <c r="AH83" i="2"/>
  <c r="AZ86" i="2"/>
  <c r="AX86" i="2"/>
  <c r="AY87" i="2"/>
  <c r="BD87" i="2"/>
  <c r="AH88" i="2"/>
  <c r="BD88" i="2"/>
  <c r="AY89" i="2"/>
  <c r="AZ91" i="2"/>
  <c r="AX91" i="2"/>
  <c r="D96" i="2"/>
  <c r="D96" i="1" s="1"/>
  <c r="D100" i="2"/>
  <c r="D100" i="1" s="1"/>
  <c r="D104" i="2"/>
  <c r="D104" i="1" s="1"/>
  <c r="BA107" i="2"/>
  <c r="D112" i="2"/>
  <c r="D112" i="1" s="1"/>
  <c r="D116" i="2"/>
  <c r="D116" i="1" s="1"/>
  <c r="D120" i="2"/>
  <c r="D120" i="1" s="1"/>
  <c r="BC125" i="2"/>
  <c r="AX126" i="2"/>
  <c r="BF127" i="2"/>
  <c r="AY128" i="2"/>
  <c r="BC129" i="2"/>
  <c r="AX130" i="2"/>
  <c r="BF131" i="2"/>
  <c r="AY132" i="2"/>
  <c r="BC133" i="2"/>
  <c r="AY135" i="2"/>
  <c r="AT139" i="2"/>
  <c r="AK140" i="2"/>
  <c r="BG140" i="2"/>
  <c r="AX142" i="2"/>
  <c r="BC143" i="2"/>
  <c r="AX143" i="2"/>
  <c r="BD144" i="2"/>
  <c r="AX146" i="2"/>
  <c r="AY147" i="2"/>
  <c r="AU148" i="2"/>
  <c r="AY149" i="2"/>
  <c r="BD149" i="2"/>
  <c r="AT153" i="2"/>
  <c r="BG155" i="2"/>
  <c r="BH155" i="2" s="1"/>
  <c r="BJ155" i="2" s="1"/>
  <c r="BC157" i="2"/>
  <c r="AX157" i="2"/>
  <c r="AZ158" i="2"/>
  <c r="BG166" i="2"/>
  <c r="BH166" i="2" s="1"/>
  <c r="AZ168" i="2"/>
  <c r="BC168" i="2"/>
  <c r="AT170" i="2"/>
  <c r="AY171" i="2"/>
  <c r="BD171" i="2"/>
  <c r="AU174" i="2"/>
  <c r="AZ176" i="2"/>
  <c r="BC176" i="2"/>
  <c r="AT178" i="2"/>
  <c r="AY179" i="2"/>
  <c r="BD179" i="2"/>
  <c r="AU182" i="2"/>
  <c r="AZ184" i="2"/>
  <c r="BC184" i="2"/>
  <c r="BD185" i="2"/>
  <c r="AU187" i="2"/>
  <c r="D189" i="2"/>
  <c r="D189" i="1" s="1"/>
  <c r="BC189" i="2"/>
  <c r="AU190" i="2"/>
  <c r="AT191" i="2"/>
  <c r="AU192" i="2"/>
  <c r="BC194" i="2"/>
  <c r="AX194" i="2"/>
  <c r="AY198" i="2"/>
  <c r="BF198" i="2"/>
  <c r="BD198" i="2"/>
  <c r="BD200" i="2"/>
  <c r="BF208" i="2"/>
  <c r="BF209" i="2"/>
  <c r="AT211" i="2"/>
  <c r="BF212" i="2"/>
  <c r="BD212" i="2"/>
  <c r="AY212" i="2"/>
  <c r="AT216" i="2"/>
  <c r="AT219" i="2"/>
  <c r="D220" i="2"/>
  <c r="D220" i="1" s="1"/>
  <c r="D221" i="2"/>
  <c r="D221" i="1" s="1"/>
  <c r="AJ220" i="2"/>
  <c r="AY224" i="2"/>
  <c r="AT227" i="2"/>
  <c r="D228" i="2"/>
  <c r="D228" i="1" s="1"/>
  <c r="AG229" i="2"/>
  <c r="AY230" i="2"/>
  <c r="AT232" i="2"/>
  <c r="AT236" i="2"/>
  <c r="D237" i="2"/>
  <c r="D237" i="1" s="1"/>
  <c r="AT240" i="2"/>
  <c r="AH245" i="2"/>
  <c r="AZ249" i="2"/>
  <c r="AK250" i="2"/>
  <c r="AI250" i="2"/>
  <c r="AI251" i="2"/>
  <c r="AI253" i="2"/>
  <c r="AZ253" i="2"/>
  <c r="AZ261" i="2"/>
  <c r="AX261" i="2"/>
  <c r="AZ264" i="2"/>
  <c r="AX264" i="2"/>
  <c r="AG265" i="2"/>
  <c r="AX268" i="2"/>
  <c r="AX272" i="2"/>
  <c r="AZ304" i="2"/>
  <c r="AZ305" i="2"/>
  <c r="AX305" i="2"/>
  <c r="AI306" i="2"/>
  <c r="AG306" i="2"/>
  <c r="AK306" i="2"/>
  <c r="AX308" i="2"/>
  <c r="AX316" i="2"/>
  <c r="AX324" i="2"/>
  <c r="AX332" i="2"/>
  <c r="AX340" i="2"/>
  <c r="AI349" i="2"/>
  <c r="AH349" i="2"/>
  <c r="AG349" i="2"/>
  <c r="AK349" i="2"/>
  <c r="AZ364" i="2"/>
  <c r="AX364" i="2"/>
  <c r="AX366" i="2"/>
  <c r="AF144" i="1"/>
  <c r="AF280" i="1"/>
  <c r="AG280" i="1" s="1"/>
  <c r="D7" i="2"/>
  <c r="D7" i="1" s="1"/>
  <c r="BC8" i="2"/>
  <c r="AX8" i="2"/>
  <c r="D9" i="2"/>
  <c r="D9" i="1" s="1"/>
  <c r="BC10" i="2"/>
  <c r="AX10" i="2"/>
  <c r="D11" i="2"/>
  <c r="D11" i="1" s="1"/>
  <c r="BC12" i="2"/>
  <c r="AX12" i="2"/>
  <c r="D13" i="2"/>
  <c r="D13" i="1" s="1"/>
  <c r="BC14" i="2"/>
  <c r="AX14" i="2"/>
  <c r="D15" i="2"/>
  <c r="D15" i="1" s="1"/>
  <c r="BC16" i="2"/>
  <c r="AX16" i="2"/>
  <c r="D17" i="2"/>
  <c r="D17" i="1" s="1"/>
  <c r="BC18" i="2"/>
  <c r="AX18" i="2"/>
  <c r="D19" i="2"/>
  <c r="D19" i="1" s="1"/>
  <c r="BC20" i="2"/>
  <c r="AX20" i="2"/>
  <c r="D21" i="2"/>
  <c r="D21" i="1" s="1"/>
  <c r="BC22" i="2"/>
  <c r="AX22" i="2"/>
  <c r="D23" i="2"/>
  <c r="D23" i="1" s="1"/>
  <c r="BC24" i="2"/>
  <c r="AX24" i="2"/>
  <c r="D25" i="2"/>
  <c r="D25" i="1" s="1"/>
  <c r="D29" i="2"/>
  <c r="D29" i="1" s="1"/>
  <c r="D33" i="2"/>
  <c r="D33" i="1" s="1"/>
  <c r="AI36" i="2"/>
  <c r="AU36" i="2"/>
  <c r="D39" i="2"/>
  <c r="D39" i="1" s="1"/>
  <c r="AI42" i="2"/>
  <c r="AY43" i="2"/>
  <c r="D45" i="2"/>
  <c r="D45" i="1" s="1"/>
  <c r="AU46" i="2"/>
  <c r="AJ48" i="2"/>
  <c r="AY49" i="2"/>
  <c r="AU50" i="2"/>
  <c r="AJ52" i="2"/>
  <c r="AY53" i="2"/>
  <c r="AU54" i="2"/>
  <c r="AJ56" i="2"/>
  <c r="AY57" i="2"/>
  <c r="AU58" i="2"/>
  <c r="AJ60" i="2"/>
  <c r="AY61" i="2"/>
  <c r="AU62" i="2"/>
  <c r="BB67" i="2"/>
  <c r="D66" i="2"/>
  <c r="D66" i="1" s="1"/>
  <c r="AZ64" i="2"/>
  <c r="AX64" i="2"/>
  <c r="BB65" i="2"/>
  <c r="AU66" i="2"/>
  <c r="AY66" i="2"/>
  <c r="BC67" i="2"/>
  <c r="AY68" i="2"/>
  <c r="AY70" i="2"/>
  <c r="BD70" i="2"/>
  <c r="AY71" i="2"/>
  <c r="BD71" i="2"/>
  <c r="AH72" i="2"/>
  <c r="BD72" i="2"/>
  <c r="BC76" i="2"/>
  <c r="BD76" i="2"/>
  <c r="AG79" i="2"/>
  <c r="AT80" i="2"/>
  <c r="AG82" i="2"/>
  <c r="AY82" i="2"/>
  <c r="AJ82" i="2"/>
  <c r="AG86" i="2"/>
  <c r="AY86" i="2"/>
  <c r="BC86" i="2"/>
  <c r="AH87" i="2"/>
  <c r="AG88" i="2"/>
  <c r="AH89" i="2"/>
  <c r="AZ90" i="2"/>
  <c r="AX90" i="2"/>
  <c r="AY91" i="2"/>
  <c r="BD91" i="2"/>
  <c r="BC92" i="2"/>
  <c r="AI94" i="2"/>
  <c r="BA117" i="2"/>
  <c r="AX95" i="2"/>
  <c r="AX99" i="2"/>
  <c r="AX103" i="2"/>
  <c r="AX107" i="2"/>
  <c r="AH108" i="2"/>
  <c r="AX111" i="2"/>
  <c r="AH112" i="2"/>
  <c r="AX115" i="2"/>
  <c r="AH116" i="2"/>
  <c r="AX119" i="2"/>
  <c r="AX123" i="2"/>
  <c r="AI125" i="2"/>
  <c r="AH127" i="2"/>
  <c r="BF128" i="2"/>
  <c r="AH131" i="2"/>
  <c r="BF132" i="2"/>
  <c r="BF135" i="2"/>
  <c r="AU136" i="2"/>
  <c r="AH137" i="2"/>
  <c r="AJ145" i="2"/>
  <c r="AT147" i="2"/>
  <c r="AX148" i="2"/>
  <c r="AT149" i="2"/>
  <c r="AZ152" i="2"/>
  <c r="AY157" i="2"/>
  <c r="BD157" i="2"/>
  <c r="AH158" i="2"/>
  <c r="BD158" i="2"/>
  <c r="AX158" i="2"/>
  <c r="AH159" i="2"/>
  <c r="BC161" i="2"/>
  <c r="AX161" i="2"/>
  <c r="AZ162" i="2"/>
  <c r="AZ166" i="2"/>
  <c r="AX166" i="2"/>
  <c r="BC167" i="2"/>
  <c r="AX167" i="2"/>
  <c r="AH169" i="2"/>
  <c r="AU169" i="2"/>
  <c r="AZ174" i="2"/>
  <c r="AX174" i="2"/>
  <c r="BC175" i="2"/>
  <c r="AX175" i="2"/>
  <c r="AH177" i="2"/>
  <c r="AU177" i="2"/>
  <c r="AZ182" i="2"/>
  <c r="AX182" i="2"/>
  <c r="BC183" i="2"/>
  <c r="AX183" i="2"/>
  <c r="BC186" i="2"/>
  <c r="AX186" i="2"/>
  <c r="D190" i="2"/>
  <c r="D190" i="1" s="1"/>
  <c r="AZ190" i="2"/>
  <c r="AY194" i="2"/>
  <c r="BD194" i="2"/>
  <c r="BE197" i="2"/>
  <c r="BC197" i="2"/>
  <c r="AT199" i="2"/>
  <c r="AZ203" i="2"/>
  <c r="AX203" i="2"/>
  <c r="BE204" i="2"/>
  <c r="AI205" i="2"/>
  <c r="AH205" i="2"/>
  <c r="AZ205" i="2"/>
  <c r="BC206" i="2"/>
  <c r="BD208" i="2"/>
  <c r="AI209" i="2"/>
  <c r="AG209" i="2"/>
  <c r="AG210" i="2"/>
  <c r="AH211" i="2"/>
  <c r="BE212" i="2"/>
  <c r="AZ213" i="2"/>
  <c r="AH219" i="2"/>
  <c r="AU220" i="2"/>
  <c r="AT224" i="2"/>
  <c r="D225" i="2"/>
  <c r="D225" i="1" s="1"/>
  <c r="AH229" i="2"/>
  <c r="AY229" i="2"/>
  <c r="AZ233" i="2"/>
  <c r="AX234" i="2"/>
  <c r="AU235" i="2"/>
  <c r="AJ236" i="2"/>
  <c r="AZ237" i="2"/>
  <c r="AX238" i="2"/>
  <c r="AK240" i="2"/>
  <c r="AG240" i="2"/>
  <c r="AZ243" i="2"/>
  <c r="AX243" i="2"/>
  <c r="AG244" i="2"/>
  <c r="AK244" i="2"/>
  <c r="AT244" i="2"/>
  <c r="AG245" i="2"/>
  <c r="AY245" i="2"/>
  <c r="AG249" i="2"/>
  <c r="AH250" i="2"/>
  <c r="AZ251" i="2"/>
  <c r="AX251" i="2"/>
  <c r="AG253" i="2"/>
  <c r="AU253" i="2"/>
  <c r="AJ253" i="2"/>
  <c r="AG257" i="2"/>
  <c r="AY257" i="2"/>
  <c r="AY261" i="2"/>
  <c r="AG273" i="2"/>
  <c r="AU274" i="2"/>
  <c r="AY274" i="2"/>
  <c r="AZ297" i="2"/>
  <c r="AX297" i="2"/>
  <c r="D316" i="2"/>
  <c r="D316" i="1" s="1"/>
  <c r="D310" i="2"/>
  <c r="D310" i="1" s="1"/>
  <c r="AJ308" i="2"/>
  <c r="D309" i="2"/>
  <c r="D309" i="1" s="1"/>
  <c r="D315" i="2"/>
  <c r="D315" i="1" s="1"/>
  <c r="AJ316" i="2"/>
  <c r="D317" i="2"/>
  <c r="D317" i="1" s="1"/>
  <c r="D323" i="2"/>
  <c r="D323" i="1" s="1"/>
  <c r="D324" i="2"/>
  <c r="D324" i="1" s="1"/>
  <c r="AJ324" i="2"/>
  <c r="D325" i="2"/>
  <c r="D325" i="1" s="1"/>
  <c r="D331" i="2"/>
  <c r="D331" i="1" s="1"/>
  <c r="D332" i="2"/>
  <c r="D332" i="1" s="1"/>
  <c r="AJ332" i="2"/>
  <c r="D333" i="2"/>
  <c r="D333" i="1" s="1"/>
  <c r="D340" i="2"/>
  <c r="D340" i="1" s="1"/>
  <c r="D359" i="2"/>
  <c r="D359" i="1" s="1"/>
  <c r="D351" i="2"/>
  <c r="D351" i="1" s="1"/>
  <c r="D347" i="2"/>
  <c r="D347" i="1" s="1"/>
  <c r="D343" i="2"/>
  <c r="D343" i="1" s="1"/>
  <c r="AJ340" i="2"/>
  <c r="D341" i="2"/>
  <c r="D341" i="1" s="1"/>
  <c r="AZ348" i="2"/>
  <c r="AX348" i="2"/>
  <c r="AF113" i="1"/>
  <c r="AG113" i="1" s="1"/>
  <c r="AF119" i="1"/>
  <c r="AK119" i="1" s="1"/>
  <c r="AI256" i="2"/>
  <c r="AZ256" i="2"/>
  <c r="AX256" i="2"/>
  <c r="AZ257" i="2"/>
  <c r="AX257" i="2"/>
  <c r="AI258" i="2"/>
  <c r="AJ258" i="2"/>
  <c r="AT260" i="2"/>
  <c r="AZ262" i="2"/>
  <c r="AJ263" i="2"/>
  <c r="AT265" i="2"/>
  <c r="AU269" i="2"/>
  <c r="AT272" i="2"/>
  <c r="AU273" i="2"/>
  <c r="AZ276" i="2"/>
  <c r="AX276" i="2"/>
  <c r="AZ277" i="2"/>
  <c r="AX277" i="2"/>
  <c r="AI280" i="2"/>
  <c r="AZ285" i="2"/>
  <c r="AX285" i="2"/>
  <c r="AG289" i="2"/>
  <c r="AJ291" i="2"/>
  <c r="AZ292" i="2"/>
  <c r="AX292" i="2"/>
  <c r="AY297" i="2"/>
  <c r="AY302" i="2"/>
  <c r="AZ306" i="2"/>
  <c r="AX306" i="2"/>
  <c r="AG319" i="2"/>
  <c r="AG323" i="2"/>
  <c r="AG327" i="2"/>
  <c r="AG331" i="2"/>
  <c r="AG335" i="2"/>
  <c r="AG339" i="2"/>
  <c r="D345" i="2"/>
  <c r="D345" i="1" s="1"/>
  <c r="D349" i="2"/>
  <c r="D349" i="1" s="1"/>
  <c r="AK355" i="2"/>
  <c r="AH355" i="2"/>
  <c r="AK357" i="2"/>
  <c r="AH357" i="2"/>
  <c r="AF97" i="1"/>
  <c r="AG97" i="1" s="1"/>
  <c r="AF103" i="1"/>
  <c r="AK103" i="1" s="1"/>
  <c r="AF251" i="1"/>
  <c r="AG251" i="1" s="1"/>
  <c r="S33" i="4"/>
  <c r="Z33" i="4" s="1"/>
  <c r="L33" i="4"/>
  <c r="AZ195" i="2"/>
  <c r="BE195" i="2"/>
  <c r="AT198" i="2"/>
  <c r="AH199" i="2"/>
  <c r="BD199" i="2"/>
  <c r="AY199" i="2"/>
  <c r="AU200" i="2"/>
  <c r="BC202" i="2"/>
  <c r="AH203" i="2"/>
  <c r="BF204" i="2"/>
  <c r="AY204" i="2"/>
  <c r="AG206" i="2"/>
  <c r="AT207" i="2"/>
  <c r="AJ207" i="2"/>
  <c r="AZ208" i="2"/>
  <c r="AX208" i="2"/>
  <c r="AZ209" i="2"/>
  <c r="BD211" i="2"/>
  <c r="AU212" i="2"/>
  <c r="AI213" i="2"/>
  <c r="AK213" i="2"/>
  <c r="BF213" i="2"/>
  <c r="AY214" i="2"/>
  <c r="AJ214" i="2"/>
  <c r="AZ215" i="2"/>
  <c r="AX215" i="2"/>
  <c r="AU216" i="2"/>
  <c r="D217" i="2"/>
  <c r="D217" i="1" s="1"/>
  <c r="AY218" i="2"/>
  <c r="AY219" i="2"/>
  <c r="AJ219" i="2"/>
  <c r="AZ220" i="2"/>
  <c r="AX220" i="2"/>
  <c r="AT223" i="2"/>
  <c r="D224" i="2"/>
  <c r="D224" i="1" s="1"/>
  <c r="AI225" i="2"/>
  <c r="AK225" i="2"/>
  <c r="AU225" i="2"/>
  <c r="AG226" i="2"/>
  <c r="AH227" i="2"/>
  <c r="AT228" i="2"/>
  <c r="AZ229" i="2"/>
  <c r="AZ230" i="2"/>
  <c r="AJ230" i="2"/>
  <c r="AZ231" i="2"/>
  <c r="AX231" i="2"/>
  <c r="AU232" i="2"/>
  <c r="D233" i="2"/>
  <c r="D233" i="1" s="1"/>
  <c r="AU233" i="2"/>
  <c r="AI234" i="2"/>
  <c r="AT235" i="2"/>
  <c r="AY237" i="2"/>
  <c r="AU240" i="2"/>
  <c r="D241" i="2"/>
  <c r="D241" i="1" s="1"/>
  <c r="AJ241" i="2"/>
  <c r="AT243" i="2"/>
  <c r="AU244" i="2"/>
  <c r="AH246" i="2"/>
  <c r="AT247" i="2"/>
  <c r="D267" i="2"/>
  <c r="D267" i="1" s="1"/>
  <c r="AZ248" i="2"/>
  <c r="AX248" i="2"/>
  <c r="AJ250" i="2"/>
  <c r="AZ252" i="2"/>
  <c r="AX252" i="2"/>
  <c r="AU254" i="2"/>
  <c r="AT261" i="2"/>
  <c r="AK262" i="2"/>
  <c r="AU262" i="2"/>
  <c r="AH263" i="2"/>
  <c r="AT264" i="2"/>
  <c r="AU265" i="2"/>
  <c r="AJ267" i="2"/>
  <c r="AZ269" i="2"/>
  <c r="AX269" i="2"/>
  <c r="AZ273" i="2"/>
  <c r="AX273" i="2"/>
  <c r="AI274" i="2"/>
  <c r="AZ274" i="2"/>
  <c r="AY277" i="2"/>
  <c r="AX281" i="2"/>
  <c r="AY285" i="2"/>
  <c r="AX293" i="2"/>
  <c r="AY306" i="2"/>
  <c r="AU306" i="2"/>
  <c r="AI309" i="2"/>
  <c r="AH309" i="2"/>
  <c r="AI313" i="2"/>
  <c r="AH313" i="2"/>
  <c r="AI317" i="2"/>
  <c r="AH317" i="2"/>
  <c r="AI321" i="2"/>
  <c r="AH321" i="2"/>
  <c r="AI325" i="2"/>
  <c r="AH325" i="2"/>
  <c r="AI329" i="2"/>
  <c r="AH329" i="2"/>
  <c r="AI333" i="2"/>
  <c r="AH333" i="2"/>
  <c r="AI337" i="2"/>
  <c r="AH337" i="2"/>
  <c r="AI341" i="2"/>
  <c r="AH341" i="2"/>
  <c r="AX354" i="2"/>
  <c r="D361" i="2"/>
  <c r="D361" i="1" s="1"/>
  <c r="AF93" i="1"/>
  <c r="AG93" i="1" s="1"/>
  <c r="AF99" i="1"/>
  <c r="AH99" i="1" s="1"/>
  <c r="AF152" i="1"/>
  <c r="AF209" i="1"/>
  <c r="AH209" i="1" s="1"/>
  <c r="AI278" i="2"/>
  <c r="AK278" i="2"/>
  <c r="AU278" i="2"/>
  <c r="AZ280" i="2"/>
  <c r="AX280" i="2"/>
  <c r="AK282" i="2"/>
  <c r="AT284" i="2"/>
  <c r="AI286" i="2"/>
  <c r="AK286" i="2"/>
  <c r="AU286" i="2"/>
  <c r="AZ288" i="2"/>
  <c r="AX288" i="2"/>
  <c r="AK290" i="2"/>
  <c r="AT292" i="2"/>
  <c r="AI294" i="2"/>
  <c r="AK294" i="2"/>
  <c r="AU294" i="2"/>
  <c r="AZ296" i="2"/>
  <c r="AX296" i="2"/>
  <c r="AK298" i="2"/>
  <c r="AZ301" i="2"/>
  <c r="AX301" i="2"/>
  <c r="AI302" i="2"/>
  <c r="AI303" i="2"/>
  <c r="AK303" i="2"/>
  <c r="AU303" i="2"/>
  <c r="AY305" i="2"/>
  <c r="AT306" i="2"/>
  <c r="AI307" i="2"/>
  <c r="AK307" i="2"/>
  <c r="AU307" i="2"/>
  <c r="AT308" i="2"/>
  <c r="AZ310" i="2"/>
  <c r="AX310" i="2"/>
  <c r="AI311" i="2"/>
  <c r="AK311" i="2"/>
  <c r="AU311" i="2"/>
  <c r="AT312" i="2"/>
  <c r="AZ314" i="2"/>
  <c r="AX314" i="2"/>
  <c r="AI315" i="2"/>
  <c r="AK315" i="2"/>
  <c r="AU315" i="2"/>
  <c r="AT316" i="2"/>
  <c r="D318" i="2"/>
  <c r="D318" i="1" s="1"/>
  <c r="AZ318" i="2"/>
  <c r="AX318" i="2"/>
  <c r="AK319" i="2"/>
  <c r="AU319" i="2"/>
  <c r="AT320" i="2"/>
  <c r="D322" i="2"/>
  <c r="D322" i="1" s="1"/>
  <c r="AZ322" i="2"/>
  <c r="AX322" i="2"/>
  <c r="AK323" i="2"/>
  <c r="AU323" i="2"/>
  <c r="AT324" i="2"/>
  <c r="D326" i="2"/>
  <c r="D326" i="1" s="1"/>
  <c r="AZ326" i="2"/>
  <c r="AX326" i="2"/>
  <c r="AK327" i="2"/>
  <c r="AU327" i="2"/>
  <c r="AT328" i="2"/>
  <c r="D330" i="2"/>
  <c r="D330" i="1" s="1"/>
  <c r="AZ330" i="2"/>
  <c r="AX330" i="2"/>
  <c r="AK331" i="2"/>
  <c r="AU331" i="2"/>
  <c r="AT332" i="2"/>
  <c r="D334" i="2"/>
  <c r="D334" i="1" s="1"/>
  <c r="AZ334" i="2"/>
  <c r="AX334" i="2"/>
  <c r="AK335" i="2"/>
  <c r="AU335" i="2"/>
  <c r="AT336" i="2"/>
  <c r="D368" i="2"/>
  <c r="D368" i="1" s="1"/>
  <c r="AZ338" i="2"/>
  <c r="AX338" i="2"/>
  <c r="AK339" i="2"/>
  <c r="AU339" i="2"/>
  <c r="AT340" i="2"/>
  <c r="AY344" i="2"/>
  <c r="AY348" i="2"/>
  <c r="AZ352" i="2"/>
  <c r="AX352" i="2"/>
  <c r="AT354" i="2"/>
  <c r="D355" i="2"/>
  <c r="D355" i="1" s="1"/>
  <c r="AZ356" i="2"/>
  <c r="AX356" i="2"/>
  <c r="AZ358" i="2"/>
  <c r="AX358" i="2"/>
  <c r="AY359" i="2"/>
  <c r="AY360" i="2"/>
  <c r="AY363" i="2"/>
  <c r="AY364" i="2"/>
  <c r="D365" i="2"/>
  <c r="D365" i="1" s="1"/>
  <c r="AK18" i="1"/>
  <c r="AL18" i="1"/>
  <c r="AK64" i="1"/>
  <c r="AK80" i="1"/>
  <c r="AL80" i="1"/>
  <c r="AF89" i="1"/>
  <c r="AG89" i="1" s="1"/>
  <c r="AF95" i="1"/>
  <c r="AK95" i="1" s="1"/>
  <c r="AF105" i="1"/>
  <c r="AG105" i="1" s="1"/>
  <c r="AF111" i="1"/>
  <c r="AI111" i="1" s="1"/>
  <c r="AF121" i="1"/>
  <c r="AG121" i="1" s="1"/>
  <c r="AF137" i="1"/>
  <c r="AH137" i="1" s="1"/>
  <c r="AF185" i="1"/>
  <c r="AK185" i="1" s="1"/>
  <c r="AF366" i="1"/>
  <c r="AK366" i="1" s="1"/>
  <c r="AT276" i="2"/>
  <c r="AT277" i="2"/>
  <c r="AG278" i="2"/>
  <c r="AT281" i="2"/>
  <c r="AG282" i="2"/>
  <c r="AT285" i="2"/>
  <c r="AG286" i="2"/>
  <c r="AJ287" i="2"/>
  <c r="AT289" i="2"/>
  <c r="AG290" i="2"/>
  <c r="AT293" i="2"/>
  <c r="AG294" i="2"/>
  <c r="AJ295" i="2"/>
  <c r="AT297" i="2"/>
  <c r="AG298" i="2"/>
  <c r="AX298" i="2"/>
  <c r="AY301" i="2"/>
  <c r="AG302" i="2"/>
  <c r="AT302" i="2"/>
  <c r="AG303" i="2"/>
  <c r="AT305" i="2"/>
  <c r="AG307" i="2"/>
  <c r="AY310" i="2"/>
  <c r="AG311" i="2"/>
  <c r="AY314" i="2"/>
  <c r="AG315" i="2"/>
  <c r="AY318" i="2"/>
  <c r="AY322" i="2"/>
  <c r="AY326" i="2"/>
  <c r="AY330" i="2"/>
  <c r="AY334" i="2"/>
  <c r="AY338" i="2"/>
  <c r="AZ342" i="2"/>
  <c r="AX342" i="2"/>
  <c r="AI343" i="2"/>
  <c r="AK343" i="2"/>
  <c r="AU343" i="2"/>
  <c r="AT344" i="2"/>
  <c r="AZ346" i="2"/>
  <c r="AX346" i="2"/>
  <c r="AI347" i="2"/>
  <c r="AK347" i="2"/>
  <c r="AU347" i="2"/>
  <c r="AT348" i="2"/>
  <c r="AZ350" i="2"/>
  <c r="AX350" i="2"/>
  <c r="AY351" i="2"/>
  <c r="AY352" i="2"/>
  <c r="AY355" i="2"/>
  <c r="AY356" i="2"/>
  <c r="D357" i="2"/>
  <c r="D357" i="1" s="1"/>
  <c r="AH359" i="2"/>
  <c r="AZ362" i="2"/>
  <c r="AX362" i="2"/>
  <c r="AK363" i="2"/>
  <c r="AH363" i="2"/>
  <c r="AT366" i="2"/>
  <c r="D367" i="2"/>
  <c r="D367" i="1" s="1"/>
  <c r="AF91" i="1"/>
  <c r="AK91" i="1" s="1"/>
  <c r="AF101" i="1"/>
  <c r="AI101" i="1" s="1"/>
  <c r="AF107" i="1"/>
  <c r="AK107" i="1" s="1"/>
  <c r="AF117" i="1"/>
  <c r="AG117" i="1" s="1"/>
  <c r="AF123" i="1"/>
  <c r="AK123" i="1" s="1"/>
  <c r="AF148" i="1"/>
  <c r="AH148" i="1" s="1"/>
  <c r="AF225" i="1"/>
  <c r="AG225" i="1" s="1"/>
  <c r="AF241" i="1"/>
  <c r="AG241" i="1" s="1"/>
  <c r="AF259" i="1"/>
  <c r="AG259" i="1" s="1"/>
  <c r="AF362" i="1"/>
  <c r="AG362" i="1" s="1"/>
  <c r="AY353" i="2"/>
  <c r="AY354" i="2"/>
  <c r="AT356" i="2"/>
  <c r="AZ360" i="2"/>
  <c r="AX360" i="2"/>
  <c r="AY361" i="2"/>
  <c r="AY362" i="2"/>
  <c r="AT364" i="2"/>
  <c r="AZ368" i="2"/>
  <c r="AX368" i="2"/>
  <c r="AK72" i="1"/>
  <c r="AK79" i="1"/>
  <c r="AK81" i="1"/>
  <c r="AF127" i="1"/>
  <c r="AH127" i="1" s="1"/>
  <c r="AF141" i="1"/>
  <c r="AF145" i="1"/>
  <c r="AH145" i="1" s="1"/>
  <c r="AF149" i="1"/>
  <c r="AK149" i="1" s="1"/>
  <c r="AF153" i="1"/>
  <c r="AH153" i="1" s="1"/>
  <c r="AF201" i="1"/>
  <c r="AI201" i="1" s="1"/>
  <c r="AF217" i="1"/>
  <c r="AG217" i="1" s="1"/>
  <c r="AF233" i="1"/>
  <c r="AG233" i="1" s="1"/>
  <c r="AF358" i="1"/>
  <c r="AK358" i="1" s="1"/>
  <c r="F7" i="3"/>
  <c r="T7" i="3" s="1"/>
  <c r="T7" i="4"/>
  <c r="H52" i="4"/>
  <c r="AQ65" i="4"/>
  <c r="AU78" i="4"/>
  <c r="H125" i="5"/>
  <c r="E59" i="8"/>
  <c r="C45" i="8"/>
  <c r="C74" i="8" s="1"/>
  <c r="E60" i="8"/>
  <c r="E75" i="8"/>
  <c r="I60" i="8"/>
  <c r="I75" i="8"/>
  <c r="I74" i="8"/>
  <c r="AF131" i="1"/>
  <c r="AG131" i="1" s="1"/>
  <c r="AF136" i="1"/>
  <c r="AF140" i="1"/>
  <c r="AH140" i="1" s="1"/>
  <c r="G156" i="1"/>
  <c r="G160" i="1"/>
  <c r="G164" i="1"/>
  <c r="G168" i="1"/>
  <c r="G172" i="1"/>
  <c r="G176" i="1"/>
  <c r="G180" i="1"/>
  <c r="AF193" i="1"/>
  <c r="AI193" i="1" s="1"/>
  <c r="H49" i="4"/>
  <c r="H51" i="4"/>
  <c r="V51" i="4"/>
  <c r="AW77" i="4"/>
  <c r="E75" i="5"/>
  <c r="P134" i="5"/>
  <c r="I148" i="5"/>
  <c r="I16" i="7"/>
  <c r="P16" i="7" s="1"/>
  <c r="I23" i="7"/>
  <c r="P23" i="7" s="1"/>
  <c r="E54" i="8"/>
  <c r="E69" i="8"/>
  <c r="I54" i="8"/>
  <c r="I69" i="8"/>
  <c r="J72" i="8"/>
  <c r="J57" i="8"/>
  <c r="I58" i="8"/>
  <c r="I73" i="8"/>
  <c r="I70" i="8"/>
  <c r="G184" i="1"/>
  <c r="AF235" i="1"/>
  <c r="AG235" i="1" s="1"/>
  <c r="AF249" i="1"/>
  <c r="AG249" i="1" s="1"/>
  <c r="AF267" i="1"/>
  <c r="AG267" i="1" s="1"/>
  <c r="AF271" i="1"/>
  <c r="AH271" i="1" s="1"/>
  <c r="AF288" i="1"/>
  <c r="AI288" i="1" s="1"/>
  <c r="AF292" i="1"/>
  <c r="AG292" i="1" s="1"/>
  <c r="AF296" i="1"/>
  <c r="AG296" i="1" s="1"/>
  <c r="AF300" i="1"/>
  <c r="AG300" i="1" s="1"/>
  <c r="AF304" i="1"/>
  <c r="AI304" i="1" s="1"/>
  <c r="AF308" i="1"/>
  <c r="AG308" i="1" s="1"/>
  <c r="AF312" i="1"/>
  <c r="AG312" i="1" s="1"/>
  <c r="AF316" i="1"/>
  <c r="AG316" i="1" s="1"/>
  <c r="AF320" i="1"/>
  <c r="AI320" i="1" s="1"/>
  <c r="AF324" i="1"/>
  <c r="AG324" i="1" s="1"/>
  <c r="AF328" i="1"/>
  <c r="AG328" i="1" s="1"/>
  <c r="AF332" i="1"/>
  <c r="AH332" i="1" s="1"/>
  <c r="AF336" i="1"/>
  <c r="AH336" i="1" s="1"/>
  <c r="AF340" i="1"/>
  <c r="AH340" i="1" s="1"/>
  <c r="AF344" i="1"/>
  <c r="AK344" i="1" s="1"/>
  <c r="AF348" i="1"/>
  <c r="AH348" i="1" s="1"/>
  <c r="AF352" i="1"/>
  <c r="AH352" i="1" s="1"/>
  <c r="AF356" i="1"/>
  <c r="AH356" i="1" s="1"/>
  <c r="AF360" i="1"/>
  <c r="AK360" i="1" s="1"/>
  <c r="AF364" i="1"/>
  <c r="AH364" i="1" s="1"/>
  <c r="H50" i="7"/>
  <c r="K52" i="8"/>
  <c r="G54" i="8"/>
  <c r="G183" i="1"/>
  <c r="AF243" i="1"/>
  <c r="AG243" i="1" s="1"/>
  <c r="AF257" i="1"/>
  <c r="AH257" i="1" s="1"/>
  <c r="AF275" i="1"/>
  <c r="AH275" i="1" s="1"/>
  <c r="AF284" i="1"/>
  <c r="AH284" i="1" s="1"/>
  <c r="AF286" i="1"/>
  <c r="AG286" i="1" s="1"/>
  <c r="AF290" i="1"/>
  <c r="AH290" i="1" s="1"/>
  <c r="AF294" i="1"/>
  <c r="AG294" i="1" s="1"/>
  <c r="AF298" i="1"/>
  <c r="AH298" i="1" s="1"/>
  <c r="AF302" i="1"/>
  <c r="AG302" i="1" s="1"/>
  <c r="AF306" i="1"/>
  <c r="AH306" i="1" s="1"/>
  <c r="AF310" i="1"/>
  <c r="AG310" i="1" s="1"/>
  <c r="AF314" i="1"/>
  <c r="AH314" i="1" s="1"/>
  <c r="AF318" i="1"/>
  <c r="AG318" i="1" s="1"/>
  <c r="AF322" i="1"/>
  <c r="AH322" i="1" s="1"/>
  <c r="AF326" i="1"/>
  <c r="AG326" i="1" s="1"/>
  <c r="AF330" i="1"/>
  <c r="AH330" i="1" s="1"/>
  <c r="AF334" i="1"/>
  <c r="AG334" i="1" s="1"/>
  <c r="AF338" i="1"/>
  <c r="AH338" i="1" s="1"/>
  <c r="AF342" i="1"/>
  <c r="AG342" i="1" s="1"/>
  <c r="AF346" i="1"/>
  <c r="AI346" i="1" s="1"/>
  <c r="AF350" i="1"/>
  <c r="AG350" i="1" s="1"/>
  <c r="AF354" i="1"/>
  <c r="AH354" i="1" s="1"/>
  <c r="AF368" i="1"/>
  <c r="AH368" i="1" s="1"/>
  <c r="S37" i="4"/>
  <c r="Z37" i="4" s="1"/>
  <c r="AF49" i="4"/>
  <c r="R63" i="4"/>
  <c r="P139" i="5"/>
  <c r="I17" i="7"/>
  <c r="P17" i="7" s="1"/>
  <c r="I19" i="7"/>
  <c r="P19" i="7" s="1"/>
  <c r="I22" i="7"/>
  <c r="I28" i="7"/>
  <c r="P28" i="7" s="1"/>
  <c r="I32" i="7"/>
  <c r="H48" i="7"/>
  <c r="D60" i="8"/>
  <c r="F68" i="8"/>
  <c r="E71" i="8"/>
  <c r="H74" i="8"/>
  <c r="AZ7" i="2"/>
  <c r="AX7" i="2"/>
  <c r="AT7" i="2"/>
  <c r="BC7" i="2"/>
  <c r="AZ11" i="2"/>
  <c r="AX11" i="2"/>
  <c r="AT11" i="2"/>
  <c r="BC11" i="2"/>
  <c r="AX28" i="2"/>
  <c r="AT28" i="2"/>
  <c r="BC28" i="2"/>
  <c r="AZ28" i="2"/>
  <c r="AX32" i="2"/>
  <c r="AT32" i="2"/>
  <c r="BC32" i="2"/>
  <c r="AZ32" i="2"/>
  <c r="AX36" i="2"/>
  <c r="AT36" i="2"/>
  <c r="BC36" i="2"/>
  <c r="AZ36" i="2"/>
  <c r="AX42" i="2"/>
  <c r="AT42" i="2"/>
  <c r="BC42" i="2"/>
  <c r="AZ42" i="2"/>
  <c r="AZ43" i="2"/>
  <c r="AX43" i="2"/>
  <c r="AT43" i="2"/>
  <c r="BC43" i="2"/>
  <c r="AZ49" i="2"/>
  <c r="AX49" i="2"/>
  <c r="AT49" i="2"/>
  <c r="BC49" i="2"/>
  <c r="AZ53" i="2"/>
  <c r="AX53" i="2"/>
  <c r="AT53" i="2"/>
  <c r="BC53" i="2"/>
  <c r="AZ57" i="2"/>
  <c r="AX57" i="2"/>
  <c r="AT57" i="2"/>
  <c r="BC57" i="2"/>
  <c r="AZ61" i="2"/>
  <c r="AX61" i="2"/>
  <c r="AT61" i="2"/>
  <c r="BC61" i="2"/>
  <c r="AZ27" i="2"/>
  <c r="AX27" i="2"/>
  <c r="AT27" i="2"/>
  <c r="BC27" i="2"/>
  <c r="AZ31" i="2"/>
  <c r="AX31" i="2"/>
  <c r="AT31" i="2"/>
  <c r="BC31" i="2"/>
  <c r="AX38" i="2"/>
  <c r="AT38" i="2"/>
  <c r="BC38" i="2"/>
  <c r="AZ38" i="2"/>
  <c r="AZ41" i="2"/>
  <c r="AX41" i="2"/>
  <c r="AT41" i="2"/>
  <c r="BC41" i="2"/>
  <c r="AX48" i="2"/>
  <c r="AT48" i="2"/>
  <c r="BC48" i="2"/>
  <c r="AZ48" i="2"/>
  <c r="AX52" i="2"/>
  <c r="AT52" i="2"/>
  <c r="BC52" i="2"/>
  <c r="AZ52" i="2"/>
  <c r="AX56" i="2"/>
  <c r="AT56" i="2"/>
  <c r="BC56" i="2"/>
  <c r="AZ56" i="2"/>
  <c r="AX60" i="2"/>
  <c r="AT60" i="2"/>
  <c r="BC60" i="2"/>
  <c r="AZ60" i="2"/>
  <c r="AK65" i="2"/>
  <c r="AG65" i="2"/>
  <c r="AI65" i="2"/>
  <c r="AH65" i="2"/>
  <c r="AX26" i="2"/>
  <c r="AT26" i="2"/>
  <c r="BC26" i="2"/>
  <c r="AZ26" i="2"/>
  <c r="AX30" i="2"/>
  <c r="AT30" i="2"/>
  <c r="BC30" i="2"/>
  <c r="AZ30" i="2"/>
  <c r="AX34" i="2"/>
  <c r="AT34" i="2"/>
  <c r="BC34" i="2"/>
  <c r="AZ34" i="2"/>
  <c r="AZ37" i="2"/>
  <c r="AX37" i="2"/>
  <c r="AT37" i="2"/>
  <c r="BC37" i="2"/>
  <c r="AX40" i="2"/>
  <c r="AT40" i="2"/>
  <c r="BC40" i="2"/>
  <c r="AZ40" i="2"/>
  <c r="AX46" i="2"/>
  <c r="AT46" i="2"/>
  <c r="BC46" i="2"/>
  <c r="AZ46" i="2"/>
  <c r="AZ47" i="2"/>
  <c r="AX47" i="2"/>
  <c r="AT47" i="2"/>
  <c r="BC47" i="2"/>
  <c r="AZ51" i="2"/>
  <c r="AX51" i="2"/>
  <c r="AT51" i="2"/>
  <c r="BC51" i="2"/>
  <c r="AZ55" i="2"/>
  <c r="AX55" i="2"/>
  <c r="AT55" i="2"/>
  <c r="BC55" i="2"/>
  <c r="AZ59" i="2"/>
  <c r="AX59" i="2"/>
  <c r="AT59" i="2"/>
  <c r="BC59" i="2"/>
  <c r="AZ9" i="2"/>
  <c r="AX9" i="2"/>
  <c r="AT9" i="2"/>
  <c r="BC9" i="2"/>
  <c r="AZ13" i="2"/>
  <c r="AX13" i="2"/>
  <c r="AT13" i="2"/>
  <c r="BC13" i="2"/>
  <c r="AZ15" i="2"/>
  <c r="AX15" i="2"/>
  <c r="AT15" i="2"/>
  <c r="BC15" i="2"/>
  <c r="AZ17" i="2"/>
  <c r="AX17" i="2"/>
  <c r="AT17" i="2"/>
  <c r="BC17" i="2"/>
  <c r="AZ19" i="2"/>
  <c r="AX19" i="2"/>
  <c r="AT19" i="2"/>
  <c r="BC19" i="2"/>
  <c r="AZ21" i="2"/>
  <c r="AX21" i="2"/>
  <c r="AT21" i="2"/>
  <c r="BC21" i="2"/>
  <c r="AZ23" i="2"/>
  <c r="AX23" i="2"/>
  <c r="AT23" i="2"/>
  <c r="BC23" i="2"/>
  <c r="AZ25" i="2"/>
  <c r="AX25" i="2"/>
  <c r="AT25" i="2"/>
  <c r="BC25" i="2"/>
  <c r="AZ29" i="2"/>
  <c r="AX29" i="2"/>
  <c r="AT29" i="2"/>
  <c r="BC29" i="2"/>
  <c r="AZ33" i="2"/>
  <c r="AX33" i="2"/>
  <c r="AT33" i="2"/>
  <c r="BC33" i="2"/>
  <c r="AZ39" i="2"/>
  <c r="AX39" i="2"/>
  <c r="AT39" i="2"/>
  <c r="BC39" i="2"/>
  <c r="AX44" i="2"/>
  <c r="AT44" i="2"/>
  <c r="BC44" i="2"/>
  <c r="AZ44" i="2"/>
  <c r="AZ45" i="2"/>
  <c r="AX45" i="2"/>
  <c r="AT45" i="2"/>
  <c r="BC45" i="2"/>
  <c r="AX50" i="2"/>
  <c r="AT50" i="2"/>
  <c r="BC50" i="2"/>
  <c r="AZ50" i="2"/>
  <c r="AX54" i="2"/>
  <c r="AT54" i="2"/>
  <c r="BC54" i="2"/>
  <c r="AZ54" i="2"/>
  <c r="AX58" i="2"/>
  <c r="AT58" i="2"/>
  <c r="BC58" i="2"/>
  <c r="AZ58" i="2"/>
  <c r="AX62" i="2"/>
  <c r="AT62" i="2"/>
  <c r="BC62" i="2"/>
  <c r="AZ62" i="2"/>
  <c r="AG35" i="4"/>
  <c r="AN35" i="4" s="1"/>
  <c r="E35" i="4"/>
  <c r="E38" i="4" s="1"/>
  <c r="O20" i="4"/>
  <c r="O64" i="4"/>
  <c r="AF64" i="4" s="1"/>
  <c r="O50" i="4"/>
  <c r="AF50" i="4" s="1"/>
  <c r="AU4" i="2"/>
  <c r="AG39" i="4"/>
  <c r="AN39" i="4" s="1"/>
  <c r="AQ39" i="4" s="1"/>
  <c r="E39" i="4"/>
  <c r="H39" i="4" s="1"/>
  <c r="D64" i="5"/>
  <c r="P64" i="5" s="1"/>
  <c r="AI34" i="4"/>
  <c r="D6" i="2"/>
  <c r="D6" i="1" s="1"/>
  <c r="D8" i="2"/>
  <c r="D8" i="1" s="1"/>
  <c r="D10" i="2"/>
  <c r="D10" i="1" s="1"/>
  <c r="D12" i="2"/>
  <c r="D12" i="1" s="1"/>
  <c r="D14" i="2"/>
  <c r="D14" i="1" s="1"/>
  <c r="D16" i="2"/>
  <c r="D16" i="1" s="1"/>
  <c r="D18" i="2"/>
  <c r="D18" i="1" s="1"/>
  <c r="D20" i="2"/>
  <c r="D20" i="1" s="1"/>
  <c r="D22" i="2"/>
  <c r="D22" i="1" s="1"/>
  <c r="D24" i="2"/>
  <c r="D24" i="1" s="1"/>
  <c r="D26" i="2"/>
  <c r="D26" i="1" s="1"/>
  <c r="D28" i="2"/>
  <c r="D28" i="1" s="1"/>
  <c r="D30" i="2"/>
  <c r="D30" i="1" s="1"/>
  <c r="D32" i="2"/>
  <c r="D32" i="1" s="1"/>
  <c r="AU32" i="2"/>
  <c r="D34" i="2"/>
  <c r="D34" i="1" s="1"/>
  <c r="D36" i="2"/>
  <c r="D36" i="1" s="1"/>
  <c r="AG36" i="2"/>
  <c r="AK36" i="2"/>
  <c r="D38" i="2"/>
  <c r="D38" i="1" s="1"/>
  <c r="AG38" i="2"/>
  <c r="AK38" i="2"/>
  <c r="D40" i="2"/>
  <c r="D40" i="1" s="1"/>
  <c r="AK40" i="2"/>
  <c r="D42" i="2"/>
  <c r="D42" i="1" s="1"/>
  <c r="D44" i="2"/>
  <c r="D44" i="1" s="1"/>
  <c r="D46" i="2"/>
  <c r="D46" i="1" s="1"/>
  <c r="D48" i="2"/>
  <c r="D48" i="1" s="1"/>
  <c r="D50" i="2"/>
  <c r="D50" i="1" s="1"/>
  <c r="D52" i="2"/>
  <c r="D52" i="1" s="1"/>
  <c r="D54" i="2"/>
  <c r="D54" i="1" s="1"/>
  <c r="D56" i="2"/>
  <c r="D56" i="1" s="1"/>
  <c r="D58" i="2"/>
  <c r="D58" i="1" s="1"/>
  <c r="D60" i="2"/>
  <c r="D60" i="1" s="1"/>
  <c r="D62" i="2"/>
  <c r="D62" i="1" s="1"/>
  <c r="AG64" i="2"/>
  <c r="AK64" i="2"/>
  <c r="AU64" i="2"/>
  <c r="AZ65" i="2"/>
  <c r="BB66" i="2"/>
  <c r="D68" i="2"/>
  <c r="D68" i="1" s="1"/>
  <c r="BA68" i="2"/>
  <c r="BB68" i="2"/>
  <c r="BA69" i="2"/>
  <c r="AK70" i="2"/>
  <c r="AG70" i="2"/>
  <c r="AI70" i="2"/>
  <c r="AK71" i="2"/>
  <c r="AG71" i="2"/>
  <c r="AI71" i="2"/>
  <c r="BB72" i="2"/>
  <c r="BA73" i="2"/>
  <c r="BA74" i="2"/>
  <c r="BA75" i="2"/>
  <c r="BA76" i="2"/>
  <c r="BA77" i="2"/>
  <c r="BB78" i="2"/>
  <c r="AJ79" i="2"/>
  <c r="AL79" i="2"/>
  <c r="BB80" i="2"/>
  <c r="BA81" i="2"/>
  <c r="D82" i="2"/>
  <c r="D82" i="1" s="1"/>
  <c r="BB83" i="2"/>
  <c r="BB84" i="2"/>
  <c r="BB85" i="2"/>
  <c r="D86" i="2"/>
  <c r="D86" i="1" s="1"/>
  <c r="AH4" i="2"/>
  <c r="AL4" i="2"/>
  <c r="AZ4" i="2"/>
  <c r="AF5" i="2"/>
  <c r="AF2" i="2" s="1"/>
  <c r="BD5" i="2"/>
  <c r="AH6" i="2"/>
  <c r="AL6" i="2"/>
  <c r="AZ6" i="2"/>
  <c r="AF7" i="2"/>
  <c r="BD7" i="2"/>
  <c r="AH8" i="2"/>
  <c r="AL8" i="2"/>
  <c r="AZ8" i="2"/>
  <c r="AF9" i="2"/>
  <c r="BD9" i="2"/>
  <c r="AH10" i="2"/>
  <c r="AL10" i="2"/>
  <c r="AZ10" i="2"/>
  <c r="AF11" i="2"/>
  <c r="BD11" i="2"/>
  <c r="AH12" i="2"/>
  <c r="AL12" i="2"/>
  <c r="AZ12" i="2"/>
  <c r="AF13" i="2"/>
  <c r="BD13" i="2"/>
  <c r="AH14" i="2"/>
  <c r="AL14" i="2"/>
  <c r="AZ14" i="2"/>
  <c r="AF15" i="2"/>
  <c r="BD15" i="2"/>
  <c r="AH16" i="2"/>
  <c r="AL16" i="2"/>
  <c r="AZ16" i="2"/>
  <c r="AF17" i="2"/>
  <c r="BD17" i="2"/>
  <c r="AH18" i="2"/>
  <c r="AL18" i="2"/>
  <c r="AZ18" i="2"/>
  <c r="AF19" i="2"/>
  <c r="BD19" i="2"/>
  <c r="AH20" i="2"/>
  <c r="AL20" i="2"/>
  <c r="AZ20" i="2"/>
  <c r="AF21" i="2"/>
  <c r="BD21" i="2"/>
  <c r="AH22" i="2"/>
  <c r="AL22" i="2"/>
  <c r="AZ22" i="2"/>
  <c r="AF23" i="2"/>
  <c r="BD23" i="2"/>
  <c r="AH24" i="2"/>
  <c r="AL24" i="2"/>
  <c r="AZ24" i="2"/>
  <c r="AF25" i="2"/>
  <c r="BD25" i="2"/>
  <c r="AH26" i="2"/>
  <c r="AL26" i="2"/>
  <c r="AF27" i="2"/>
  <c r="BD27" i="2"/>
  <c r="AH28" i="2"/>
  <c r="AL28" i="2"/>
  <c r="AF29" i="2"/>
  <c r="BD29" i="2"/>
  <c r="AH30" i="2"/>
  <c r="AL30" i="2"/>
  <c r="AF31" i="2"/>
  <c r="BD31" i="2"/>
  <c r="AH32" i="2"/>
  <c r="AL32" i="2"/>
  <c r="AF33" i="2"/>
  <c r="BD33" i="2"/>
  <c r="AH34" i="2"/>
  <c r="AL34" i="2"/>
  <c r="AF35" i="2"/>
  <c r="AJ35" i="2"/>
  <c r="BD35" i="2"/>
  <c r="AH36" i="2"/>
  <c r="AF37" i="2"/>
  <c r="BD37" i="2"/>
  <c r="AH38" i="2"/>
  <c r="AF39" i="2"/>
  <c r="BD39" i="2"/>
  <c r="AH40" i="2"/>
  <c r="AF41" i="2"/>
  <c r="BD41" i="2"/>
  <c r="AH42" i="2"/>
  <c r="AF43" i="2"/>
  <c r="BD43" i="2"/>
  <c r="AH44" i="2"/>
  <c r="AF45" i="2"/>
  <c r="BD45" i="2"/>
  <c r="AH46" i="2"/>
  <c r="AF47" i="2"/>
  <c r="BD47" i="2"/>
  <c r="AH48" i="2"/>
  <c r="AL48" i="2"/>
  <c r="AF49" i="2"/>
  <c r="BD49" i="2"/>
  <c r="AH50" i="2"/>
  <c r="AL50" i="2"/>
  <c r="AF51" i="2"/>
  <c r="BD51" i="2"/>
  <c r="AH52" i="2"/>
  <c r="AL52" i="2"/>
  <c r="AF53" i="2"/>
  <c r="BD53" i="2"/>
  <c r="AH54" i="2"/>
  <c r="AL54" i="2"/>
  <c r="AF55" i="2"/>
  <c r="BD55" i="2"/>
  <c r="AH56" i="2"/>
  <c r="AL56" i="2"/>
  <c r="AF57" i="2"/>
  <c r="BD57" i="2"/>
  <c r="AH58" i="2"/>
  <c r="AL58" i="2"/>
  <c r="AF59" i="2"/>
  <c r="BD59" i="2"/>
  <c r="AH60" i="2"/>
  <c r="AL60" i="2"/>
  <c r="AF61" i="2"/>
  <c r="BD61" i="2"/>
  <c r="AH62" i="2"/>
  <c r="AL62" i="2"/>
  <c r="D91" i="2"/>
  <c r="D91" i="1" s="1"/>
  <c r="D87" i="2"/>
  <c r="D87" i="1" s="1"/>
  <c r="D83" i="2"/>
  <c r="D83" i="1" s="1"/>
  <c r="D80" i="2"/>
  <c r="D80" i="1" s="1"/>
  <c r="D93" i="2"/>
  <c r="D93" i="1" s="1"/>
  <c r="D89" i="2"/>
  <c r="D89" i="1" s="1"/>
  <c r="D85" i="2"/>
  <c r="D85" i="1" s="1"/>
  <c r="AF63" i="2"/>
  <c r="AJ63" i="2"/>
  <c r="BB63" i="2"/>
  <c r="D64" i="2"/>
  <c r="D64" i="1" s="1"/>
  <c r="AH64" i="2"/>
  <c r="BA65" i="2"/>
  <c r="AH66" i="2"/>
  <c r="AK66" i="2"/>
  <c r="AK67" i="2"/>
  <c r="AG67" i="2"/>
  <c r="AI67" i="2"/>
  <c r="AX67" i="2"/>
  <c r="BC68" i="2"/>
  <c r="AH69" i="2"/>
  <c r="D70" i="2"/>
  <c r="D70" i="1" s="1"/>
  <c r="AJ69" i="2"/>
  <c r="AH70" i="2"/>
  <c r="AT70" i="2"/>
  <c r="AZ70" i="2"/>
  <c r="D71" i="2"/>
  <c r="D71" i="1" s="1"/>
  <c r="AH71" i="2"/>
  <c r="AT71" i="2"/>
  <c r="AZ71" i="2"/>
  <c r="D72" i="2"/>
  <c r="D72" i="1" s="1"/>
  <c r="BD73" i="2"/>
  <c r="AY73" i="2"/>
  <c r="D74" i="2"/>
  <c r="D74" i="1" s="1"/>
  <c r="D75" i="2"/>
  <c r="D75" i="1" s="1"/>
  <c r="D76" i="2"/>
  <c r="D76" i="1" s="1"/>
  <c r="D77" i="2"/>
  <c r="D77" i="1" s="1"/>
  <c r="D78" i="2"/>
  <c r="D78" i="1" s="1"/>
  <c r="D79" i="2"/>
  <c r="D79" i="1" s="1"/>
  <c r="AZ79" i="2"/>
  <c r="BA83" i="2"/>
  <c r="D84" i="2"/>
  <c r="D84" i="1" s="1"/>
  <c r="BA84" i="2"/>
  <c r="BB87" i="2"/>
  <c r="BB88" i="2"/>
  <c r="BB89" i="2"/>
  <c r="D90" i="2"/>
  <c r="D90" i="1" s="1"/>
  <c r="AH35" i="4"/>
  <c r="AO35" i="4" s="1"/>
  <c r="AU5" i="2"/>
  <c r="AU7" i="2"/>
  <c r="AU9" i="2"/>
  <c r="AU11" i="2"/>
  <c r="AU13" i="2"/>
  <c r="AU15" i="2"/>
  <c r="AU17" i="2"/>
  <c r="AU19" i="2"/>
  <c r="AU21" i="2"/>
  <c r="AU23" i="2"/>
  <c r="AU25" i="2"/>
  <c r="AU27" i="2"/>
  <c r="AU29" i="2"/>
  <c r="AU31" i="2"/>
  <c r="AU33" i="2"/>
  <c r="AU35" i="2"/>
  <c r="AU37" i="2"/>
  <c r="AU39" i="2"/>
  <c r="AU41" i="2"/>
  <c r="AU43" i="2"/>
  <c r="AU45" i="2"/>
  <c r="AU47" i="2"/>
  <c r="AU49" i="2"/>
  <c r="AU51" i="2"/>
  <c r="D53" i="2"/>
  <c r="D53" i="1" s="1"/>
  <c r="AU53" i="2"/>
  <c r="D55" i="2"/>
  <c r="D55" i="1" s="1"/>
  <c r="AU55" i="2"/>
  <c r="D57" i="2"/>
  <c r="D57" i="1" s="1"/>
  <c r="AU57" i="2"/>
  <c r="D59" i="2"/>
  <c r="D59" i="1" s="1"/>
  <c r="AU59" i="2"/>
  <c r="AU61" i="2"/>
  <c r="D63" i="2"/>
  <c r="D63" i="1" s="1"/>
  <c r="BA89" i="2"/>
  <c r="BA85" i="2"/>
  <c r="BA78" i="2"/>
  <c r="BA90" i="2"/>
  <c r="BA86" i="2"/>
  <c r="BA82" i="2"/>
  <c r="AU63" i="2"/>
  <c r="AY63" i="2"/>
  <c r="AT65" i="2"/>
  <c r="AX65" i="2"/>
  <c r="AG66" i="2"/>
  <c r="AZ66" i="2"/>
  <c r="D67" i="2"/>
  <c r="D67" i="1" s="1"/>
  <c r="AH67" i="2"/>
  <c r="AT67" i="2"/>
  <c r="AZ67" i="2"/>
  <c r="AI68" i="2"/>
  <c r="AK68" i="2"/>
  <c r="AG68" i="2"/>
  <c r="AX68" i="2"/>
  <c r="BD69" i="2"/>
  <c r="BA70" i="2"/>
  <c r="BA71" i="2"/>
  <c r="AZ72" i="2"/>
  <c r="AL72" i="2"/>
  <c r="AJ72" i="2"/>
  <c r="AR73" i="2"/>
  <c r="AF73" i="2"/>
  <c r="AU73" i="2"/>
  <c r="AU74" i="2"/>
  <c r="AU75" i="2"/>
  <c r="AU76" i="2"/>
  <c r="AU77" i="2"/>
  <c r="AX78" i="2"/>
  <c r="AT78" i="2"/>
  <c r="BC78" i="2"/>
  <c r="AZ78" i="2"/>
  <c r="AY79" i="2"/>
  <c r="AU79" i="2"/>
  <c r="BD79" i="2"/>
  <c r="BA79" i="2"/>
  <c r="F65" i="5"/>
  <c r="AS81" i="2"/>
  <c r="BG63" i="2" s="1"/>
  <c r="BB82" i="2"/>
  <c r="BB86" i="2"/>
  <c r="BA87" i="2"/>
  <c r="D88" i="2"/>
  <c r="D88" i="1" s="1"/>
  <c r="BA88" i="2"/>
  <c r="BB91" i="2"/>
  <c r="BB92" i="2"/>
  <c r="BB93" i="2"/>
  <c r="AJ4" i="2"/>
  <c r="AR5" i="2"/>
  <c r="AR35" i="2"/>
  <c r="AR63" i="2"/>
  <c r="AT64" i="2"/>
  <c r="D65" i="2"/>
  <c r="D65" i="1" s="1"/>
  <c r="BA67" i="2"/>
  <c r="D69" i="2"/>
  <c r="D69" i="1" s="1"/>
  <c r="BB69" i="2"/>
  <c r="AY72" i="2"/>
  <c r="BB73" i="2"/>
  <c r="AZ74" i="2"/>
  <c r="AX74" i="2"/>
  <c r="AT74" i="2"/>
  <c r="BB74" i="2"/>
  <c r="AZ75" i="2"/>
  <c r="AX75" i="2"/>
  <c r="AT75" i="2"/>
  <c r="BB75" i="2"/>
  <c r="AZ76" i="2"/>
  <c r="AX76" i="2"/>
  <c r="AT76" i="2"/>
  <c r="BB76" i="2"/>
  <c r="AZ77" i="2"/>
  <c r="AX77" i="2"/>
  <c r="AT77" i="2"/>
  <c r="BB77" i="2"/>
  <c r="BB79" i="2"/>
  <c r="AH80" i="2"/>
  <c r="AK80" i="2"/>
  <c r="AG80" i="2"/>
  <c r="AI80" i="2"/>
  <c r="D81" i="2"/>
  <c r="D81" i="1" s="1"/>
  <c r="BB81" i="2"/>
  <c r="BB90" i="2"/>
  <c r="BA91" i="2"/>
  <c r="D92" i="2"/>
  <c r="D92" i="1" s="1"/>
  <c r="BA92" i="2"/>
  <c r="BA93" i="2"/>
  <c r="AU68" i="2"/>
  <c r="AT72" i="2"/>
  <c r="AX72" i="2"/>
  <c r="AJ73" i="2"/>
  <c r="AF74" i="2"/>
  <c r="AJ74" i="2"/>
  <c r="AF75" i="2"/>
  <c r="AJ75" i="2"/>
  <c r="AF76" i="2"/>
  <c r="AJ76" i="2"/>
  <c r="AF77" i="2"/>
  <c r="AJ77" i="2"/>
  <c r="AG78" i="2"/>
  <c r="AK78" i="2"/>
  <c r="AU78" i="2"/>
  <c r="BA80" i="2"/>
  <c r="F60" i="5"/>
  <c r="P60" i="5" s="1"/>
  <c r="AI33" i="4"/>
  <c r="E5" i="4"/>
  <c r="F62" i="5"/>
  <c r="E8" i="4"/>
  <c r="AI37" i="4"/>
  <c r="AH82" i="2"/>
  <c r="AL82" i="2"/>
  <c r="AZ82" i="2"/>
  <c r="BD82" i="2"/>
  <c r="AI83" i="2"/>
  <c r="AJ84" i="2"/>
  <c r="AT84" i="2"/>
  <c r="AX84" i="2"/>
  <c r="AG85" i="2"/>
  <c r="AK85" i="2"/>
  <c r="AU85" i="2"/>
  <c r="BC85" i="2"/>
  <c r="AL86" i="2"/>
  <c r="BD86" i="2"/>
  <c r="AI87" i="2"/>
  <c r="AJ88" i="2"/>
  <c r="AT88" i="2"/>
  <c r="AX88" i="2"/>
  <c r="AG89" i="2"/>
  <c r="AK89" i="2"/>
  <c r="AU89" i="2"/>
  <c r="BC89" i="2"/>
  <c r="AL90" i="2"/>
  <c r="BD90" i="2"/>
  <c r="AI91" i="2"/>
  <c r="T6" i="7"/>
  <c r="AJ92" i="2"/>
  <c r="AT92" i="2"/>
  <c r="AX92" i="2"/>
  <c r="AG93" i="2"/>
  <c r="AK93" i="2"/>
  <c r="AU93" i="2"/>
  <c r="AY93" i="2"/>
  <c r="BC93" i="2"/>
  <c r="D94" i="2"/>
  <c r="D94" i="1" s="1"/>
  <c r="AH94" i="2"/>
  <c r="AL94" i="2"/>
  <c r="N39" i="7"/>
  <c r="Q8" i="7"/>
  <c r="N38" i="7"/>
  <c r="U8" i="7"/>
  <c r="K22" i="4"/>
  <c r="F22" i="4"/>
  <c r="T37" i="4" s="1"/>
  <c r="AA37" i="4" s="1"/>
  <c r="K19" i="4"/>
  <c r="F19" i="4"/>
  <c r="T33" i="4" s="1"/>
  <c r="AZ94" i="2"/>
  <c r="AI95" i="2"/>
  <c r="R9" i="7"/>
  <c r="V9" i="7"/>
  <c r="BA95" i="2"/>
  <c r="AJ96" i="2"/>
  <c r="E25" i="7"/>
  <c r="T25" i="7" s="1"/>
  <c r="AT96" i="2"/>
  <c r="AX96" i="2"/>
  <c r="BB96" i="2"/>
  <c r="AG97" i="2"/>
  <c r="AK97" i="2"/>
  <c r="AU97" i="2"/>
  <c r="AY97" i="2"/>
  <c r="BC97" i="2"/>
  <c r="AH98" i="2"/>
  <c r="AL98" i="2"/>
  <c r="U12" i="7"/>
  <c r="Q12" i="7"/>
  <c r="AZ98" i="2"/>
  <c r="BD98" i="2"/>
  <c r="AI99" i="2"/>
  <c r="BA99" i="2"/>
  <c r="AJ100" i="2"/>
  <c r="E29" i="7"/>
  <c r="T29" i="7" s="1"/>
  <c r="AT100" i="2"/>
  <c r="AX100" i="2"/>
  <c r="BB100" i="2"/>
  <c r="AG101" i="2"/>
  <c r="AK101" i="2"/>
  <c r="AU101" i="2"/>
  <c r="AY101" i="2"/>
  <c r="BC101" i="2"/>
  <c r="AH102" i="2"/>
  <c r="AL102" i="2"/>
  <c r="U16" i="7"/>
  <c r="Q16" i="7"/>
  <c r="AZ102" i="2"/>
  <c r="BD102" i="2"/>
  <c r="AI103" i="2"/>
  <c r="R17" i="7"/>
  <c r="V17" i="7"/>
  <c r="BA103" i="2"/>
  <c r="AJ104" i="2"/>
  <c r="E33" i="7"/>
  <c r="T33" i="7" s="1"/>
  <c r="AT104" i="2"/>
  <c r="AX104" i="2"/>
  <c r="BB104" i="2"/>
  <c r="AG105" i="2"/>
  <c r="AK105" i="2"/>
  <c r="AU105" i="2"/>
  <c r="AY105" i="2"/>
  <c r="BC105" i="2"/>
  <c r="AH106" i="2"/>
  <c r="AL106" i="2"/>
  <c r="Q20" i="7"/>
  <c r="U20" i="7"/>
  <c r="AZ106" i="2"/>
  <c r="BD106" i="2"/>
  <c r="AI107" i="2"/>
  <c r="R21" i="7"/>
  <c r="AJ108" i="2"/>
  <c r="F7" i="7"/>
  <c r="U7" i="7" s="1"/>
  <c r="F22" i="7"/>
  <c r="U22" i="7" s="1"/>
  <c r="AT108" i="2"/>
  <c r="AX108" i="2"/>
  <c r="BB108" i="2"/>
  <c r="AG109" i="2"/>
  <c r="AK109" i="2"/>
  <c r="G39" i="7"/>
  <c r="AU109" i="2"/>
  <c r="AY109" i="2"/>
  <c r="BC109" i="2"/>
  <c r="AH110" i="2"/>
  <c r="AL110" i="2"/>
  <c r="Q24" i="7"/>
  <c r="U24" i="7"/>
  <c r="AZ110" i="2"/>
  <c r="BD110" i="2"/>
  <c r="AI111" i="2"/>
  <c r="R25" i="7"/>
  <c r="V25" i="7"/>
  <c r="BA111" i="2"/>
  <c r="AJ112" i="2"/>
  <c r="E11" i="7"/>
  <c r="T11" i="7" s="1"/>
  <c r="AT112" i="2"/>
  <c r="AX112" i="2"/>
  <c r="BB112" i="2"/>
  <c r="AG113" i="2"/>
  <c r="AK113" i="2"/>
  <c r="AU113" i="2"/>
  <c r="AY113" i="2"/>
  <c r="BC113" i="2"/>
  <c r="AH114" i="2"/>
  <c r="AL114" i="2"/>
  <c r="U28" i="7"/>
  <c r="Q28" i="7"/>
  <c r="AZ114" i="2"/>
  <c r="BD114" i="2"/>
  <c r="AI115" i="2"/>
  <c r="V29" i="7"/>
  <c r="R29" i="7"/>
  <c r="BA115" i="2"/>
  <c r="AJ116" i="2"/>
  <c r="E15" i="7"/>
  <c r="T15" i="7" s="1"/>
  <c r="AT116" i="2"/>
  <c r="AX116" i="2"/>
  <c r="BB116" i="2"/>
  <c r="AG117" i="2"/>
  <c r="AK117" i="2"/>
  <c r="AU117" i="2"/>
  <c r="AY117" i="2"/>
  <c r="BC117" i="2"/>
  <c r="AH118" i="2"/>
  <c r="AL118" i="2"/>
  <c r="U32" i="7"/>
  <c r="Q32" i="7"/>
  <c r="AZ118" i="2"/>
  <c r="BD118" i="2"/>
  <c r="AI119" i="2"/>
  <c r="R33" i="7"/>
  <c r="V33" i="7"/>
  <c r="BA119" i="2"/>
  <c r="AJ120" i="2"/>
  <c r="E19" i="7"/>
  <c r="T19" i="7" s="1"/>
  <c r="AT120" i="2"/>
  <c r="AX120" i="2"/>
  <c r="BB120" i="2"/>
  <c r="AG121" i="2"/>
  <c r="AK121" i="2"/>
  <c r="AU121" i="2"/>
  <c r="AY121" i="2"/>
  <c r="BC121" i="2"/>
  <c r="AH122" i="2"/>
  <c r="AL122" i="2"/>
  <c r="U36" i="7"/>
  <c r="Q36" i="7"/>
  <c r="AZ122" i="2"/>
  <c r="BD122" i="2"/>
  <c r="AI123" i="2"/>
  <c r="BB123" i="2"/>
  <c r="D153" i="2"/>
  <c r="D153" i="1" s="1"/>
  <c r="D149" i="2"/>
  <c r="D149" i="1" s="1"/>
  <c r="AX124" i="2"/>
  <c r="AT124" i="2"/>
  <c r="K50" i="4"/>
  <c r="AB50" i="4" s="1"/>
  <c r="F50" i="4"/>
  <c r="W50" i="4" s="1"/>
  <c r="BF124" i="2"/>
  <c r="AJ124" i="2"/>
  <c r="AG125" i="2"/>
  <c r="AZ125" i="2"/>
  <c r="D126" i="2"/>
  <c r="D126" i="1" s="1"/>
  <c r="AI126" i="2"/>
  <c r="BF126" i="2"/>
  <c r="AT126" i="2"/>
  <c r="AZ126" i="2"/>
  <c r="AG127" i="2"/>
  <c r="BD127" i="2"/>
  <c r="D128" i="2"/>
  <c r="D128" i="1" s="1"/>
  <c r="AX129" i="2"/>
  <c r="AT129" i="2"/>
  <c r="BF129" i="2"/>
  <c r="D130" i="2"/>
  <c r="D130" i="1" s="1"/>
  <c r="BF130" i="2"/>
  <c r="AT130" i="2"/>
  <c r="AZ130" i="2"/>
  <c r="AG131" i="2"/>
  <c r="BD131" i="2"/>
  <c r="D132" i="2"/>
  <c r="D132" i="1" s="1"/>
  <c r="AX133" i="2"/>
  <c r="AT133" i="2"/>
  <c r="BF133" i="2"/>
  <c r="D134" i="2"/>
  <c r="D134" i="1" s="1"/>
  <c r="BF134" i="2"/>
  <c r="AT134" i="2"/>
  <c r="BG135" i="2"/>
  <c r="AU135" i="2"/>
  <c r="AX136" i="2"/>
  <c r="AT136" i="2"/>
  <c r="BC136" i="2"/>
  <c r="BG136" i="2"/>
  <c r="AL137" i="2"/>
  <c r="AX137" i="2"/>
  <c r="AT137" i="2"/>
  <c r="AZ137" i="2"/>
  <c r="D138" i="2"/>
  <c r="D138" i="1" s="1"/>
  <c r="AZ138" i="2"/>
  <c r="AG139" i="2"/>
  <c r="BF139" i="2"/>
  <c r="AU140" i="2"/>
  <c r="BF141" i="2"/>
  <c r="BG141" i="2"/>
  <c r="AH142" i="2"/>
  <c r="AK142" i="2"/>
  <c r="AG142" i="2"/>
  <c r="BF142" i="2"/>
  <c r="AT142" i="2"/>
  <c r="BG143" i="2"/>
  <c r="AU143" i="2"/>
  <c r="AX144" i="2"/>
  <c r="AT144" i="2"/>
  <c r="BC144" i="2"/>
  <c r="BG144" i="2"/>
  <c r="AL145" i="2"/>
  <c r="AX145" i="2"/>
  <c r="AT145" i="2"/>
  <c r="AZ145" i="2"/>
  <c r="D146" i="2"/>
  <c r="D146" i="1" s="1"/>
  <c r="AZ146" i="2"/>
  <c r="AG147" i="2"/>
  <c r="BF147" i="2"/>
  <c r="D151" i="2"/>
  <c r="D151" i="1" s="1"/>
  <c r="AX151" i="2"/>
  <c r="AT151" i="2"/>
  <c r="BC151" i="2"/>
  <c r="AJ151" i="2"/>
  <c r="D152" i="2"/>
  <c r="D152" i="1" s="1"/>
  <c r="AI153" i="2"/>
  <c r="AH153" i="2"/>
  <c r="AK153" i="2"/>
  <c r="AG153" i="2"/>
  <c r="AZ156" i="2"/>
  <c r="D160" i="2"/>
  <c r="D160" i="1" s="1"/>
  <c r="AZ160" i="2"/>
  <c r="D162" i="2"/>
  <c r="D162" i="1" s="1"/>
  <c r="BG162" i="2"/>
  <c r="BH162" i="2" s="1"/>
  <c r="D164" i="2"/>
  <c r="D164" i="1" s="1"/>
  <c r="AZ164" i="2"/>
  <c r="D165" i="2"/>
  <c r="D165" i="1" s="1"/>
  <c r="AX165" i="2"/>
  <c r="AT165" i="2"/>
  <c r="BC165" i="2"/>
  <c r="AU166" i="2"/>
  <c r="BF169" i="2"/>
  <c r="BE169" i="2" s="1"/>
  <c r="AJ170" i="2"/>
  <c r="AL170" i="2"/>
  <c r="AI175" i="2"/>
  <c r="AH175" i="2"/>
  <c r="AK175" i="2"/>
  <c r="AG175" i="2"/>
  <c r="BF175" i="2"/>
  <c r="BE175" i="2" s="1"/>
  <c r="AT175" i="2"/>
  <c r="AH176" i="2"/>
  <c r="AG176" i="2"/>
  <c r="AY176" i="2"/>
  <c r="AU176" i="2"/>
  <c r="BD176" i="2"/>
  <c r="BG176" i="2"/>
  <c r="BH176" i="2" s="1"/>
  <c r="AJ177" i="2"/>
  <c r="D178" i="2"/>
  <c r="D178" i="1" s="1"/>
  <c r="BG178" i="2"/>
  <c r="BH178" i="2" s="1"/>
  <c r="D180" i="2"/>
  <c r="D180" i="1" s="1"/>
  <c r="AZ180" i="2"/>
  <c r="D181" i="2"/>
  <c r="D181" i="1" s="1"/>
  <c r="AX181" i="2"/>
  <c r="AT181" i="2"/>
  <c r="BC181" i="2"/>
  <c r="AJ190" i="2"/>
  <c r="D186" i="2"/>
  <c r="D186" i="1" s="1"/>
  <c r="D191" i="2"/>
  <c r="D191" i="1" s="1"/>
  <c r="D200" i="2"/>
  <c r="D200" i="1" s="1"/>
  <c r="D192" i="2"/>
  <c r="D192" i="1" s="1"/>
  <c r="AL193" i="2"/>
  <c r="AJ193" i="2"/>
  <c r="D197" i="2"/>
  <c r="D197" i="1" s="1"/>
  <c r="AZ197" i="2"/>
  <c r="F78" i="5"/>
  <c r="P67" i="5"/>
  <c r="AT83" i="2"/>
  <c r="AU84" i="2"/>
  <c r="AZ85" i="2"/>
  <c r="AT87" i="2"/>
  <c r="AU88" i="2"/>
  <c r="AZ89" i="2"/>
  <c r="AT91" i="2"/>
  <c r="AU92" i="2"/>
  <c r="Q7" i="7"/>
  <c r="AZ93" i="2"/>
  <c r="O8" i="7"/>
  <c r="G49" i="7"/>
  <c r="G52" i="7" s="1"/>
  <c r="G20" i="4"/>
  <c r="G23" i="4" s="1"/>
  <c r="K20" i="4"/>
  <c r="F20" i="4"/>
  <c r="AT95" i="2"/>
  <c r="BB95" i="2"/>
  <c r="AU96" i="2"/>
  <c r="D97" i="2"/>
  <c r="D97" i="1" s="1"/>
  <c r="U11" i="7"/>
  <c r="Q11" i="7"/>
  <c r="AZ97" i="2"/>
  <c r="R12" i="7"/>
  <c r="V12" i="7"/>
  <c r="BA98" i="2"/>
  <c r="AT99" i="2"/>
  <c r="BB99" i="2"/>
  <c r="AU100" i="2"/>
  <c r="D101" i="2"/>
  <c r="D101" i="1" s="1"/>
  <c r="Q15" i="7"/>
  <c r="U15" i="7"/>
  <c r="AZ101" i="2"/>
  <c r="V16" i="7"/>
  <c r="R16" i="7"/>
  <c r="BA102" i="2"/>
  <c r="AT103" i="2"/>
  <c r="BB103" i="2"/>
  <c r="AU104" i="2"/>
  <c r="D105" i="2"/>
  <c r="D105" i="1" s="1"/>
  <c r="U19" i="7"/>
  <c r="Q19" i="7"/>
  <c r="AZ105" i="2"/>
  <c r="R20" i="7"/>
  <c r="BA106" i="2"/>
  <c r="F21" i="7"/>
  <c r="U21" i="7" s="1"/>
  <c r="F6" i="7"/>
  <c r="U6" i="7" s="1"/>
  <c r="AT107" i="2"/>
  <c r="BB107" i="2"/>
  <c r="G22" i="7"/>
  <c r="G7" i="7"/>
  <c r="V7" i="7" s="1"/>
  <c r="AU108" i="2"/>
  <c r="D109" i="2"/>
  <c r="D109" i="1" s="1"/>
  <c r="Q23" i="7"/>
  <c r="U23" i="7"/>
  <c r="AZ109" i="2"/>
  <c r="V24" i="7"/>
  <c r="R24" i="7"/>
  <c r="BA110" i="2"/>
  <c r="AT111" i="2"/>
  <c r="BB111" i="2"/>
  <c r="AU112" i="2"/>
  <c r="D113" i="2"/>
  <c r="D113" i="1" s="1"/>
  <c r="Q27" i="7"/>
  <c r="U27" i="7"/>
  <c r="AZ113" i="2"/>
  <c r="V28" i="7"/>
  <c r="R28" i="7"/>
  <c r="BA114" i="2"/>
  <c r="AT115" i="2"/>
  <c r="BB115" i="2"/>
  <c r="AU116" i="2"/>
  <c r="D117" i="2"/>
  <c r="D117" i="1" s="1"/>
  <c r="Q31" i="7"/>
  <c r="U31" i="7"/>
  <c r="AZ117" i="2"/>
  <c r="V32" i="7"/>
  <c r="R32" i="7"/>
  <c r="BA118" i="2"/>
  <c r="AT119" i="2"/>
  <c r="BB119" i="2"/>
  <c r="AU120" i="2"/>
  <c r="D121" i="2"/>
  <c r="D121" i="1" s="1"/>
  <c r="U35" i="7"/>
  <c r="Q35" i="7"/>
  <c r="AZ121" i="2"/>
  <c r="R36" i="7"/>
  <c r="V36" i="7"/>
  <c r="BA122" i="2"/>
  <c r="AT123" i="2"/>
  <c r="G50" i="4"/>
  <c r="G53" i="4" s="1"/>
  <c r="BD124" i="2"/>
  <c r="AY124" i="2"/>
  <c r="BC126" i="2"/>
  <c r="AT127" i="2"/>
  <c r="AT128" i="2"/>
  <c r="D129" i="2"/>
  <c r="D129" i="1" s="1"/>
  <c r="AY129" i="2"/>
  <c r="BG129" i="2"/>
  <c r="BC130" i="2"/>
  <c r="D131" i="2"/>
  <c r="D131" i="1" s="1"/>
  <c r="AT131" i="2"/>
  <c r="AT132" i="2"/>
  <c r="D133" i="2"/>
  <c r="D133" i="1" s="1"/>
  <c r="AY133" i="2"/>
  <c r="BG133" i="2"/>
  <c r="BG134" i="2"/>
  <c r="AI135" i="2"/>
  <c r="AH135" i="2"/>
  <c r="D136" i="2"/>
  <c r="D136" i="1" s="1"/>
  <c r="AY137" i="2"/>
  <c r="AU137" i="2"/>
  <c r="BD137" i="2"/>
  <c r="AY138" i="2"/>
  <c r="AU138" i="2"/>
  <c r="D139" i="2"/>
  <c r="D139" i="1" s="1"/>
  <c r="BF140" i="2"/>
  <c r="D141" i="2"/>
  <c r="D141" i="1" s="1"/>
  <c r="BG142" i="2"/>
  <c r="AI143" i="2"/>
  <c r="AH143" i="2"/>
  <c r="D144" i="2"/>
  <c r="D144" i="1" s="1"/>
  <c r="AY145" i="2"/>
  <c r="AU145" i="2"/>
  <c r="BD145" i="2"/>
  <c r="AY146" i="2"/>
  <c r="AU146" i="2"/>
  <c r="D147" i="2"/>
  <c r="D147" i="1" s="1"/>
  <c r="D150" i="2"/>
  <c r="D150" i="1" s="1"/>
  <c r="AJ152" i="2"/>
  <c r="AL152" i="2"/>
  <c r="AH156" i="2"/>
  <c r="AG156" i="2"/>
  <c r="AY156" i="2"/>
  <c r="AU156" i="2"/>
  <c r="BD156" i="2"/>
  <c r="AI157" i="2"/>
  <c r="AH157" i="2"/>
  <c r="AK157" i="2"/>
  <c r="AG157" i="2"/>
  <c r="AT157" i="2"/>
  <c r="BF159" i="2"/>
  <c r="BE159" i="2" s="1"/>
  <c r="BI159" i="2" s="1"/>
  <c r="AH160" i="2"/>
  <c r="AG160" i="2"/>
  <c r="AY160" i="2"/>
  <c r="AU160" i="2"/>
  <c r="BD160" i="2"/>
  <c r="AI161" i="2"/>
  <c r="AH161" i="2"/>
  <c r="AK161" i="2"/>
  <c r="AG161" i="2"/>
  <c r="BF161" i="2"/>
  <c r="BE161" i="2" s="1"/>
  <c r="BI161" i="2" s="1"/>
  <c r="AT161" i="2"/>
  <c r="AI163" i="2"/>
  <c r="AH163" i="2"/>
  <c r="AK163" i="2"/>
  <c r="AG163" i="2"/>
  <c r="BF163" i="2"/>
  <c r="BE163" i="2" s="1"/>
  <c r="AT163" i="2"/>
  <c r="AH164" i="2"/>
  <c r="AG164" i="2"/>
  <c r="AY164" i="2"/>
  <c r="AU164" i="2"/>
  <c r="BD164" i="2"/>
  <c r="AJ165" i="2"/>
  <c r="D166" i="2"/>
  <c r="D166" i="1" s="1"/>
  <c r="D168" i="2"/>
  <c r="D168" i="1" s="1"/>
  <c r="D169" i="2"/>
  <c r="D169" i="1" s="1"/>
  <c r="AX169" i="2"/>
  <c r="AT169" i="2"/>
  <c r="BC169" i="2"/>
  <c r="BF173" i="2"/>
  <c r="BE173" i="2" s="1"/>
  <c r="AJ174" i="2"/>
  <c r="AL174" i="2"/>
  <c r="AI179" i="2"/>
  <c r="AH179" i="2"/>
  <c r="AK179" i="2"/>
  <c r="AG179" i="2"/>
  <c r="BF179" i="2"/>
  <c r="BE179" i="2" s="1"/>
  <c r="AT179" i="2"/>
  <c r="AH180" i="2"/>
  <c r="AG180" i="2"/>
  <c r="AY180" i="2"/>
  <c r="AU180" i="2"/>
  <c r="BD180" i="2"/>
  <c r="BG180" i="2"/>
  <c r="BH180" i="2" s="1"/>
  <c r="AJ181" i="2"/>
  <c r="D182" i="2"/>
  <c r="D182" i="1" s="1"/>
  <c r="BG182" i="2"/>
  <c r="BH182" i="2" s="1"/>
  <c r="D184" i="2"/>
  <c r="D184" i="1" s="1"/>
  <c r="BE185" i="2"/>
  <c r="AX185" i="2"/>
  <c r="AT185" i="2"/>
  <c r="BC185" i="2"/>
  <c r="BE187" i="2"/>
  <c r="AX187" i="2"/>
  <c r="AT187" i="2"/>
  <c r="BC187" i="2"/>
  <c r="BE188" i="2"/>
  <c r="AX188" i="2"/>
  <c r="AT188" i="2"/>
  <c r="BC188" i="2"/>
  <c r="BE192" i="2"/>
  <c r="AX192" i="2"/>
  <c r="AT192" i="2"/>
  <c r="BC192" i="2"/>
  <c r="AH197" i="2"/>
  <c r="AG197" i="2"/>
  <c r="BF197" i="2"/>
  <c r="AY197" i="2"/>
  <c r="AU197" i="2"/>
  <c r="BD197" i="2"/>
  <c r="AI198" i="2"/>
  <c r="AH198" i="2"/>
  <c r="AK198" i="2"/>
  <c r="AG198" i="2"/>
  <c r="D204" i="2"/>
  <c r="D204" i="1" s="1"/>
  <c r="D205" i="2"/>
  <c r="D205" i="1" s="1"/>
  <c r="AT66" i="2"/>
  <c r="AU67" i="2"/>
  <c r="AT69" i="2"/>
  <c r="AU70" i="2"/>
  <c r="AU71" i="2"/>
  <c r="AT79" i="2"/>
  <c r="BC80" i="2"/>
  <c r="F63" i="5"/>
  <c r="Q21" i="4" s="1"/>
  <c r="E7" i="4"/>
  <c r="AI36" i="4"/>
  <c r="E6" i="4"/>
  <c r="AT82" i="2"/>
  <c r="AG83" i="2"/>
  <c r="AK83" i="2"/>
  <c r="AU83" i="2"/>
  <c r="BC83" i="2"/>
  <c r="AT86" i="2"/>
  <c r="AG87" i="2"/>
  <c r="AK87" i="2"/>
  <c r="AU87" i="2"/>
  <c r="BC87" i="2"/>
  <c r="AT90" i="2"/>
  <c r="AG91" i="2"/>
  <c r="AK91" i="2"/>
  <c r="AU91" i="2"/>
  <c r="BC91" i="2"/>
  <c r="AH92" i="2"/>
  <c r="Q6" i="7"/>
  <c r="AZ92" i="2"/>
  <c r="BD92" i="2"/>
  <c r="AI93" i="2"/>
  <c r="R7" i="7"/>
  <c r="AT94" i="2"/>
  <c r="AX94" i="2"/>
  <c r="BB94" i="2"/>
  <c r="AG95" i="2"/>
  <c r="AK95" i="2"/>
  <c r="AU95" i="2"/>
  <c r="AY95" i="2"/>
  <c r="BC95" i="2"/>
  <c r="AH96" i="2"/>
  <c r="U10" i="7"/>
  <c r="Q10" i="7"/>
  <c r="AZ96" i="2"/>
  <c r="BD96" i="2"/>
  <c r="AI97" i="2"/>
  <c r="BA97" i="2"/>
  <c r="E27" i="7"/>
  <c r="T27" i="7" s="1"/>
  <c r="AT98" i="2"/>
  <c r="AX98" i="2"/>
  <c r="BB98" i="2"/>
  <c r="AG99" i="2"/>
  <c r="AK99" i="2"/>
  <c r="AU99" i="2"/>
  <c r="AY99" i="2"/>
  <c r="BC99" i="2"/>
  <c r="AH100" i="2"/>
  <c r="U14" i="7"/>
  <c r="Q14" i="7"/>
  <c r="AZ100" i="2"/>
  <c r="BD100" i="2"/>
  <c r="AI101" i="2"/>
  <c r="BA101" i="2"/>
  <c r="E31" i="7"/>
  <c r="T31" i="7" s="1"/>
  <c r="AT102" i="2"/>
  <c r="AX102" i="2"/>
  <c r="BB102" i="2"/>
  <c r="AG103" i="2"/>
  <c r="AK103" i="2"/>
  <c r="AU103" i="2"/>
  <c r="AY103" i="2"/>
  <c r="BC103" i="2"/>
  <c r="AH104" i="2"/>
  <c r="Q18" i="7"/>
  <c r="U18" i="7"/>
  <c r="AZ104" i="2"/>
  <c r="BD104" i="2"/>
  <c r="AI105" i="2"/>
  <c r="BA105" i="2"/>
  <c r="AJ106" i="2"/>
  <c r="AT106" i="2"/>
  <c r="AX106" i="2"/>
  <c r="BB106" i="2"/>
  <c r="AG107" i="2"/>
  <c r="AK107" i="2"/>
  <c r="G6" i="7"/>
  <c r="V6" i="7" s="1"/>
  <c r="G21" i="7"/>
  <c r="V21" i="7" s="1"/>
  <c r="AU107" i="2"/>
  <c r="AY107" i="2"/>
  <c r="BC107" i="2"/>
  <c r="D108" i="2"/>
  <c r="D108" i="1" s="1"/>
  <c r="AL108" i="2"/>
  <c r="Q22" i="7"/>
  <c r="AZ108" i="2"/>
  <c r="BD108" i="2"/>
  <c r="AI109" i="2"/>
  <c r="BA109" i="2"/>
  <c r="AJ110" i="2"/>
  <c r="E9" i="7"/>
  <c r="T9" i="7" s="1"/>
  <c r="AT110" i="2"/>
  <c r="AX110" i="2"/>
  <c r="BB110" i="2"/>
  <c r="AG111" i="2"/>
  <c r="AK111" i="2"/>
  <c r="AU111" i="2"/>
  <c r="AY111" i="2"/>
  <c r="BC111" i="2"/>
  <c r="AL112" i="2"/>
  <c r="Q26" i="7"/>
  <c r="U26" i="7"/>
  <c r="AZ112" i="2"/>
  <c r="BD112" i="2"/>
  <c r="AI113" i="2"/>
  <c r="BA113" i="2"/>
  <c r="T28" i="7"/>
  <c r="AJ114" i="2"/>
  <c r="E13" i="7"/>
  <c r="T13" i="7" s="1"/>
  <c r="AT114" i="2"/>
  <c r="AX114" i="2"/>
  <c r="BB114" i="2"/>
  <c r="AG115" i="2"/>
  <c r="AK115" i="2"/>
  <c r="AU115" i="2"/>
  <c r="AY115" i="2"/>
  <c r="BC115" i="2"/>
  <c r="AL116" i="2"/>
  <c r="Q30" i="7"/>
  <c r="U30" i="7"/>
  <c r="AZ116" i="2"/>
  <c r="BD116" i="2"/>
  <c r="AI117" i="2"/>
  <c r="AJ118" i="2"/>
  <c r="E17" i="7"/>
  <c r="T17" i="7" s="1"/>
  <c r="AT118" i="2"/>
  <c r="AX118" i="2"/>
  <c r="BB118" i="2"/>
  <c r="AG119" i="2"/>
  <c r="AK119" i="2"/>
  <c r="AU119" i="2"/>
  <c r="AY119" i="2"/>
  <c r="BC119" i="2"/>
  <c r="AH120" i="2"/>
  <c r="U34" i="7"/>
  <c r="Q34" i="7"/>
  <c r="AZ120" i="2"/>
  <c r="BD120" i="2"/>
  <c r="AI121" i="2"/>
  <c r="BA121" i="2"/>
  <c r="AJ122" i="2"/>
  <c r="E36" i="7"/>
  <c r="T36" i="7" s="1"/>
  <c r="AT122" i="2"/>
  <c r="AX122" i="2"/>
  <c r="BB122" i="2"/>
  <c r="AG123" i="2"/>
  <c r="AK123" i="2"/>
  <c r="G37" i="7"/>
  <c r="E37" i="7" s="1"/>
  <c r="T37" i="7" s="1"/>
  <c r="BA123" i="2"/>
  <c r="AU123" i="2"/>
  <c r="AI124" i="2"/>
  <c r="AU124" i="2"/>
  <c r="AZ124" i="2"/>
  <c r="BI124" i="2"/>
  <c r="BJ124" i="2" s="1"/>
  <c r="AT125" i="2"/>
  <c r="AX125" i="2"/>
  <c r="BF125" i="2"/>
  <c r="AK126" i="2"/>
  <c r="AG126" i="2"/>
  <c r="BG127" i="2"/>
  <c r="AU127" i="2"/>
  <c r="AI128" i="2"/>
  <c r="AK128" i="2"/>
  <c r="AU128" i="2"/>
  <c r="AU129" i="2"/>
  <c r="AZ129" i="2"/>
  <c r="AK130" i="2"/>
  <c r="AG130" i="2"/>
  <c r="BG131" i="2"/>
  <c r="AU131" i="2"/>
  <c r="AI132" i="2"/>
  <c r="AK132" i="2"/>
  <c r="AU132" i="2"/>
  <c r="AU133" i="2"/>
  <c r="AZ133" i="2"/>
  <c r="AK134" i="2"/>
  <c r="AG134" i="2"/>
  <c r="AZ134" i="2"/>
  <c r="AG135" i="2"/>
  <c r="AZ136" i="2"/>
  <c r="BF137" i="2"/>
  <c r="BG137" i="2"/>
  <c r="AH138" i="2"/>
  <c r="AK138" i="2"/>
  <c r="AG138" i="2"/>
  <c r="BF138" i="2"/>
  <c r="AT138" i="2"/>
  <c r="BG139" i="2"/>
  <c r="AU139" i="2"/>
  <c r="AX140" i="2"/>
  <c r="AT140" i="2"/>
  <c r="BC140" i="2"/>
  <c r="AL141" i="2"/>
  <c r="AX141" i="2"/>
  <c r="AT141" i="2"/>
  <c r="AZ141" i="2"/>
  <c r="D142" i="2"/>
  <c r="D142" i="1" s="1"/>
  <c r="AZ142" i="2"/>
  <c r="AG143" i="2"/>
  <c r="BF143" i="2"/>
  <c r="AZ144" i="2"/>
  <c r="BF145" i="2"/>
  <c r="AH146" i="2"/>
  <c r="AK146" i="2"/>
  <c r="AG146" i="2"/>
  <c r="BF146" i="2"/>
  <c r="AT146" i="2"/>
  <c r="BG147" i="2"/>
  <c r="AU147" i="2"/>
  <c r="AL148" i="2"/>
  <c r="AH150" i="2"/>
  <c r="AG150" i="2"/>
  <c r="AY150" i="2"/>
  <c r="AU150" i="2"/>
  <c r="BD150" i="2"/>
  <c r="D154" i="2"/>
  <c r="D154" i="1" s="1"/>
  <c r="AZ154" i="2"/>
  <c r="AX155" i="2"/>
  <c r="AT155" i="2"/>
  <c r="BC155" i="2"/>
  <c r="AL156" i="2"/>
  <c r="AJ156" i="2"/>
  <c r="AJ157" i="2"/>
  <c r="AX159" i="2"/>
  <c r="AT159" i="2"/>
  <c r="BC159" i="2"/>
  <c r="AL160" i="2"/>
  <c r="AJ160" i="2"/>
  <c r="AJ161" i="2"/>
  <c r="AJ162" i="2"/>
  <c r="AL162" i="2"/>
  <c r="AI167" i="2"/>
  <c r="AH167" i="2"/>
  <c r="AK167" i="2"/>
  <c r="AG167" i="2"/>
  <c r="BF167" i="2"/>
  <c r="BE167" i="2" s="1"/>
  <c r="AT167" i="2"/>
  <c r="AH168" i="2"/>
  <c r="AG168" i="2"/>
  <c r="AY168" i="2"/>
  <c r="AU168" i="2"/>
  <c r="BD168" i="2"/>
  <c r="BG168" i="2"/>
  <c r="BH168" i="2" s="1"/>
  <c r="AZ169" i="2"/>
  <c r="AJ169" i="2"/>
  <c r="D170" i="2"/>
  <c r="D170" i="1" s="1"/>
  <c r="BG170" i="2"/>
  <c r="BH170" i="2" s="1"/>
  <c r="D172" i="2"/>
  <c r="D172" i="1" s="1"/>
  <c r="AZ172" i="2"/>
  <c r="D173" i="2"/>
  <c r="D173" i="1" s="1"/>
  <c r="AX173" i="2"/>
  <c r="AT173" i="2"/>
  <c r="BC173" i="2"/>
  <c r="BF177" i="2"/>
  <c r="BE177" i="2" s="1"/>
  <c r="AJ178" i="2"/>
  <c r="AL178" i="2"/>
  <c r="AI183" i="2"/>
  <c r="AH183" i="2"/>
  <c r="AK183" i="2"/>
  <c r="AG183" i="2"/>
  <c r="BF183" i="2"/>
  <c r="BE183" i="2" s="1"/>
  <c r="AT183" i="2"/>
  <c r="AH184" i="2"/>
  <c r="AG184" i="2"/>
  <c r="AY184" i="2"/>
  <c r="AU184" i="2"/>
  <c r="BD184" i="2"/>
  <c r="BG184" i="2"/>
  <c r="BH184" i="2" s="1"/>
  <c r="AZ185" i="2"/>
  <c r="AI186" i="2"/>
  <c r="AH186" i="2"/>
  <c r="AK186" i="2"/>
  <c r="AG186" i="2"/>
  <c r="AZ187" i="2"/>
  <c r="AZ188" i="2"/>
  <c r="AZ189" i="2"/>
  <c r="AZ192" i="2"/>
  <c r="D193" i="2"/>
  <c r="D193" i="1" s="1"/>
  <c r="AZ193" i="2"/>
  <c r="D195" i="2"/>
  <c r="D195" i="1" s="1"/>
  <c r="D196" i="2"/>
  <c r="D196" i="1" s="1"/>
  <c r="AL197" i="2"/>
  <c r="AJ197" i="2"/>
  <c r="D201" i="2"/>
  <c r="D201" i="1" s="1"/>
  <c r="D208" i="2"/>
  <c r="D208" i="1" s="1"/>
  <c r="D209" i="2"/>
  <c r="D209" i="1" s="1"/>
  <c r="AF81" i="2"/>
  <c r="AU82" i="2"/>
  <c r="AT85" i="2"/>
  <c r="AU86" i="2"/>
  <c r="AT89" i="2"/>
  <c r="AU90" i="2"/>
  <c r="R6" i="7"/>
  <c r="T7" i="7"/>
  <c r="P7" i="7"/>
  <c r="AT93" i="2"/>
  <c r="AX93" i="2"/>
  <c r="J49" i="7"/>
  <c r="G23" i="7"/>
  <c r="E23" i="7" s="1"/>
  <c r="T23" i="7" s="1"/>
  <c r="J20" i="4"/>
  <c r="AA20" i="4" s="1"/>
  <c r="AA23" i="4" s="1"/>
  <c r="E20" i="4"/>
  <c r="V20" i="4" s="1"/>
  <c r="V23" i="4" s="1"/>
  <c r="V25" i="4" s="1"/>
  <c r="AU94" i="2"/>
  <c r="AY94" i="2"/>
  <c r="D95" i="2"/>
  <c r="D95" i="1" s="1"/>
  <c r="AH95" i="2"/>
  <c r="U9" i="7"/>
  <c r="Q9" i="7"/>
  <c r="AZ95" i="2"/>
  <c r="BA96" i="2"/>
  <c r="P11" i="7"/>
  <c r="AT97" i="2"/>
  <c r="AX97" i="2"/>
  <c r="BB97" i="2"/>
  <c r="AU98" i="2"/>
  <c r="AY98" i="2"/>
  <c r="D99" i="2"/>
  <c r="D99" i="1" s="1"/>
  <c r="AH99" i="2"/>
  <c r="U13" i="7"/>
  <c r="Q13" i="7"/>
  <c r="AZ99" i="2"/>
  <c r="BA100" i="2"/>
  <c r="AT101" i="2"/>
  <c r="AX101" i="2"/>
  <c r="BB101" i="2"/>
  <c r="AU102" i="2"/>
  <c r="AY102" i="2"/>
  <c r="D103" i="2"/>
  <c r="D103" i="1" s="1"/>
  <c r="AH103" i="2"/>
  <c r="U17" i="7"/>
  <c r="Q17" i="7"/>
  <c r="AZ103" i="2"/>
  <c r="BA104" i="2"/>
  <c r="AT105" i="2"/>
  <c r="AX105" i="2"/>
  <c r="BB105" i="2"/>
  <c r="E49" i="7"/>
  <c r="G20" i="7"/>
  <c r="AU106" i="2"/>
  <c r="AY106" i="2"/>
  <c r="D107" i="2"/>
  <c r="D107" i="1" s="1"/>
  <c r="AH107" i="2"/>
  <c r="Q21" i="7"/>
  <c r="AZ107" i="2"/>
  <c r="BA108" i="2"/>
  <c r="F39" i="7"/>
  <c r="E8" i="7"/>
  <c r="AT109" i="2"/>
  <c r="AX109" i="2"/>
  <c r="BB109" i="2"/>
  <c r="AU110" i="2"/>
  <c r="AY110" i="2"/>
  <c r="D111" i="2"/>
  <c r="D111" i="1" s="1"/>
  <c r="AH111" i="2"/>
  <c r="U25" i="7"/>
  <c r="Q25" i="7"/>
  <c r="AZ111" i="2"/>
  <c r="BA112" i="2"/>
  <c r="AT113" i="2"/>
  <c r="AX113" i="2"/>
  <c r="BB113" i="2"/>
  <c r="AU114" i="2"/>
  <c r="AY114" i="2"/>
  <c r="D115" i="2"/>
  <c r="D115" i="1" s="1"/>
  <c r="AH115" i="2"/>
  <c r="U29" i="7"/>
  <c r="Q29" i="7"/>
  <c r="AZ115" i="2"/>
  <c r="BA116" i="2"/>
  <c r="AT117" i="2"/>
  <c r="AX117" i="2"/>
  <c r="BB117" i="2"/>
  <c r="AU118" i="2"/>
  <c r="AY118" i="2"/>
  <c r="D119" i="2"/>
  <c r="D119" i="1" s="1"/>
  <c r="AH119" i="2"/>
  <c r="U33" i="7"/>
  <c r="Q33" i="7"/>
  <c r="AZ119" i="2"/>
  <c r="BA120" i="2"/>
  <c r="AT121" i="2"/>
  <c r="AX121" i="2"/>
  <c r="BB121" i="2"/>
  <c r="AU122" i="2"/>
  <c r="AY122" i="2"/>
  <c r="AH123" i="2"/>
  <c r="AZ123" i="2"/>
  <c r="V5" i="8"/>
  <c r="U21" i="8" s="1"/>
  <c r="E50" i="4"/>
  <c r="V50" i="4" s="1"/>
  <c r="J50" i="4"/>
  <c r="AA50" i="4" s="1"/>
  <c r="K51" i="4"/>
  <c r="AB51" i="4" s="1"/>
  <c r="K52" i="4"/>
  <c r="AB52" i="4" s="1"/>
  <c r="F52" i="4"/>
  <c r="W52" i="4" s="1"/>
  <c r="Z52" i="4" s="1"/>
  <c r="F48" i="4"/>
  <c r="I48" i="4" s="1"/>
  <c r="K48" i="4"/>
  <c r="F51" i="4"/>
  <c r="BC124" i="2"/>
  <c r="AK125" i="2"/>
  <c r="AU125" i="2"/>
  <c r="AY126" i="2"/>
  <c r="AU126" i="2"/>
  <c r="BG126" i="2"/>
  <c r="AK127" i="2"/>
  <c r="AZ128" i="2"/>
  <c r="AY130" i="2"/>
  <c r="AU130" i="2"/>
  <c r="BG130" i="2"/>
  <c r="AK131" i="2"/>
  <c r="AZ132" i="2"/>
  <c r="AY134" i="2"/>
  <c r="AU134" i="2"/>
  <c r="D135" i="2"/>
  <c r="D135" i="1" s="1"/>
  <c r="BI125" i="2"/>
  <c r="BJ125" i="2" s="1"/>
  <c r="AT135" i="2"/>
  <c r="BF136" i="2"/>
  <c r="D137" i="2"/>
  <c r="D137" i="1" s="1"/>
  <c r="AI138" i="2"/>
  <c r="BG138" i="2"/>
  <c r="BD138" i="2"/>
  <c r="AI139" i="2"/>
  <c r="AH139" i="2"/>
  <c r="D140" i="2"/>
  <c r="D140" i="1" s="1"/>
  <c r="AY141" i="2"/>
  <c r="AU141" i="2"/>
  <c r="BD141" i="2"/>
  <c r="AY142" i="2"/>
  <c r="AU142" i="2"/>
  <c r="D143" i="2"/>
  <c r="D143" i="1" s="1"/>
  <c r="D145" i="2"/>
  <c r="D145" i="1" s="1"/>
  <c r="AI146" i="2"/>
  <c r="BG146" i="2"/>
  <c r="BD146" i="2"/>
  <c r="AI147" i="2"/>
  <c r="AH147" i="2"/>
  <c r="D148" i="2"/>
  <c r="D148" i="1" s="1"/>
  <c r="AI149" i="2"/>
  <c r="AH149" i="2"/>
  <c r="AK149" i="2"/>
  <c r="AG149" i="2"/>
  <c r="AH154" i="2"/>
  <c r="AG154" i="2"/>
  <c r="AY154" i="2"/>
  <c r="AU154" i="2"/>
  <c r="BD154" i="2"/>
  <c r="BF165" i="2"/>
  <c r="BE165" i="2" s="1"/>
  <c r="AJ166" i="2"/>
  <c r="AL166" i="2"/>
  <c r="AI171" i="2"/>
  <c r="AH171" i="2"/>
  <c r="AK171" i="2"/>
  <c r="AG171" i="2"/>
  <c r="BF171" i="2"/>
  <c r="BE171" i="2" s="1"/>
  <c r="AT171" i="2"/>
  <c r="AH172" i="2"/>
  <c r="AG172" i="2"/>
  <c r="AY172" i="2"/>
  <c r="AU172" i="2"/>
  <c r="BD172" i="2"/>
  <c r="BG172" i="2"/>
  <c r="BH172" i="2" s="1"/>
  <c r="AJ173" i="2"/>
  <c r="D174" i="2"/>
  <c r="D174" i="1" s="1"/>
  <c r="BG174" i="2"/>
  <c r="BH174" i="2" s="1"/>
  <c r="D176" i="2"/>
  <c r="D176" i="1" s="1"/>
  <c r="D177" i="2"/>
  <c r="D177" i="1" s="1"/>
  <c r="AX177" i="2"/>
  <c r="AT177" i="2"/>
  <c r="BC177" i="2"/>
  <c r="BF181" i="2"/>
  <c r="BE181" i="2" s="1"/>
  <c r="AJ182" i="2"/>
  <c r="AL182" i="2"/>
  <c r="E82" i="4"/>
  <c r="H82" i="4" s="1"/>
  <c r="AJ185" i="2"/>
  <c r="AH189" i="2"/>
  <c r="AG189" i="2"/>
  <c r="BF189" i="2"/>
  <c r="AY189" i="2"/>
  <c r="AU189" i="2"/>
  <c r="BD189" i="2"/>
  <c r="BE190" i="2"/>
  <c r="AX190" i="2"/>
  <c r="AT190" i="2"/>
  <c r="BC190" i="2"/>
  <c r="AH193" i="2"/>
  <c r="AG193" i="2"/>
  <c r="BF193" i="2"/>
  <c r="AY193" i="2"/>
  <c r="AU193" i="2"/>
  <c r="BD193" i="2"/>
  <c r="AI194" i="2"/>
  <c r="AH194" i="2"/>
  <c r="AK194" i="2"/>
  <c r="AG194" i="2"/>
  <c r="BE196" i="2"/>
  <c r="AX196" i="2"/>
  <c r="AT196" i="2"/>
  <c r="BC196" i="2"/>
  <c r="D199" i="2"/>
  <c r="D199" i="1" s="1"/>
  <c r="D212" i="2"/>
  <c r="D212" i="1" s="1"/>
  <c r="D213" i="2"/>
  <c r="D213" i="1" s="1"/>
  <c r="AZ200" i="2"/>
  <c r="AT202" i="2"/>
  <c r="AX202" i="2"/>
  <c r="BD202" i="2"/>
  <c r="AG203" i="2"/>
  <c r="AK203" i="2"/>
  <c r="AU203" i="2"/>
  <c r="AY203" i="2"/>
  <c r="BE203" i="2"/>
  <c r="AH204" i="2"/>
  <c r="BC205" i="2"/>
  <c r="AT206" i="2"/>
  <c r="AX206" i="2"/>
  <c r="BD206" i="2"/>
  <c r="AG207" i="2"/>
  <c r="AK207" i="2"/>
  <c r="AU207" i="2"/>
  <c r="AY207" i="2"/>
  <c r="BE207" i="2"/>
  <c r="AH208" i="2"/>
  <c r="BC209" i="2"/>
  <c r="AT210" i="2"/>
  <c r="AX210" i="2"/>
  <c r="BD210" i="2"/>
  <c r="AG211" i="2"/>
  <c r="AK211" i="2"/>
  <c r="AU211" i="2"/>
  <c r="AY211" i="2"/>
  <c r="BE211" i="2"/>
  <c r="AH212" i="2"/>
  <c r="BC213" i="2"/>
  <c r="AT214" i="2"/>
  <c r="AX214" i="2"/>
  <c r="BD214" i="2"/>
  <c r="AG215" i="2"/>
  <c r="AK215" i="2"/>
  <c r="AU215" i="2"/>
  <c r="D216" i="2"/>
  <c r="D216" i="1" s="1"/>
  <c r="AH216" i="2"/>
  <c r="AT218" i="2"/>
  <c r="AX218" i="2"/>
  <c r="AG219" i="2"/>
  <c r="AK219" i="2"/>
  <c r="AU219" i="2"/>
  <c r="AH220" i="2"/>
  <c r="AT222" i="2"/>
  <c r="AX222" i="2"/>
  <c r="AG223" i="2"/>
  <c r="AK223" i="2"/>
  <c r="AU223" i="2"/>
  <c r="AH224" i="2"/>
  <c r="AT226" i="2"/>
  <c r="AX226" i="2"/>
  <c r="AG227" i="2"/>
  <c r="AK227" i="2"/>
  <c r="AU227" i="2"/>
  <c r="AH228" i="2"/>
  <c r="AT230" i="2"/>
  <c r="AX230" i="2"/>
  <c r="AG231" i="2"/>
  <c r="AK231" i="2"/>
  <c r="AU231" i="2"/>
  <c r="AH232" i="2"/>
  <c r="D234" i="2"/>
  <c r="D234" i="1" s="1"/>
  <c r="AT234" i="2"/>
  <c r="AZ234" i="2"/>
  <c r="AH235" i="2"/>
  <c r="AK235" i="2"/>
  <c r="AZ235" i="2"/>
  <c r="AI236" i="2"/>
  <c r="AK236" i="2"/>
  <c r="D238" i="2"/>
  <c r="D238" i="1" s="1"/>
  <c r="AT238" i="2"/>
  <c r="AZ238" i="2"/>
  <c r="AH239" i="2"/>
  <c r="AK239" i="2"/>
  <c r="AZ239" i="2"/>
  <c r="AL242" i="2"/>
  <c r="AX242" i="2"/>
  <c r="AT242" i="2"/>
  <c r="AZ242" i="2"/>
  <c r="AH243" i="2"/>
  <c r="AK243" i="2"/>
  <c r="AG243" i="2"/>
  <c r="AX245" i="2"/>
  <c r="AT245" i="2"/>
  <c r="AJ247" i="2"/>
  <c r="AZ247" i="2"/>
  <c r="AL250" i="2"/>
  <c r="AX250" i="2"/>
  <c r="AT250" i="2"/>
  <c r="AZ250" i="2"/>
  <c r="AH251" i="2"/>
  <c r="AK251" i="2"/>
  <c r="AG251" i="2"/>
  <c r="AX253" i="2"/>
  <c r="AT253" i="2"/>
  <c r="AL255" i="2"/>
  <c r="AJ255" i="2"/>
  <c r="D262" i="2"/>
  <c r="D262" i="1" s="1"/>
  <c r="AY263" i="2"/>
  <c r="AU263" i="2"/>
  <c r="AY268" i="2"/>
  <c r="AU268" i="2"/>
  <c r="D303" i="2"/>
  <c r="D303" i="1" s="1"/>
  <c r="D282" i="2"/>
  <c r="D282" i="1" s="1"/>
  <c r="D283" i="2"/>
  <c r="D283" i="1" s="1"/>
  <c r="AX287" i="2"/>
  <c r="AT287" i="2"/>
  <c r="AZ287" i="2"/>
  <c r="AH288" i="2"/>
  <c r="AK288" i="2"/>
  <c r="AG288" i="2"/>
  <c r="AI288" i="2"/>
  <c r="AZ148" i="2"/>
  <c r="AU149" i="2"/>
  <c r="AT150" i="2"/>
  <c r="AX150" i="2"/>
  <c r="AI151" i="2"/>
  <c r="AU153" i="2"/>
  <c r="AJ154" i="2"/>
  <c r="AT154" i="2"/>
  <c r="AX154" i="2"/>
  <c r="AI155" i="2"/>
  <c r="G64" i="4"/>
  <c r="G67" i="4" s="1"/>
  <c r="F64" i="4"/>
  <c r="W64" i="4" s="1"/>
  <c r="AT156" i="2"/>
  <c r="AX156" i="2"/>
  <c r="AU157" i="2"/>
  <c r="AL158" i="2"/>
  <c r="BF158" i="2"/>
  <c r="BE158" i="2" s="1"/>
  <c r="BI158" i="2" s="1"/>
  <c r="AI159" i="2"/>
  <c r="BG159" i="2"/>
  <c r="BH159" i="2" s="1"/>
  <c r="BJ159" i="2" s="1"/>
  <c r="AT160" i="2"/>
  <c r="AX160" i="2"/>
  <c r="AU161" i="2"/>
  <c r="BF162" i="2"/>
  <c r="BE162" i="2" s="1"/>
  <c r="AU163" i="2"/>
  <c r="AT164" i="2"/>
  <c r="AX164" i="2"/>
  <c r="AI165" i="2"/>
  <c r="BG165" i="2"/>
  <c r="BH165" i="2" s="1"/>
  <c r="BF166" i="2"/>
  <c r="BE166" i="2" s="1"/>
  <c r="AU167" i="2"/>
  <c r="AT168" i="2"/>
  <c r="AX168" i="2"/>
  <c r="AI169" i="2"/>
  <c r="BG169" i="2"/>
  <c r="BH169" i="2" s="1"/>
  <c r="BF170" i="2"/>
  <c r="BE170" i="2" s="1"/>
  <c r="AU171" i="2"/>
  <c r="AT172" i="2"/>
  <c r="AX172" i="2"/>
  <c r="AI173" i="2"/>
  <c r="BG173" i="2"/>
  <c r="BH173" i="2" s="1"/>
  <c r="BF174" i="2"/>
  <c r="BE174" i="2" s="1"/>
  <c r="AU175" i="2"/>
  <c r="AT176" i="2"/>
  <c r="AX176" i="2"/>
  <c r="AI177" i="2"/>
  <c r="BG177" i="2"/>
  <c r="BH177" i="2" s="1"/>
  <c r="BF178" i="2"/>
  <c r="BE178" i="2" s="1"/>
  <c r="AU179" i="2"/>
  <c r="AT180" i="2"/>
  <c r="AX180" i="2"/>
  <c r="AI181" i="2"/>
  <c r="BG181" i="2"/>
  <c r="BH181" i="2" s="1"/>
  <c r="BF182" i="2"/>
  <c r="BE182" i="2" s="1"/>
  <c r="AU183" i="2"/>
  <c r="AJ184" i="2"/>
  <c r="AT184" i="2"/>
  <c r="AX184" i="2"/>
  <c r="AI185" i="2"/>
  <c r="G78" i="4"/>
  <c r="G81" i="4" s="1"/>
  <c r="E78" i="4"/>
  <c r="E81" i="4" s="1"/>
  <c r="AU186" i="2"/>
  <c r="BE186" i="2"/>
  <c r="BL186" i="2"/>
  <c r="AI187" i="2"/>
  <c r="AI188" i="2"/>
  <c r="AT189" i="2"/>
  <c r="AX189" i="2"/>
  <c r="BJ189" i="2"/>
  <c r="AI190" i="2"/>
  <c r="AL191" i="2"/>
  <c r="BF191" i="2"/>
  <c r="AI192" i="2"/>
  <c r="AT193" i="2"/>
  <c r="AX193" i="2"/>
  <c r="AU194" i="2"/>
  <c r="BE194" i="2"/>
  <c r="AL195" i="2"/>
  <c r="BF195" i="2"/>
  <c r="AI196" i="2"/>
  <c r="AT197" i="2"/>
  <c r="AX197" i="2"/>
  <c r="AU198" i="2"/>
  <c r="BE198" i="2"/>
  <c r="AL199" i="2"/>
  <c r="BF199" i="2"/>
  <c r="AI200" i="2"/>
  <c r="BC200" i="2"/>
  <c r="AJ201" i="2"/>
  <c r="AT201" i="2"/>
  <c r="AX201" i="2"/>
  <c r="BD201" i="2"/>
  <c r="AG202" i="2"/>
  <c r="AK202" i="2"/>
  <c r="AU202" i="2"/>
  <c r="BE202" i="2"/>
  <c r="D203" i="2"/>
  <c r="D203" i="1" s="1"/>
  <c r="AL203" i="2"/>
  <c r="BF203" i="2"/>
  <c r="AI204" i="2"/>
  <c r="AT205" i="2"/>
  <c r="AX205" i="2"/>
  <c r="AU206" i="2"/>
  <c r="BE206" i="2"/>
  <c r="D207" i="2"/>
  <c r="D207" i="1" s="1"/>
  <c r="AL207" i="2"/>
  <c r="BF207" i="2"/>
  <c r="AI208" i="2"/>
  <c r="AT209" i="2"/>
  <c r="AX209" i="2"/>
  <c r="AU210" i="2"/>
  <c r="BE210" i="2"/>
  <c r="D211" i="2"/>
  <c r="D211" i="1" s="1"/>
  <c r="AL211" i="2"/>
  <c r="BF211" i="2"/>
  <c r="AI212" i="2"/>
  <c r="AT213" i="2"/>
  <c r="AX213" i="2"/>
  <c r="AU214" i="2"/>
  <c r="BE214" i="2"/>
  <c r="D215" i="2"/>
  <c r="D215" i="1" s="1"/>
  <c r="AL215" i="2"/>
  <c r="AI216" i="2"/>
  <c r="AT217" i="2"/>
  <c r="AX217" i="2"/>
  <c r="AU218" i="2"/>
  <c r="D219" i="2"/>
  <c r="D219" i="1" s="1"/>
  <c r="AL219" i="2"/>
  <c r="AI220" i="2"/>
  <c r="AT221" i="2"/>
  <c r="AX221" i="2"/>
  <c r="AU222" i="2"/>
  <c r="D223" i="2"/>
  <c r="D223" i="1" s="1"/>
  <c r="AL223" i="2"/>
  <c r="AI224" i="2"/>
  <c r="AX225" i="2"/>
  <c r="AU226" i="2"/>
  <c r="D227" i="2"/>
  <c r="D227" i="1" s="1"/>
  <c r="AL227" i="2"/>
  <c r="AI228" i="2"/>
  <c r="AT229" i="2"/>
  <c r="AX229" i="2"/>
  <c r="AU230" i="2"/>
  <c r="D231" i="2"/>
  <c r="D231" i="1" s="1"/>
  <c r="AL231" i="2"/>
  <c r="AI232" i="2"/>
  <c r="AJ233" i="2"/>
  <c r="AY239" i="2"/>
  <c r="AU239" i="2"/>
  <c r="AH240" i="2"/>
  <c r="AY242" i="2"/>
  <c r="AU242" i="2"/>
  <c r="D244" i="2"/>
  <c r="D244" i="1" s="1"/>
  <c r="D245" i="2"/>
  <c r="D245" i="1" s="1"/>
  <c r="D246" i="2"/>
  <c r="D246" i="1" s="1"/>
  <c r="AY247" i="2"/>
  <c r="AU247" i="2"/>
  <c r="AI248" i="2"/>
  <c r="AH248" i="2"/>
  <c r="AY250" i="2"/>
  <c r="AU250" i="2"/>
  <c r="D252" i="2"/>
  <c r="D252" i="1" s="1"/>
  <c r="D253" i="2"/>
  <c r="D253" i="1" s="1"/>
  <c r="D254" i="2"/>
  <c r="D254" i="1" s="1"/>
  <c r="AX258" i="2"/>
  <c r="AT258" i="2"/>
  <c r="AZ258" i="2"/>
  <c r="D259" i="2"/>
  <c r="D259" i="1" s="1"/>
  <c r="D274" i="2"/>
  <c r="D274" i="1" s="1"/>
  <c r="D275" i="2"/>
  <c r="D275" i="1" s="1"/>
  <c r="AX278" i="2"/>
  <c r="AT278" i="2"/>
  <c r="AZ278" i="2"/>
  <c r="AL279" i="2"/>
  <c r="AX279" i="2"/>
  <c r="AT279" i="2"/>
  <c r="AZ279" i="2"/>
  <c r="AH280" i="2"/>
  <c r="AK280" i="2"/>
  <c r="AG280" i="2"/>
  <c r="D281" i="2"/>
  <c r="D281" i="1" s="1"/>
  <c r="AJ280" i="2"/>
  <c r="AG283" i="2"/>
  <c r="AH283" i="2"/>
  <c r="AZ284" i="2"/>
  <c r="D290" i="2"/>
  <c r="D290" i="1" s="1"/>
  <c r="AX295" i="2"/>
  <c r="AT295" i="2"/>
  <c r="AZ295" i="2"/>
  <c r="AH296" i="2"/>
  <c r="AK296" i="2"/>
  <c r="AG296" i="2"/>
  <c r="AI296" i="2"/>
  <c r="E54" i="4"/>
  <c r="U5" i="8"/>
  <c r="T21" i="8" s="1"/>
  <c r="AZ135" i="2"/>
  <c r="AZ139" i="2"/>
  <c r="AZ143" i="2"/>
  <c r="AZ147" i="2"/>
  <c r="BC148" i="2"/>
  <c r="AZ149" i="2"/>
  <c r="AZ153" i="2"/>
  <c r="E68" i="4"/>
  <c r="U12" i="8"/>
  <c r="T28" i="8" s="1"/>
  <c r="D157" i="2"/>
  <c r="D157" i="1" s="1"/>
  <c r="AZ157" i="2"/>
  <c r="D161" i="2"/>
  <c r="D161" i="1" s="1"/>
  <c r="AZ161" i="2"/>
  <c r="D163" i="2"/>
  <c r="D163" i="1" s="1"/>
  <c r="AZ163" i="2"/>
  <c r="D167" i="2"/>
  <c r="D167" i="1" s="1"/>
  <c r="AZ167" i="2"/>
  <c r="D171" i="2"/>
  <c r="D171" i="1" s="1"/>
  <c r="AZ171" i="2"/>
  <c r="D175" i="2"/>
  <c r="D175" i="1" s="1"/>
  <c r="AZ175" i="2"/>
  <c r="D179" i="2"/>
  <c r="D179" i="1" s="1"/>
  <c r="AZ179" i="2"/>
  <c r="AZ183" i="2"/>
  <c r="AZ186" i="2"/>
  <c r="D194" i="2"/>
  <c r="D194" i="1" s="1"/>
  <c r="AZ194" i="2"/>
  <c r="D198" i="2"/>
  <c r="D198" i="1" s="1"/>
  <c r="AZ198" i="2"/>
  <c r="AT200" i="2"/>
  <c r="AX200" i="2"/>
  <c r="AG201" i="2"/>
  <c r="AU201" i="2"/>
  <c r="AY201" i="2"/>
  <c r="D202" i="2"/>
  <c r="D202" i="1" s="1"/>
  <c r="AH202" i="2"/>
  <c r="AZ202" i="2"/>
  <c r="AT204" i="2"/>
  <c r="AU205" i="2"/>
  <c r="D206" i="2"/>
  <c r="D206" i="1" s="1"/>
  <c r="AZ206" i="2"/>
  <c r="AT208" i="2"/>
  <c r="AU209" i="2"/>
  <c r="D210" i="2"/>
  <c r="D210" i="1" s="1"/>
  <c r="AZ210" i="2"/>
  <c r="AT212" i="2"/>
  <c r="AU213" i="2"/>
  <c r="AZ214" i="2"/>
  <c r="D218" i="2"/>
  <c r="D218" i="1" s="1"/>
  <c r="D222" i="2"/>
  <c r="D222" i="1" s="1"/>
  <c r="D226" i="2"/>
  <c r="D226" i="1" s="1"/>
  <c r="D230" i="2"/>
  <c r="D230" i="1" s="1"/>
  <c r="AK234" i="2"/>
  <c r="AG234" i="2"/>
  <c r="D235" i="2"/>
  <c r="D235" i="1" s="1"/>
  <c r="D236" i="2"/>
  <c r="D236" i="1" s="1"/>
  <c r="AK238" i="2"/>
  <c r="AG238" i="2"/>
  <c r="D239" i="2"/>
  <c r="D239" i="1" s="1"/>
  <c r="AX241" i="2"/>
  <c r="AT241" i="2"/>
  <c r="D243" i="2"/>
  <c r="D243" i="1" s="1"/>
  <c r="AX246" i="2"/>
  <c r="AT246" i="2"/>
  <c r="AZ246" i="2"/>
  <c r="AH247" i="2"/>
  <c r="AK247" i="2"/>
  <c r="AG247" i="2"/>
  <c r="AX249" i="2"/>
  <c r="AT249" i="2"/>
  <c r="D251" i="2"/>
  <c r="D251" i="1" s="1"/>
  <c r="D255" i="2"/>
  <c r="D255" i="1" s="1"/>
  <c r="D258" i="2"/>
  <c r="D258" i="1" s="1"/>
  <c r="AI261" i="2"/>
  <c r="AH261" i="2"/>
  <c r="AG261" i="2"/>
  <c r="D266" i="2"/>
  <c r="D266" i="1" s="1"/>
  <c r="AX270" i="2"/>
  <c r="AT270" i="2"/>
  <c r="AZ270" i="2"/>
  <c r="AX271" i="2"/>
  <c r="AT271" i="2"/>
  <c r="AZ271" i="2"/>
  <c r="AH272" i="2"/>
  <c r="AK272" i="2"/>
  <c r="AG272" i="2"/>
  <c r="D273" i="2"/>
  <c r="D273" i="1" s="1"/>
  <c r="AJ272" i="2"/>
  <c r="AG275" i="2"/>
  <c r="AH275" i="2"/>
  <c r="AI277" i="2"/>
  <c r="AH277" i="2"/>
  <c r="AG277" i="2"/>
  <c r="AJ277" i="2"/>
  <c r="D287" i="2"/>
  <c r="D287" i="1" s="1"/>
  <c r="D279" i="2"/>
  <c r="D279" i="1" s="1"/>
  <c r="D278" i="2"/>
  <c r="D278" i="1" s="1"/>
  <c r="D307" i="2"/>
  <c r="D307" i="1" s="1"/>
  <c r="D298" i="2"/>
  <c r="D298" i="1" s="1"/>
  <c r="AY279" i="2"/>
  <c r="AU279" i="2"/>
  <c r="AY284" i="2"/>
  <c r="AU284" i="2"/>
  <c r="AG137" i="2"/>
  <c r="AG141" i="2"/>
  <c r="AG145" i="2"/>
  <c r="AT148" i="2"/>
  <c r="AG151" i="2"/>
  <c r="AL154" i="2"/>
  <c r="AG155" i="2"/>
  <c r="V12" i="8"/>
  <c r="U28" i="8" s="1"/>
  <c r="J64" i="4"/>
  <c r="AA64" i="4" s="1"/>
  <c r="AA67" i="4" s="1"/>
  <c r="E64" i="4"/>
  <c r="V64" i="4" s="1"/>
  <c r="V67" i="4" s="1"/>
  <c r="AU155" i="2"/>
  <c r="BF156" i="2"/>
  <c r="BE156" i="2" s="1"/>
  <c r="BI156" i="2" s="1"/>
  <c r="BG157" i="2"/>
  <c r="BH157" i="2" s="1"/>
  <c r="BJ157" i="2" s="1"/>
  <c r="AG159" i="2"/>
  <c r="BF160" i="2"/>
  <c r="BE160" i="2" s="1"/>
  <c r="BI160" i="2" s="1"/>
  <c r="BG161" i="2"/>
  <c r="BH161" i="2" s="1"/>
  <c r="BJ161" i="2" s="1"/>
  <c r="BG163" i="2"/>
  <c r="BH163" i="2" s="1"/>
  <c r="BF164" i="2"/>
  <c r="BE164" i="2" s="1"/>
  <c r="AG165" i="2"/>
  <c r="BG167" i="2"/>
  <c r="BH167" i="2" s="1"/>
  <c r="BF168" i="2"/>
  <c r="BE168" i="2" s="1"/>
  <c r="AG169" i="2"/>
  <c r="BG171" i="2"/>
  <c r="BH171" i="2" s="1"/>
  <c r="BF172" i="2"/>
  <c r="BE172" i="2" s="1"/>
  <c r="AG173" i="2"/>
  <c r="BG175" i="2"/>
  <c r="BH175" i="2" s="1"/>
  <c r="BF176" i="2"/>
  <c r="BE176" i="2" s="1"/>
  <c r="AG177" i="2"/>
  <c r="BG179" i="2"/>
  <c r="BH179" i="2" s="1"/>
  <c r="BF180" i="2"/>
  <c r="BE180" i="2" s="1"/>
  <c r="AG181" i="2"/>
  <c r="BG183" i="2"/>
  <c r="BH183" i="2" s="1"/>
  <c r="BF184" i="2"/>
  <c r="BE184" i="2" s="1"/>
  <c r="AG185" i="2"/>
  <c r="J78" i="4"/>
  <c r="AA78" i="4" s="1"/>
  <c r="AU185" i="2"/>
  <c r="AG187" i="2"/>
  <c r="AG188" i="2"/>
  <c r="AG190" i="2"/>
  <c r="AG192" i="2"/>
  <c r="AG196" i="2"/>
  <c r="AG200" i="2"/>
  <c r="AG204" i="2"/>
  <c r="AG208" i="2"/>
  <c r="AG212" i="2"/>
  <c r="AG216" i="2"/>
  <c r="AG220" i="2"/>
  <c r="AG224" i="2"/>
  <c r="AG228" i="2"/>
  <c r="AG232" i="2"/>
  <c r="AX233" i="2"/>
  <c r="AT233" i="2"/>
  <c r="AH234" i="2"/>
  <c r="AY234" i="2"/>
  <c r="AU234" i="2"/>
  <c r="AL237" i="2"/>
  <c r="AX237" i="2"/>
  <c r="AT237" i="2"/>
  <c r="AH238" i="2"/>
  <c r="AY238" i="2"/>
  <c r="AU238" i="2"/>
  <c r="AJ239" i="2"/>
  <c r="D240" i="2"/>
  <c r="D240" i="1" s="1"/>
  <c r="AJ240" i="2"/>
  <c r="AY243" i="2"/>
  <c r="AU243" i="2"/>
  <c r="AI244" i="2"/>
  <c r="AH244" i="2"/>
  <c r="AY246" i="2"/>
  <c r="AU246" i="2"/>
  <c r="AI247" i="2"/>
  <c r="D248" i="2"/>
  <c r="D248" i="1" s="1"/>
  <c r="AJ248" i="2"/>
  <c r="D250" i="2"/>
  <c r="D250" i="1" s="1"/>
  <c r="AY251" i="2"/>
  <c r="AU251" i="2"/>
  <c r="AI252" i="2"/>
  <c r="AH252" i="2"/>
  <c r="AX254" i="2"/>
  <c r="AT254" i="2"/>
  <c r="AZ254" i="2"/>
  <c r="AY255" i="2"/>
  <c r="AU255" i="2"/>
  <c r="AZ255" i="2"/>
  <c r="AH256" i="2"/>
  <c r="AK256" i="2"/>
  <c r="AG256" i="2"/>
  <c r="D257" i="2"/>
  <c r="D257" i="1" s="1"/>
  <c r="AJ256" i="2"/>
  <c r="D260" i="2"/>
  <c r="D260" i="1" s="1"/>
  <c r="AY260" i="2"/>
  <c r="AU260" i="2"/>
  <c r="AK261" i="2"/>
  <c r="AX263" i="2"/>
  <c r="AT263" i="2"/>
  <c r="AZ263" i="2"/>
  <c r="AH264" i="2"/>
  <c r="AK264" i="2"/>
  <c r="AG264" i="2"/>
  <c r="D265" i="2"/>
  <c r="D265" i="1" s="1"/>
  <c r="AJ264" i="2"/>
  <c r="AG267" i="2"/>
  <c r="AH267" i="2"/>
  <c r="AZ268" i="2"/>
  <c r="AI269" i="2"/>
  <c r="AH269" i="2"/>
  <c r="AG269" i="2"/>
  <c r="AJ269" i="2"/>
  <c r="D270" i="2"/>
  <c r="D270" i="1" s="1"/>
  <c r="AY271" i="2"/>
  <c r="AU271" i="2"/>
  <c r="AI272" i="2"/>
  <c r="AY276" i="2"/>
  <c r="AU276" i="2"/>
  <c r="AK277" i="2"/>
  <c r="AI301" i="2"/>
  <c r="AH301" i="2"/>
  <c r="AK301" i="2"/>
  <c r="AG301" i="2"/>
  <c r="D302" i="2"/>
  <c r="D302" i="1" s="1"/>
  <c r="AL304" i="2"/>
  <c r="AJ304" i="2"/>
  <c r="AX307" i="2"/>
  <c r="AT307" i="2"/>
  <c r="AI308" i="2"/>
  <c r="AH308" i="2"/>
  <c r="AK308" i="2"/>
  <c r="AG308" i="2"/>
  <c r="AX309" i="2"/>
  <c r="AT309" i="2"/>
  <c r="AI310" i="2"/>
  <c r="AH310" i="2"/>
  <c r="AK310" i="2"/>
  <c r="AG310" i="2"/>
  <c r="AX311" i="2"/>
  <c r="AT311" i="2"/>
  <c r="AI312" i="2"/>
  <c r="AH312" i="2"/>
  <c r="AK312" i="2"/>
  <c r="AG312" i="2"/>
  <c r="AX313" i="2"/>
  <c r="AT313" i="2"/>
  <c r="AI314" i="2"/>
  <c r="AH314" i="2"/>
  <c r="AK314" i="2"/>
  <c r="AG314" i="2"/>
  <c r="AX315" i="2"/>
  <c r="AT315" i="2"/>
  <c r="AI316" i="2"/>
  <c r="AH316" i="2"/>
  <c r="AK316" i="2"/>
  <c r="AG316" i="2"/>
  <c r="AX317" i="2"/>
  <c r="AT317" i="2"/>
  <c r="AI318" i="2"/>
  <c r="AH318" i="2"/>
  <c r="AK318" i="2"/>
  <c r="AG318" i="2"/>
  <c r="AX319" i="2"/>
  <c r="AT319" i="2"/>
  <c r="AI320" i="2"/>
  <c r="AH320" i="2"/>
  <c r="AK320" i="2"/>
  <c r="AG320" i="2"/>
  <c r="AX321" i="2"/>
  <c r="AT321" i="2"/>
  <c r="AI322" i="2"/>
  <c r="AH322" i="2"/>
  <c r="AK322" i="2"/>
  <c r="AG322" i="2"/>
  <c r="AX323" i="2"/>
  <c r="AT323" i="2"/>
  <c r="AI324" i="2"/>
  <c r="AH324" i="2"/>
  <c r="AK324" i="2"/>
  <c r="AG324" i="2"/>
  <c r="AX325" i="2"/>
  <c r="AT325" i="2"/>
  <c r="AI326" i="2"/>
  <c r="AH326" i="2"/>
  <c r="AK326" i="2"/>
  <c r="AG326" i="2"/>
  <c r="AX327" i="2"/>
  <c r="AT327" i="2"/>
  <c r="AI328" i="2"/>
  <c r="AH328" i="2"/>
  <c r="AK328" i="2"/>
  <c r="AG328" i="2"/>
  <c r="AX329" i="2"/>
  <c r="AT329" i="2"/>
  <c r="AI330" i="2"/>
  <c r="AH330" i="2"/>
  <c r="AK330" i="2"/>
  <c r="AG330" i="2"/>
  <c r="AX331" i="2"/>
  <c r="AT331" i="2"/>
  <c r="AI332" i="2"/>
  <c r="AH332" i="2"/>
  <c r="AK332" i="2"/>
  <c r="AG332" i="2"/>
  <c r="AX333" i="2"/>
  <c r="AT333" i="2"/>
  <c r="AI334" i="2"/>
  <c r="AH334" i="2"/>
  <c r="AK334" i="2"/>
  <c r="AG334" i="2"/>
  <c r="AX335" i="2"/>
  <c r="AT335" i="2"/>
  <c r="AI336" i="2"/>
  <c r="AH336" i="2"/>
  <c r="AK336" i="2"/>
  <c r="AG336" i="2"/>
  <c r="AX337" i="2"/>
  <c r="AT337" i="2"/>
  <c r="AI338" i="2"/>
  <c r="AH338" i="2"/>
  <c r="AK338" i="2"/>
  <c r="AG338" i="2"/>
  <c r="AX339" i="2"/>
  <c r="AT339" i="2"/>
  <c r="AI340" i="2"/>
  <c r="AH340" i="2"/>
  <c r="AK340" i="2"/>
  <c r="AG340" i="2"/>
  <c r="AX353" i="2"/>
  <c r="AT353" i="2"/>
  <c r="AZ353" i="2"/>
  <c r="AI356" i="2"/>
  <c r="AH356" i="2"/>
  <c r="AK356" i="2"/>
  <c r="AG356" i="2"/>
  <c r="AX361" i="2"/>
  <c r="AT361" i="2"/>
  <c r="AZ361" i="2"/>
  <c r="AI364" i="2"/>
  <c r="AH364" i="2"/>
  <c r="AK364" i="2"/>
  <c r="AG364" i="2"/>
  <c r="AE1" i="1"/>
  <c r="AH65" i="1"/>
  <c r="AK65" i="1"/>
  <c r="AG65" i="1"/>
  <c r="AH74" i="1"/>
  <c r="AK74" i="1"/>
  <c r="AG74" i="1"/>
  <c r="AH76" i="1"/>
  <c r="AK76" i="1"/>
  <c r="AG76" i="1"/>
  <c r="AI78" i="1"/>
  <c r="AH78" i="1"/>
  <c r="AK78" i="1"/>
  <c r="AG78" i="1"/>
  <c r="AF83" i="1"/>
  <c r="AF124" i="1"/>
  <c r="J1" i="1"/>
  <c r="C127" i="1"/>
  <c r="AF132" i="1"/>
  <c r="AF154" i="1"/>
  <c r="AF200" i="1"/>
  <c r="AF232" i="1"/>
  <c r="AF240" i="1"/>
  <c r="AF248" i="1"/>
  <c r="AF256" i="1"/>
  <c r="AF264" i="1"/>
  <c r="AF272" i="1"/>
  <c r="AI285" i="2"/>
  <c r="AH285" i="2"/>
  <c r="AX286" i="2"/>
  <c r="AT286" i="2"/>
  <c r="AY287" i="2"/>
  <c r="AU287" i="2"/>
  <c r="D289" i="2"/>
  <c r="D289" i="1" s="1"/>
  <c r="AY292" i="2"/>
  <c r="AU292" i="2"/>
  <c r="AI293" i="2"/>
  <c r="AH293" i="2"/>
  <c r="AX294" i="2"/>
  <c r="AT294" i="2"/>
  <c r="AY295" i="2"/>
  <c r="AU295" i="2"/>
  <c r="D297" i="2"/>
  <c r="D297" i="1" s="1"/>
  <c r="AZ300" i="2"/>
  <c r="AL300" i="2"/>
  <c r="AJ300" i="2"/>
  <c r="AJ301" i="2"/>
  <c r="AX303" i="2"/>
  <c r="AT303" i="2"/>
  <c r="AH304" i="2"/>
  <c r="AG304" i="2"/>
  <c r="AY304" i="2"/>
  <c r="AU304" i="2"/>
  <c r="AZ307" i="2"/>
  <c r="AZ309" i="2"/>
  <c r="AZ311" i="2"/>
  <c r="AZ313" i="2"/>
  <c r="AZ315" i="2"/>
  <c r="AZ317" i="2"/>
  <c r="AZ319" i="2"/>
  <c r="AZ321" i="2"/>
  <c r="AZ323" i="2"/>
  <c r="AZ325" i="2"/>
  <c r="AZ327" i="2"/>
  <c r="AZ329" i="2"/>
  <c r="AZ331" i="2"/>
  <c r="AZ333" i="2"/>
  <c r="AZ335" i="2"/>
  <c r="AZ337" i="2"/>
  <c r="AZ339" i="2"/>
  <c r="AX341" i="2"/>
  <c r="AT341" i="2"/>
  <c r="AI342" i="2"/>
  <c r="AH342" i="2"/>
  <c r="AK342" i="2"/>
  <c r="AG342" i="2"/>
  <c r="AX343" i="2"/>
  <c r="AT343" i="2"/>
  <c r="AI344" i="2"/>
  <c r="AH344" i="2"/>
  <c r="AK344" i="2"/>
  <c r="AG344" i="2"/>
  <c r="AX345" i="2"/>
  <c r="AT345" i="2"/>
  <c r="AI346" i="2"/>
  <c r="AH346" i="2"/>
  <c r="AK346" i="2"/>
  <c r="AG346" i="2"/>
  <c r="AX347" i="2"/>
  <c r="AT347" i="2"/>
  <c r="AI348" i="2"/>
  <c r="AH348" i="2"/>
  <c r="AK348" i="2"/>
  <c r="AG348" i="2"/>
  <c r="AX349" i="2"/>
  <c r="AT349" i="2"/>
  <c r="AI350" i="2"/>
  <c r="AH350" i="2"/>
  <c r="AK350" i="2"/>
  <c r="AG350" i="2"/>
  <c r="AX355" i="2"/>
  <c r="AT355" i="2"/>
  <c r="AZ355" i="2"/>
  <c r="AI358" i="2"/>
  <c r="AH358" i="2"/>
  <c r="AK358" i="2"/>
  <c r="AG358" i="2"/>
  <c r="AX363" i="2"/>
  <c r="AT363" i="2"/>
  <c r="AZ363" i="2"/>
  <c r="AI366" i="2"/>
  <c r="AH366" i="2"/>
  <c r="AK366" i="2"/>
  <c r="AG366" i="2"/>
  <c r="AK19" i="1"/>
  <c r="AG19" i="1"/>
  <c r="AI19" i="1"/>
  <c r="AK21" i="1"/>
  <c r="AG21" i="1"/>
  <c r="AI21" i="1"/>
  <c r="AK23" i="1"/>
  <c r="AG23" i="1"/>
  <c r="AI23" i="1"/>
  <c r="AK25" i="1"/>
  <c r="AG25" i="1"/>
  <c r="AI25" i="1"/>
  <c r="AK27" i="1"/>
  <c r="AG27" i="1"/>
  <c r="AI27" i="1"/>
  <c r="AK29" i="1"/>
  <c r="AG29" i="1"/>
  <c r="AI29" i="1"/>
  <c r="AK31" i="1"/>
  <c r="AG31" i="1"/>
  <c r="AI31" i="1"/>
  <c r="AK33" i="1"/>
  <c r="AG33" i="1"/>
  <c r="AI33" i="1"/>
  <c r="AK35" i="1"/>
  <c r="AG35" i="1"/>
  <c r="AI35" i="1"/>
  <c r="AK37" i="1"/>
  <c r="AG37" i="1"/>
  <c r="AI37" i="1"/>
  <c r="AK39" i="1"/>
  <c r="AG39" i="1"/>
  <c r="AI39" i="1"/>
  <c r="AK41" i="1"/>
  <c r="AG41" i="1"/>
  <c r="AI41" i="1"/>
  <c r="AK43" i="1"/>
  <c r="AG43" i="1"/>
  <c r="AI43" i="1"/>
  <c r="AK45" i="1"/>
  <c r="AG45" i="1"/>
  <c r="AI45" i="1"/>
  <c r="AK47" i="1"/>
  <c r="AG47" i="1"/>
  <c r="AI47" i="1"/>
  <c r="AK49" i="1"/>
  <c r="AG49" i="1"/>
  <c r="AI49" i="1"/>
  <c r="AK51" i="1"/>
  <c r="AG51" i="1"/>
  <c r="AI51" i="1"/>
  <c r="AK53" i="1"/>
  <c r="AG53" i="1"/>
  <c r="AI53" i="1"/>
  <c r="AK55" i="1"/>
  <c r="AG55" i="1"/>
  <c r="AI55" i="1"/>
  <c r="AK57" i="1"/>
  <c r="AG57" i="1"/>
  <c r="AI57" i="1"/>
  <c r="AK59" i="1"/>
  <c r="AG59" i="1"/>
  <c r="AI59" i="1"/>
  <c r="AK61" i="1"/>
  <c r="AG61" i="1"/>
  <c r="AI61" i="1"/>
  <c r="AK63" i="1"/>
  <c r="AG63" i="1"/>
  <c r="AI63" i="1"/>
  <c r="AJ65" i="1"/>
  <c r="AI65" i="1"/>
  <c r="AI67" i="1"/>
  <c r="AH67" i="1"/>
  <c r="AK67" i="1"/>
  <c r="AG67" i="1"/>
  <c r="AK70" i="1"/>
  <c r="AG70" i="1"/>
  <c r="AI70" i="1"/>
  <c r="AI74" i="1"/>
  <c r="AI76" i="1"/>
  <c r="AF82" i="1"/>
  <c r="AF85" i="1"/>
  <c r="AF192" i="1"/>
  <c r="AF224" i="1"/>
  <c r="D276" i="2"/>
  <c r="D276" i="1" s="1"/>
  <c r="D272" i="2"/>
  <c r="D272" i="1" s="1"/>
  <c r="D268" i="2"/>
  <c r="D268" i="1" s="1"/>
  <c r="D256" i="2"/>
  <c r="D256" i="1" s="1"/>
  <c r="AX259" i="2"/>
  <c r="AT259" i="2"/>
  <c r="AZ259" i="2"/>
  <c r="AH260" i="2"/>
  <c r="AK260" i="2"/>
  <c r="AG260" i="2"/>
  <c r="AX262" i="2"/>
  <c r="AT262" i="2"/>
  <c r="D264" i="2"/>
  <c r="D264" i="1" s="1"/>
  <c r="AX267" i="2"/>
  <c r="AT267" i="2"/>
  <c r="AZ267" i="2"/>
  <c r="AH268" i="2"/>
  <c r="AK268" i="2"/>
  <c r="AG268" i="2"/>
  <c r="D271" i="2"/>
  <c r="D271" i="1" s="1"/>
  <c r="AX275" i="2"/>
  <c r="AT275" i="2"/>
  <c r="AZ275" i="2"/>
  <c r="AH276" i="2"/>
  <c r="AK276" i="2"/>
  <c r="AG276" i="2"/>
  <c r="AX283" i="2"/>
  <c r="AT283" i="2"/>
  <c r="AZ283" i="2"/>
  <c r="AH284" i="2"/>
  <c r="AK284" i="2"/>
  <c r="AG284" i="2"/>
  <c r="AG285" i="2"/>
  <c r="D286" i="2"/>
  <c r="D286" i="1" s="1"/>
  <c r="AJ288" i="2"/>
  <c r="AX291" i="2"/>
  <c r="AT291" i="2"/>
  <c r="AZ291" i="2"/>
  <c r="AH292" i="2"/>
  <c r="AK292" i="2"/>
  <c r="AG292" i="2"/>
  <c r="AG293" i="2"/>
  <c r="D294" i="2"/>
  <c r="D294" i="1" s="1"/>
  <c r="D295" i="2"/>
  <c r="D295" i="1" s="1"/>
  <c r="AJ296" i="2"/>
  <c r="AX299" i="2"/>
  <c r="AT299" i="2"/>
  <c r="AH300" i="2"/>
  <c r="AG300" i="2"/>
  <c r="AY300" i="2"/>
  <c r="AU300" i="2"/>
  <c r="AZ303" i="2"/>
  <c r="AZ341" i="2"/>
  <c r="AZ343" i="2"/>
  <c r="AZ345" i="2"/>
  <c r="AZ347" i="2"/>
  <c r="AZ349" i="2"/>
  <c r="AI352" i="2"/>
  <c r="AH352" i="2"/>
  <c r="AK352" i="2"/>
  <c r="AG352" i="2"/>
  <c r="AX357" i="2"/>
  <c r="AT357" i="2"/>
  <c r="AZ357" i="2"/>
  <c r="AI360" i="2"/>
  <c r="AH360" i="2"/>
  <c r="AK360" i="2"/>
  <c r="AG360" i="2"/>
  <c r="AX365" i="2"/>
  <c r="AT365" i="2"/>
  <c r="AZ365" i="2"/>
  <c r="AI368" i="2"/>
  <c r="AH368" i="2"/>
  <c r="AK368" i="2"/>
  <c r="AG368" i="2"/>
  <c r="AH19" i="1"/>
  <c r="AH21" i="1"/>
  <c r="AH23" i="1"/>
  <c r="AH25" i="1"/>
  <c r="AH27" i="1"/>
  <c r="AH29" i="1"/>
  <c r="AH31" i="1"/>
  <c r="AH33" i="1"/>
  <c r="AH35" i="1"/>
  <c r="AH37" i="1"/>
  <c r="AH39" i="1"/>
  <c r="AH41" i="1"/>
  <c r="AH43" i="1"/>
  <c r="AH45" i="1"/>
  <c r="AH47" i="1"/>
  <c r="AH49" i="1"/>
  <c r="AH51" i="1"/>
  <c r="AH53" i="1"/>
  <c r="AH55" i="1"/>
  <c r="AH57" i="1"/>
  <c r="AH59" i="1"/>
  <c r="AH61" i="1"/>
  <c r="AH63" i="1"/>
  <c r="AI66" i="1"/>
  <c r="AH66" i="1"/>
  <c r="AK66" i="1"/>
  <c r="AG66" i="1"/>
  <c r="AH70" i="1"/>
  <c r="AH73" i="1"/>
  <c r="AK73" i="1"/>
  <c r="AG73" i="1"/>
  <c r="AH75" i="1"/>
  <c r="AK75" i="1"/>
  <c r="AG75" i="1"/>
  <c r="AH77" i="1"/>
  <c r="AK77" i="1"/>
  <c r="AG77" i="1"/>
  <c r="AF84" i="1"/>
  <c r="AF87" i="1"/>
  <c r="AF128" i="1"/>
  <c r="AF216" i="1"/>
  <c r="AG242" i="2"/>
  <c r="AG246" i="2"/>
  <c r="D247" i="2"/>
  <c r="D247" i="1" s="1"/>
  <c r="AG250" i="2"/>
  <c r="AG254" i="2"/>
  <c r="AK255" i="2"/>
  <c r="AG255" i="2"/>
  <c r="AX255" i="2"/>
  <c r="AY256" i="2"/>
  <c r="AU256" i="2"/>
  <c r="AI257" i="2"/>
  <c r="AH257" i="2"/>
  <c r="AY259" i="2"/>
  <c r="AU259" i="2"/>
  <c r="AI260" i="2"/>
  <c r="D261" i="2"/>
  <c r="D261" i="1" s="1"/>
  <c r="AJ261" i="2"/>
  <c r="D263" i="2"/>
  <c r="D263" i="1" s="1"/>
  <c r="AY264" i="2"/>
  <c r="AU264" i="2"/>
  <c r="AI265" i="2"/>
  <c r="AH265" i="2"/>
  <c r="AX266" i="2"/>
  <c r="AT266" i="2"/>
  <c r="AY267" i="2"/>
  <c r="AU267" i="2"/>
  <c r="AI268" i="2"/>
  <c r="D269" i="2"/>
  <c r="D269" i="1" s="1"/>
  <c r="AY272" i="2"/>
  <c r="AU272" i="2"/>
  <c r="AI273" i="2"/>
  <c r="AH273" i="2"/>
  <c r="AX274" i="2"/>
  <c r="AT274" i="2"/>
  <c r="AY275" i="2"/>
  <c r="AU275" i="2"/>
  <c r="AI276" i="2"/>
  <c r="D304" i="2"/>
  <c r="D304" i="1" s="1"/>
  <c r="D300" i="2"/>
  <c r="D300" i="1" s="1"/>
  <c r="D296" i="2"/>
  <c r="D296" i="1" s="1"/>
  <c r="D292" i="2"/>
  <c r="D292" i="1" s="1"/>
  <c r="D288" i="2"/>
  <c r="D288" i="1" s="1"/>
  <c r="D284" i="2"/>
  <c r="D284" i="1" s="1"/>
  <c r="D280" i="2"/>
  <c r="D280" i="1" s="1"/>
  <c r="D305" i="2"/>
  <c r="D305" i="1" s="1"/>
  <c r="D301" i="2"/>
  <c r="D301" i="1" s="1"/>
  <c r="D277" i="2"/>
  <c r="D277" i="1" s="1"/>
  <c r="AY280" i="2"/>
  <c r="AU280" i="2"/>
  <c r="AI281" i="2"/>
  <c r="AH281" i="2"/>
  <c r="AX282" i="2"/>
  <c r="AT282" i="2"/>
  <c r="AY283" i="2"/>
  <c r="AU283" i="2"/>
  <c r="AI284" i="2"/>
  <c r="D285" i="2"/>
  <c r="D285" i="1" s="1"/>
  <c r="AZ286" i="2"/>
  <c r="AY288" i="2"/>
  <c r="AU288" i="2"/>
  <c r="AI289" i="2"/>
  <c r="AH289" i="2"/>
  <c r="AX290" i="2"/>
  <c r="AT290" i="2"/>
  <c r="AH291" i="2"/>
  <c r="AY291" i="2"/>
  <c r="AU291" i="2"/>
  <c r="AI292" i="2"/>
  <c r="D293" i="2"/>
  <c r="D293" i="1" s="1"/>
  <c r="AZ294" i="2"/>
  <c r="AY296" i="2"/>
  <c r="AU296" i="2"/>
  <c r="AI297" i="2"/>
  <c r="AH297" i="2"/>
  <c r="D299" i="2"/>
  <c r="D299" i="1" s="1"/>
  <c r="AZ299" i="2"/>
  <c r="AI305" i="2"/>
  <c r="AH305" i="2"/>
  <c r="AK305" i="2"/>
  <c r="AG305" i="2"/>
  <c r="D306" i="2"/>
  <c r="D306" i="1" s="1"/>
  <c r="AX351" i="2"/>
  <c r="AT351" i="2"/>
  <c r="AZ351" i="2"/>
  <c r="AI354" i="2"/>
  <c r="AH354" i="2"/>
  <c r="AK354" i="2"/>
  <c r="AG354" i="2"/>
  <c r="AX359" i="2"/>
  <c r="AT359" i="2"/>
  <c r="AZ359" i="2"/>
  <c r="AI362" i="2"/>
  <c r="AH362" i="2"/>
  <c r="AK362" i="2"/>
  <c r="AG362" i="2"/>
  <c r="AX367" i="2"/>
  <c r="AT367" i="2"/>
  <c r="AZ367" i="2"/>
  <c r="AL4" i="1"/>
  <c r="AK20" i="1"/>
  <c r="AG20" i="1"/>
  <c r="AI20" i="1"/>
  <c r="AK22" i="1"/>
  <c r="AG22" i="1"/>
  <c r="AI22" i="1"/>
  <c r="AK24" i="1"/>
  <c r="AG24" i="1"/>
  <c r="AI24" i="1"/>
  <c r="AK26" i="1"/>
  <c r="AG26" i="1"/>
  <c r="AI26" i="1"/>
  <c r="AK28" i="1"/>
  <c r="AG28" i="1"/>
  <c r="AI28" i="1"/>
  <c r="AK30" i="1"/>
  <c r="AG30" i="1"/>
  <c r="AI30" i="1"/>
  <c r="AK32" i="1"/>
  <c r="AG32" i="1"/>
  <c r="AI32" i="1"/>
  <c r="AK34" i="1"/>
  <c r="AG34" i="1"/>
  <c r="AI34" i="1"/>
  <c r="AK36" i="1"/>
  <c r="AG36" i="1"/>
  <c r="AI36" i="1"/>
  <c r="AK38" i="1"/>
  <c r="AG38" i="1"/>
  <c r="AI38" i="1"/>
  <c r="AK40" i="1"/>
  <c r="AG40" i="1"/>
  <c r="AI40" i="1"/>
  <c r="AK42" i="1"/>
  <c r="AG42" i="1"/>
  <c r="AI42" i="1"/>
  <c r="AK44" i="1"/>
  <c r="AG44" i="1"/>
  <c r="AI44" i="1"/>
  <c r="AK46" i="1"/>
  <c r="AG46" i="1"/>
  <c r="AI46" i="1"/>
  <c r="AK48" i="1"/>
  <c r="AG48" i="1"/>
  <c r="AI48" i="1"/>
  <c r="AK50" i="1"/>
  <c r="AG50" i="1"/>
  <c r="AI50" i="1"/>
  <c r="AK52" i="1"/>
  <c r="AG52" i="1"/>
  <c r="AI52" i="1"/>
  <c r="AK54" i="1"/>
  <c r="AG54" i="1"/>
  <c r="AI54" i="1"/>
  <c r="AK56" i="1"/>
  <c r="AG56" i="1"/>
  <c r="AI56" i="1"/>
  <c r="AK58" i="1"/>
  <c r="AG58" i="1"/>
  <c r="AI58" i="1"/>
  <c r="AK60" i="1"/>
  <c r="AG60" i="1"/>
  <c r="AI60" i="1"/>
  <c r="AK62" i="1"/>
  <c r="AG62" i="1"/>
  <c r="AI62" i="1"/>
  <c r="AK71" i="1"/>
  <c r="AG71" i="1"/>
  <c r="AI71" i="1"/>
  <c r="AI73" i="1"/>
  <c r="AI75" i="1"/>
  <c r="AI77" i="1"/>
  <c r="AF86" i="1"/>
  <c r="AF208" i="1"/>
  <c r="AF367" i="1"/>
  <c r="AG50" i="4"/>
  <c r="AZ298" i="2"/>
  <c r="AT300" i="2"/>
  <c r="AX300" i="2"/>
  <c r="AU301" i="2"/>
  <c r="AH302" i="2"/>
  <c r="AT304" i="2"/>
  <c r="AX304" i="2"/>
  <c r="AU305" i="2"/>
  <c r="AH306" i="2"/>
  <c r="AU308" i="2"/>
  <c r="AU310" i="2"/>
  <c r="AU312" i="2"/>
  <c r="AU314" i="2"/>
  <c r="AU316" i="2"/>
  <c r="AU318" i="2"/>
  <c r="AU320" i="2"/>
  <c r="AU322" i="2"/>
  <c r="AU324" i="2"/>
  <c r="AU326" i="2"/>
  <c r="AU328" i="2"/>
  <c r="AU330" i="2"/>
  <c r="AU332" i="2"/>
  <c r="AU334" i="2"/>
  <c r="AU336" i="2"/>
  <c r="AU338" i="2"/>
  <c r="AU340" i="2"/>
  <c r="AU342" i="2"/>
  <c r="AU344" i="2"/>
  <c r="AU346" i="2"/>
  <c r="AU348" i="2"/>
  <c r="AU350" i="2"/>
  <c r="AI351" i="2"/>
  <c r="AU352" i="2"/>
  <c r="AI353" i="2"/>
  <c r="AU354" i="2"/>
  <c r="AI355" i="2"/>
  <c r="AU356" i="2"/>
  <c r="AI357" i="2"/>
  <c r="AU358" i="2"/>
  <c r="AI359" i="2"/>
  <c r="AU360" i="2"/>
  <c r="AI361" i="2"/>
  <c r="AU362" i="2"/>
  <c r="AI363" i="2"/>
  <c r="AU364" i="2"/>
  <c r="AI365" i="2"/>
  <c r="AU366" i="2"/>
  <c r="AI367" i="2"/>
  <c r="AU368" i="2"/>
  <c r="AI4" i="1"/>
  <c r="AI5" i="1"/>
  <c r="AI6" i="1"/>
  <c r="AI7" i="1"/>
  <c r="AI8" i="1"/>
  <c r="AI9" i="1"/>
  <c r="AI10" i="1"/>
  <c r="AI11" i="1"/>
  <c r="AI12" i="1"/>
  <c r="AH68" i="1"/>
  <c r="AH79" i="1"/>
  <c r="AF88" i="1"/>
  <c r="AF90" i="1"/>
  <c r="AF92" i="1"/>
  <c r="AF94" i="1"/>
  <c r="AF96" i="1"/>
  <c r="AF98" i="1"/>
  <c r="AF100" i="1"/>
  <c r="AF102" i="1"/>
  <c r="AF104" i="1"/>
  <c r="AF106" i="1"/>
  <c r="AF108" i="1"/>
  <c r="AF110" i="1"/>
  <c r="AF112" i="1"/>
  <c r="AF114" i="1"/>
  <c r="AF116" i="1"/>
  <c r="AF118" i="1"/>
  <c r="AF120" i="1"/>
  <c r="AF122" i="1"/>
  <c r="AF126" i="1"/>
  <c r="AF130" i="1"/>
  <c r="AF134" i="1"/>
  <c r="AF138" i="1"/>
  <c r="AF142" i="1"/>
  <c r="AF146" i="1"/>
  <c r="AF150" i="1"/>
  <c r="K65" i="4"/>
  <c r="AB65" i="4" s="1"/>
  <c r="G155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6" i="1"/>
  <c r="AF187" i="1"/>
  <c r="AF194" i="1"/>
  <c r="AF195" i="1"/>
  <c r="AF197" i="1"/>
  <c r="AF202" i="1"/>
  <c r="AF203" i="1"/>
  <c r="AF210" i="1"/>
  <c r="AF211" i="1"/>
  <c r="AF218" i="1"/>
  <c r="AF219" i="1"/>
  <c r="AF226" i="1"/>
  <c r="AF227" i="1"/>
  <c r="AF234" i="1"/>
  <c r="AF242" i="1"/>
  <c r="AF250" i="1"/>
  <c r="AF258" i="1"/>
  <c r="AF261" i="1"/>
  <c r="AF266" i="1"/>
  <c r="AF269" i="1"/>
  <c r="AF274" i="1"/>
  <c r="AF281" i="1"/>
  <c r="AF359" i="1"/>
  <c r="M62" i="4"/>
  <c r="M71" i="4"/>
  <c r="N62" i="4"/>
  <c r="AC62" i="4"/>
  <c r="D308" i="2"/>
  <c r="D308" i="1" s="1"/>
  <c r="D312" i="2"/>
  <c r="D312" i="1" s="1"/>
  <c r="D314" i="2"/>
  <c r="D314" i="1" s="1"/>
  <c r="AJ317" i="2"/>
  <c r="AJ319" i="2"/>
  <c r="AJ321" i="2"/>
  <c r="AJ323" i="2"/>
  <c r="AJ325" i="2"/>
  <c r="AJ327" i="2"/>
  <c r="AJ329" i="2"/>
  <c r="AJ331" i="2"/>
  <c r="AJ333" i="2"/>
  <c r="AJ335" i="2"/>
  <c r="AJ337" i="2"/>
  <c r="D338" i="2"/>
  <c r="D338" i="1" s="1"/>
  <c r="AJ339" i="2"/>
  <c r="D342" i="2"/>
  <c r="D342" i="1" s="1"/>
  <c r="D344" i="2"/>
  <c r="D344" i="1" s="1"/>
  <c r="D346" i="2"/>
  <c r="D346" i="1" s="1"/>
  <c r="D348" i="2"/>
  <c r="D348" i="1" s="1"/>
  <c r="D350" i="2"/>
  <c r="D350" i="1" s="1"/>
  <c r="D352" i="2"/>
  <c r="D352" i="1" s="1"/>
  <c r="D354" i="2"/>
  <c r="D354" i="1" s="1"/>
  <c r="D356" i="2"/>
  <c r="D356" i="1" s="1"/>
  <c r="D358" i="2"/>
  <c r="D358" i="1" s="1"/>
  <c r="D360" i="2"/>
  <c r="D360" i="1" s="1"/>
  <c r="D362" i="2"/>
  <c r="D362" i="1" s="1"/>
  <c r="D364" i="2"/>
  <c r="D364" i="1" s="1"/>
  <c r="D366" i="2"/>
  <c r="D366" i="1" s="1"/>
  <c r="AG64" i="1"/>
  <c r="AG72" i="1"/>
  <c r="AG81" i="1"/>
  <c r="AF125" i="1"/>
  <c r="AF129" i="1"/>
  <c r="AF133" i="1"/>
  <c r="AF135" i="1"/>
  <c r="AF139" i="1"/>
  <c r="AF143" i="1"/>
  <c r="AF147" i="1"/>
  <c r="AF151" i="1"/>
  <c r="AF188" i="1"/>
  <c r="AF189" i="1"/>
  <c r="AF196" i="1"/>
  <c r="AF204" i="1"/>
  <c r="AF205" i="1"/>
  <c r="AF212" i="1"/>
  <c r="AF213" i="1"/>
  <c r="AF220" i="1"/>
  <c r="AF221" i="1"/>
  <c r="AF228" i="1"/>
  <c r="AF229" i="1"/>
  <c r="AF236" i="1"/>
  <c r="AF237" i="1"/>
  <c r="AF244" i="1"/>
  <c r="AF245" i="1"/>
  <c r="AF252" i="1"/>
  <c r="AF253" i="1"/>
  <c r="AF260" i="1"/>
  <c r="AF268" i="1"/>
  <c r="X5" i="3"/>
  <c r="X24" i="4"/>
  <c r="Y24" i="4" s="1"/>
  <c r="H24" i="4"/>
  <c r="AK76" i="4"/>
  <c r="V76" i="4"/>
  <c r="Y76" i="4" s="1"/>
  <c r="H76" i="4"/>
  <c r="AG259" i="2"/>
  <c r="AG263" i="2"/>
  <c r="AT298" i="2"/>
  <c r="AG351" i="2"/>
  <c r="AU351" i="2"/>
  <c r="AG353" i="2"/>
  <c r="AU353" i="2"/>
  <c r="AG355" i="2"/>
  <c r="AU355" i="2"/>
  <c r="AG357" i="2"/>
  <c r="AU357" i="2"/>
  <c r="AG359" i="2"/>
  <c r="AU359" i="2"/>
  <c r="AG361" i="2"/>
  <c r="AU361" i="2"/>
  <c r="AG363" i="2"/>
  <c r="AU363" i="2"/>
  <c r="AG365" i="2"/>
  <c r="AU365" i="2"/>
  <c r="AG367" i="2"/>
  <c r="AU367" i="2"/>
  <c r="AG4" i="1"/>
  <c r="AG5" i="1"/>
  <c r="AG6" i="1"/>
  <c r="AG7" i="1"/>
  <c r="AG8" i="1"/>
  <c r="AG9" i="1"/>
  <c r="AG10" i="1"/>
  <c r="AG11" i="1"/>
  <c r="AG12" i="1"/>
  <c r="AF190" i="1"/>
  <c r="AF191" i="1"/>
  <c r="AF198" i="1"/>
  <c r="AF199" i="1"/>
  <c r="AF206" i="1"/>
  <c r="AF207" i="1"/>
  <c r="AF214" i="1"/>
  <c r="AF215" i="1"/>
  <c r="AF222" i="1"/>
  <c r="AF223" i="1"/>
  <c r="AF230" i="1"/>
  <c r="AF231" i="1"/>
  <c r="AF238" i="1"/>
  <c r="AF239" i="1"/>
  <c r="AF246" i="1"/>
  <c r="AF247" i="1"/>
  <c r="AF254" i="1"/>
  <c r="AF255" i="1"/>
  <c r="AF262" i="1"/>
  <c r="AF263" i="1"/>
  <c r="AF265" i="1"/>
  <c r="AF270" i="1"/>
  <c r="AF273" i="1"/>
  <c r="AF276" i="1"/>
  <c r="AF278" i="1"/>
  <c r="AF282" i="1"/>
  <c r="AF277" i="1"/>
  <c r="AF347" i="1"/>
  <c r="AF351" i="1"/>
  <c r="AF355" i="1"/>
  <c r="AF361" i="1"/>
  <c r="AF279" i="1"/>
  <c r="AF283" i="1"/>
  <c r="AF363" i="1"/>
  <c r="P50" i="7"/>
  <c r="AG50" i="7" s="1"/>
  <c r="P65" i="4"/>
  <c r="AG21" i="4"/>
  <c r="AG23" i="4" s="1"/>
  <c r="P51" i="4"/>
  <c r="AG51" i="4" s="1"/>
  <c r="AB62" i="4"/>
  <c r="AF349" i="1"/>
  <c r="AF353" i="1"/>
  <c r="AF357" i="1"/>
  <c r="AF365" i="1"/>
  <c r="M36" i="4"/>
  <c r="M65" i="4"/>
  <c r="AC65" i="4"/>
  <c r="AF285" i="1"/>
  <c r="AF287" i="1"/>
  <c r="AF289" i="1"/>
  <c r="AF291" i="1"/>
  <c r="AF293" i="1"/>
  <c r="AF295" i="1"/>
  <c r="AF297" i="1"/>
  <c r="AF299" i="1"/>
  <c r="AF301" i="1"/>
  <c r="AF303" i="1"/>
  <c r="AF305" i="1"/>
  <c r="AF307" i="1"/>
  <c r="AF309" i="1"/>
  <c r="AF311" i="1"/>
  <c r="AF313" i="1"/>
  <c r="AF315" i="1"/>
  <c r="AF317" i="1"/>
  <c r="AF319" i="1"/>
  <c r="AF321" i="1"/>
  <c r="AF323" i="1"/>
  <c r="AF325" i="1"/>
  <c r="AF327" i="1"/>
  <c r="AF329" i="1"/>
  <c r="AF331" i="1"/>
  <c r="AF333" i="1"/>
  <c r="AF335" i="1"/>
  <c r="AF337" i="1"/>
  <c r="AF339" i="1"/>
  <c r="AF341" i="1"/>
  <c r="AF343" i="1"/>
  <c r="AF345" i="1"/>
  <c r="X5" i="4"/>
  <c r="F9" i="4"/>
  <c r="T9" i="4" s="1"/>
  <c r="P48" i="7"/>
  <c r="AG48" i="7" s="1"/>
  <c r="AG52" i="7" s="1"/>
  <c r="P23" i="4"/>
  <c r="P52" i="7" s="1"/>
  <c r="W62" i="4"/>
  <c r="P80" i="4"/>
  <c r="AG80" i="4" s="1"/>
  <c r="AG66" i="4"/>
  <c r="H77" i="4"/>
  <c r="X77" i="4"/>
  <c r="Y77" i="4" s="1"/>
  <c r="L77" i="4"/>
  <c r="Y19" i="4"/>
  <c r="X21" i="4"/>
  <c r="L21" i="4"/>
  <c r="L22" i="4"/>
  <c r="H22" i="4"/>
  <c r="AN33" i="4"/>
  <c r="AG53" i="4"/>
  <c r="Y52" i="4"/>
  <c r="Q62" i="4"/>
  <c r="I62" i="4"/>
  <c r="H62" i="4"/>
  <c r="X62" i="4"/>
  <c r="Q65" i="4"/>
  <c r="I65" i="4"/>
  <c r="X65" i="4"/>
  <c r="AU77" i="4"/>
  <c r="U39" i="4"/>
  <c r="N39" i="4"/>
  <c r="L48" i="4"/>
  <c r="H48" i="4"/>
  <c r="X48" i="4"/>
  <c r="P76" i="4"/>
  <c r="AG62" i="4"/>
  <c r="AQ64" i="4"/>
  <c r="H65" i="4"/>
  <c r="X66" i="4"/>
  <c r="I66" i="4"/>
  <c r="L66" i="4"/>
  <c r="F79" i="4"/>
  <c r="K79" i="4"/>
  <c r="AB79" i="4" s="1"/>
  <c r="K80" i="4"/>
  <c r="AB80" i="4" s="1"/>
  <c r="L80" i="4"/>
  <c r="F80" i="4"/>
  <c r="D49" i="5"/>
  <c r="D50" i="5"/>
  <c r="E103" i="5"/>
  <c r="H103" i="5"/>
  <c r="I118" i="5"/>
  <c r="I95" i="5"/>
  <c r="M141" i="5"/>
  <c r="M142" i="5" s="1"/>
  <c r="M119" i="5"/>
  <c r="E95" i="5"/>
  <c r="E120" i="5"/>
  <c r="E126" i="5"/>
  <c r="J119" i="5"/>
  <c r="J141" i="5"/>
  <c r="M95" i="5"/>
  <c r="N119" i="5"/>
  <c r="AF22" i="4"/>
  <c r="F38" i="4"/>
  <c r="M38" i="4" s="1"/>
  <c r="M33" i="4"/>
  <c r="AO33" i="4"/>
  <c r="L52" i="4"/>
  <c r="AF62" i="4"/>
  <c r="Y63" i="4"/>
  <c r="F76" i="4"/>
  <c r="AA76" i="4"/>
  <c r="V79" i="4"/>
  <c r="Y79" i="4" s="1"/>
  <c r="AK79" i="4"/>
  <c r="AK80" i="4"/>
  <c r="H80" i="4"/>
  <c r="V80" i="4"/>
  <c r="Y80" i="4" s="1"/>
  <c r="AT79" i="4"/>
  <c r="AU81" i="4" s="1"/>
  <c r="X82" i="4"/>
  <c r="J34" i="5"/>
  <c r="L79" i="4" s="1"/>
  <c r="O48" i="7"/>
  <c r="AF48" i="7" s="1"/>
  <c r="AF19" i="4"/>
  <c r="O50" i="7"/>
  <c r="AF50" i="7" s="1"/>
  <c r="AF21" i="4"/>
  <c r="S36" i="4"/>
  <c r="Z36" i="4" s="1"/>
  <c r="L36" i="4"/>
  <c r="L37" i="4"/>
  <c r="AA48" i="4"/>
  <c r="AF48" i="4"/>
  <c r="H63" i="4"/>
  <c r="L76" i="4"/>
  <c r="AB76" i="4"/>
  <c r="AW78" i="4"/>
  <c r="AM82" i="4"/>
  <c r="K49" i="5"/>
  <c r="G40" i="5"/>
  <c r="G47" i="5" s="1"/>
  <c r="O40" i="5"/>
  <c r="K119" i="5"/>
  <c r="K141" i="5"/>
  <c r="K142" i="5" s="1"/>
  <c r="L4" i="6"/>
  <c r="K4" i="6"/>
  <c r="J4" i="6"/>
  <c r="I18" i="6"/>
  <c r="G20" i="6"/>
  <c r="S16" i="7"/>
  <c r="S39" i="8"/>
  <c r="AG39" i="8" s="1"/>
  <c r="Z40" i="8"/>
  <c r="S21" i="8"/>
  <c r="O30" i="8"/>
  <c r="E68" i="8"/>
  <c r="E53" i="8"/>
  <c r="I68" i="8"/>
  <c r="I53" i="8"/>
  <c r="G74" i="8"/>
  <c r="G59" i="8"/>
  <c r="K74" i="8"/>
  <c r="K59" i="8"/>
  <c r="O45" i="8"/>
  <c r="W48" i="7"/>
  <c r="Z48" i="7" s="1"/>
  <c r="I48" i="7"/>
  <c r="F21" i="4"/>
  <c r="W21" i="4" s="1"/>
  <c r="D40" i="5"/>
  <c r="D47" i="5" s="1"/>
  <c r="L40" i="5"/>
  <c r="L47" i="5" s="1"/>
  <c r="F103" i="5"/>
  <c r="N142" i="5"/>
  <c r="F95" i="5"/>
  <c r="N95" i="5"/>
  <c r="P115" i="5"/>
  <c r="P140" i="5"/>
  <c r="F126" i="5"/>
  <c r="O141" i="5"/>
  <c r="O142" i="5" s="1"/>
  <c r="O119" i="5"/>
  <c r="F120" i="5"/>
  <c r="G149" i="5"/>
  <c r="H5" i="6"/>
  <c r="I5" i="6" s="1"/>
  <c r="G12" i="6"/>
  <c r="H18" i="6"/>
  <c r="S8" i="7"/>
  <c r="E49" i="5"/>
  <c r="I50" i="5"/>
  <c r="E69" i="5"/>
  <c r="G95" i="5"/>
  <c r="K95" i="5"/>
  <c r="O95" i="5"/>
  <c r="P110" i="5"/>
  <c r="K3" i="6"/>
  <c r="J3" i="6"/>
  <c r="L3" i="6"/>
  <c r="I10" i="6"/>
  <c r="G11" i="6"/>
  <c r="H7" i="6"/>
  <c r="I7" i="6" s="1"/>
  <c r="J8" i="6"/>
  <c r="K19" i="6"/>
  <c r="S10" i="7"/>
  <c r="I13" i="7"/>
  <c r="P13" i="7" s="1"/>
  <c r="H25" i="5"/>
  <c r="L25" i="5"/>
  <c r="G34" i="5"/>
  <c r="F49" i="5"/>
  <c r="N49" i="5"/>
  <c r="H40" i="5"/>
  <c r="H47" i="5" s="1"/>
  <c r="D41" i="5"/>
  <c r="H50" i="5"/>
  <c r="J95" i="5"/>
  <c r="P137" i="5"/>
  <c r="P117" i="5"/>
  <c r="F143" i="5"/>
  <c r="J6" i="6"/>
  <c r="L6" i="6"/>
  <c r="S15" i="7"/>
  <c r="E40" i="5"/>
  <c r="E47" i="5" s="1"/>
  <c r="I40" i="5"/>
  <c r="I47" i="5" s="1"/>
  <c r="M40" i="5"/>
  <c r="G78" i="5"/>
  <c r="H118" i="5"/>
  <c r="P109" i="5"/>
  <c r="G126" i="5"/>
  <c r="H124" i="5"/>
  <c r="I141" i="5"/>
  <c r="J149" i="5" s="1"/>
  <c r="J147" i="5"/>
  <c r="P132" i="5"/>
  <c r="M13" i="6"/>
  <c r="I9" i="7"/>
  <c r="P9" i="7" s="1"/>
  <c r="S12" i="7"/>
  <c r="S19" i="7"/>
  <c r="I25" i="7"/>
  <c r="P25" i="7" s="1"/>
  <c r="F67" i="8"/>
  <c r="F47" i="8"/>
  <c r="F76" i="8" s="1"/>
  <c r="J47" i="8"/>
  <c r="J76" i="8" s="1"/>
  <c r="J67" i="8"/>
  <c r="J52" i="8"/>
  <c r="N38" i="8"/>
  <c r="E55" i="8"/>
  <c r="E70" i="8"/>
  <c r="F73" i="8"/>
  <c r="F58" i="8"/>
  <c r="J73" i="8"/>
  <c r="J58" i="8"/>
  <c r="N44" i="8"/>
  <c r="P64" i="4"/>
  <c r="F40" i="5"/>
  <c r="F47" i="5" s="1"/>
  <c r="J40" i="5"/>
  <c r="J47" i="5" s="1"/>
  <c r="N40" i="5"/>
  <c r="N47" i="5" s="1"/>
  <c r="J41" i="5"/>
  <c r="D75" i="5"/>
  <c r="L119" i="5"/>
  <c r="L141" i="5"/>
  <c r="L142" i="5" s="1"/>
  <c r="L95" i="5"/>
  <c r="I125" i="5"/>
  <c r="P114" i="5"/>
  <c r="D120" i="5"/>
  <c r="I124" i="5"/>
  <c r="D149" i="5"/>
  <c r="H149" i="5"/>
  <c r="I147" i="5"/>
  <c r="K39" i="7"/>
  <c r="K38" i="7"/>
  <c r="I14" i="7"/>
  <c r="I29" i="7"/>
  <c r="P29" i="7" s="1"/>
  <c r="Y48" i="7"/>
  <c r="Y50" i="7"/>
  <c r="X51" i="7"/>
  <c r="I51" i="7"/>
  <c r="H51" i="7"/>
  <c r="R47" i="8"/>
  <c r="AF38" i="8"/>
  <c r="AG40" i="8"/>
  <c r="N43" i="8"/>
  <c r="D57" i="8"/>
  <c r="C43" i="8"/>
  <c r="H57" i="8"/>
  <c r="O43" i="8"/>
  <c r="H72" i="8"/>
  <c r="H142" i="5"/>
  <c r="D143" i="5"/>
  <c r="H143" i="5"/>
  <c r="F10" i="6"/>
  <c r="H10" i="6" s="1"/>
  <c r="J39" i="7"/>
  <c r="I21" i="7"/>
  <c r="P21" i="7" s="1"/>
  <c r="S37" i="7"/>
  <c r="J38" i="7"/>
  <c r="AG41" i="8"/>
  <c r="F75" i="8"/>
  <c r="F60" i="8"/>
  <c r="C46" i="8"/>
  <c r="J75" i="8"/>
  <c r="J60" i="8"/>
  <c r="O46" i="8"/>
  <c r="N46" i="8"/>
  <c r="E143" i="5"/>
  <c r="J18" i="6"/>
  <c r="L38" i="7"/>
  <c r="S12" i="8"/>
  <c r="N30" i="8"/>
  <c r="AG44" i="8"/>
  <c r="Z45" i="8"/>
  <c r="AG45" i="8" s="1"/>
  <c r="S28" i="8"/>
  <c r="Y47" i="8"/>
  <c r="Y35" i="8"/>
  <c r="C39" i="8"/>
  <c r="N39" i="8"/>
  <c r="D68" i="8"/>
  <c r="H68" i="8"/>
  <c r="O39" i="8"/>
  <c r="AF40" i="8"/>
  <c r="D55" i="8"/>
  <c r="C41" i="8"/>
  <c r="N41" i="8"/>
  <c r="D70" i="8"/>
  <c r="H70" i="8"/>
  <c r="O41" i="8"/>
  <c r="H55" i="8"/>
  <c r="AF42" i="8"/>
  <c r="G72" i="8"/>
  <c r="G57" i="8"/>
  <c r="G47" i="8"/>
  <c r="G76" i="8" s="1"/>
  <c r="K72" i="8"/>
  <c r="K57" i="8"/>
  <c r="K47" i="8"/>
  <c r="K76" i="8" s="1"/>
  <c r="S5" i="8"/>
  <c r="D67" i="8"/>
  <c r="D47" i="8"/>
  <c r="C38" i="8"/>
  <c r="H67" i="8"/>
  <c r="H47" i="8"/>
  <c r="H76" i="8" s="1"/>
  <c r="H52" i="8"/>
  <c r="O38" i="8"/>
  <c r="L47" i="8"/>
  <c r="L52" i="8"/>
  <c r="L61" i="8" s="1"/>
  <c r="S38" i="8"/>
  <c r="Z35" i="8"/>
  <c r="C40" i="8"/>
  <c r="D54" i="8"/>
  <c r="N40" i="8"/>
  <c r="H69" i="8"/>
  <c r="O40" i="8"/>
  <c r="D71" i="8"/>
  <c r="C42" i="8"/>
  <c r="N42" i="8"/>
  <c r="H71" i="8"/>
  <c r="H56" i="8"/>
  <c r="O42" i="8"/>
  <c r="H54" i="8"/>
  <c r="G75" i="8"/>
  <c r="T5" i="8"/>
  <c r="E52" i="8"/>
  <c r="E47" i="8"/>
  <c r="E76" i="8" s="1"/>
  <c r="I52" i="8"/>
  <c r="I67" i="8"/>
  <c r="I47" i="8"/>
  <c r="I76" i="8" s="1"/>
  <c r="D52" i="8"/>
  <c r="E67" i="8"/>
  <c r="D69" i="8"/>
  <c r="E72" i="8"/>
  <c r="E57" i="8"/>
  <c r="I72" i="8"/>
  <c r="I57" i="8"/>
  <c r="C44" i="8"/>
  <c r="O44" i="8"/>
  <c r="N45" i="8"/>
  <c r="G52" i="8"/>
  <c r="J54" i="8"/>
  <c r="G56" i="8"/>
  <c r="F57" i="8"/>
  <c r="D58" i="8"/>
  <c r="G68" i="8"/>
  <c r="E73" i="8"/>
  <c r="E74" i="8"/>
  <c r="F54" i="8"/>
  <c r="D59" i="8"/>
  <c r="H60" i="8"/>
  <c r="AR1" i="2" l="1"/>
  <c r="AJ2" i="2"/>
  <c r="AJ368" i="1"/>
  <c r="BE2" i="2"/>
  <c r="BF251" i="1"/>
  <c r="BD248" i="1"/>
  <c r="AS2" i="2"/>
  <c r="AY251" i="1"/>
  <c r="AZ257" i="1"/>
  <c r="G2" i="1"/>
  <c r="AF2" i="1"/>
  <c r="AU266" i="1"/>
  <c r="AU83" i="1"/>
  <c r="BC248" i="1"/>
  <c r="AS2" i="1"/>
  <c r="AU273" i="1"/>
  <c r="BD273" i="1"/>
  <c r="BF273" i="1"/>
  <c r="BD272" i="1"/>
  <c r="BF272" i="1"/>
  <c r="AT274" i="1"/>
  <c r="BE274" i="1"/>
  <c r="BC274" i="1"/>
  <c r="AU268" i="1"/>
  <c r="BD268" i="1"/>
  <c r="BF268" i="1"/>
  <c r="AR2" i="1"/>
  <c r="AU262" i="1"/>
  <c r="AU250" i="1"/>
  <c r="AU271" i="1"/>
  <c r="BD271" i="1"/>
  <c r="BF271" i="1"/>
  <c r="AY270" i="1"/>
  <c r="BD270" i="1"/>
  <c r="BF270" i="1"/>
  <c r="AT272" i="1"/>
  <c r="BE272" i="1"/>
  <c r="BC272" i="1"/>
  <c r="BE273" i="1"/>
  <c r="BC273" i="1"/>
  <c r="AU272" i="1"/>
  <c r="BF250" i="1"/>
  <c r="AY269" i="1"/>
  <c r="BD269" i="1"/>
  <c r="BF269" i="1"/>
  <c r="AX269" i="1"/>
  <c r="BE269" i="1"/>
  <c r="BC269" i="1"/>
  <c r="AT270" i="1"/>
  <c r="BE270" i="1"/>
  <c r="BC270" i="1"/>
  <c r="AT271" i="1"/>
  <c r="BE271" i="1"/>
  <c r="BC271" i="1"/>
  <c r="AP2" i="1"/>
  <c r="AP1" i="1" s="1"/>
  <c r="AY272" i="1"/>
  <c r="BD274" i="1"/>
  <c r="BF274" i="1"/>
  <c r="AX268" i="1"/>
  <c r="BE268" i="1"/>
  <c r="BC268" i="1"/>
  <c r="C2" i="1"/>
  <c r="AX274" i="1"/>
  <c r="AZ274" i="1"/>
  <c r="BE217" i="1"/>
  <c r="AT194" i="1"/>
  <c r="AU177" i="1"/>
  <c r="AY157" i="1"/>
  <c r="BC145" i="1"/>
  <c r="AT115" i="1"/>
  <c r="BD106" i="1"/>
  <c r="BD92" i="1"/>
  <c r="BD253" i="1"/>
  <c r="AT233" i="1"/>
  <c r="AX217" i="1"/>
  <c r="AX194" i="1"/>
  <c r="BD177" i="1"/>
  <c r="AU157" i="1"/>
  <c r="AX125" i="1"/>
  <c r="AZ233" i="1"/>
  <c r="AZ217" i="1"/>
  <c r="BC233" i="1"/>
  <c r="AY274" i="1"/>
  <c r="E67" i="4"/>
  <c r="H67" i="4" s="1"/>
  <c r="AY161" i="1"/>
  <c r="AY265" i="1"/>
  <c r="AU257" i="1"/>
  <c r="AY249" i="1"/>
  <c r="AV1" i="2"/>
  <c r="AY2" i="2"/>
  <c r="AH66" i="4"/>
  <c r="AI66" i="4" s="1"/>
  <c r="BD225" i="1"/>
  <c r="AZ115" i="1"/>
  <c r="AU251" i="1"/>
  <c r="AX270" i="1"/>
  <c r="AX271" i="1"/>
  <c r="C1" i="2"/>
  <c r="BC168" i="1"/>
  <c r="AT97" i="1"/>
  <c r="S66" i="4"/>
  <c r="BC218" i="1"/>
  <c r="AX105" i="1"/>
  <c r="AX97" i="1"/>
  <c r="BC249" i="1"/>
  <c r="AU161" i="1"/>
  <c r="AY98" i="1"/>
  <c r="AU270" i="1"/>
  <c r="AU253" i="1"/>
  <c r="BF252" i="1"/>
  <c r="AX249" i="1"/>
  <c r="AU276" i="1"/>
  <c r="AZ273" i="1"/>
  <c r="AY273" i="1"/>
  <c r="AZ276" i="1"/>
  <c r="AT273" i="1"/>
  <c r="BC254" i="1"/>
  <c r="BE254" i="1"/>
  <c r="AX259" i="1"/>
  <c r="BC259" i="1"/>
  <c r="BE259" i="1"/>
  <c r="AY260" i="1"/>
  <c r="BD260" i="1"/>
  <c r="BF260" i="1"/>
  <c r="AU267" i="1"/>
  <c r="BD267" i="1"/>
  <c r="BF267" i="1"/>
  <c r="AX261" i="1"/>
  <c r="BC261" i="1"/>
  <c r="BE261" i="1"/>
  <c r="AY258" i="1"/>
  <c r="BD258" i="1"/>
  <c r="BF258" i="1"/>
  <c r="BD255" i="1"/>
  <c r="BF255" i="1"/>
  <c r="AY256" i="1"/>
  <c r="BD256" i="1"/>
  <c r="BF256" i="1"/>
  <c r="AT260" i="1"/>
  <c r="BC260" i="1"/>
  <c r="BE260" i="1"/>
  <c r="BD265" i="1"/>
  <c r="BF265" i="1"/>
  <c r="AT267" i="1"/>
  <c r="BC267" i="1"/>
  <c r="BE267" i="1"/>
  <c r="AT257" i="1"/>
  <c r="BC257" i="1"/>
  <c r="BE257" i="1"/>
  <c r="AZ266" i="1"/>
  <c r="BD266" i="1"/>
  <c r="BF266" i="1"/>
  <c r="BD254" i="1"/>
  <c r="BF254" i="1"/>
  <c r="BC266" i="1"/>
  <c r="BE266" i="1"/>
  <c r="J23" i="4"/>
  <c r="U37" i="7"/>
  <c r="BE219" i="1"/>
  <c r="BC141" i="1"/>
  <c r="AU254" i="1"/>
  <c r="AT275" i="1"/>
  <c r="AX273" i="1"/>
  <c r="AX266" i="1"/>
  <c r="BF253" i="1"/>
  <c r="BE250" i="1"/>
  <c r="AZ249" i="1"/>
  <c r="AT256" i="1"/>
  <c r="BC256" i="1"/>
  <c r="BE256" i="1"/>
  <c r="AU263" i="1"/>
  <c r="BD263" i="1"/>
  <c r="BF263" i="1"/>
  <c r="AX265" i="1"/>
  <c r="BC265" i="1"/>
  <c r="BE265" i="1"/>
  <c r="AT255" i="1"/>
  <c r="BC255" i="1"/>
  <c r="BE255" i="1"/>
  <c r="AY264" i="1"/>
  <c r="BD264" i="1"/>
  <c r="BF264" i="1"/>
  <c r="AT264" i="1"/>
  <c r="BC264" i="1"/>
  <c r="BE264" i="1"/>
  <c r="AG193" i="1"/>
  <c r="AY254" i="1"/>
  <c r="AU255" i="1"/>
  <c r="AX267" i="1"/>
  <c r="AT266" i="1"/>
  <c r="AX257" i="1"/>
  <c r="AX250" i="1"/>
  <c r="BE249" i="1"/>
  <c r="AU259" i="1"/>
  <c r="BD259" i="1"/>
  <c r="BF259" i="1"/>
  <c r="BD261" i="1"/>
  <c r="BF261" i="1"/>
  <c r="AT263" i="1"/>
  <c r="BC263" i="1"/>
  <c r="BE263" i="1"/>
  <c r="AZ253" i="1"/>
  <c r="BD262" i="1"/>
  <c r="BF262" i="1"/>
  <c r="BC258" i="1"/>
  <c r="BE258" i="1"/>
  <c r="BC262" i="1"/>
  <c r="BE262" i="1"/>
  <c r="BD257" i="1"/>
  <c r="BF257" i="1"/>
  <c r="AT2" i="2"/>
  <c r="AZ268" i="1"/>
  <c r="AZ255" i="1"/>
  <c r="AX263" i="1"/>
  <c r="AY263" i="1"/>
  <c r="BC211" i="1"/>
  <c r="BC164" i="1"/>
  <c r="AT134" i="1"/>
  <c r="AY255" i="1"/>
  <c r="AT276" i="1"/>
  <c r="AY268" i="1"/>
  <c r="BD155" i="1"/>
  <c r="AY275" i="1"/>
  <c r="AX272" i="1"/>
  <c r="AX211" i="1"/>
  <c r="AT141" i="1"/>
  <c r="AZ269" i="1"/>
  <c r="AY267" i="1"/>
  <c r="AZ251" i="1"/>
  <c r="AZ261" i="1"/>
  <c r="AZ262" i="1"/>
  <c r="BF225" i="1"/>
  <c r="AY204" i="1"/>
  <c r="AX182" i="1"/>
  <c r="AT166" i="1"/>
  <c r="AX255" i="1"/>
  <c r="AZ271" i="1"/>
  <c r="AT268" i="1"/>
  <c r="AX264" i="1"/>
  <c r="BD252" i="1"/>
  <c r="BE248" i="1"/>
  <c r="BF198" i="1"/>
  <c r="BC182" i="1"/>
  <c r="AY138" i="1"/>
  <c r="AZ107" i="1"/>
  <c r="AU269" i="1"/>
  <c r="AZ265" i="1"/>
  <c r="AZ264" i="1"/>
  <c r="AZ263" i="1"/>
  <c r="AX262" i="1"/>
  <c r="AY261" i="1"/>
  <c r="BC253" i="1"/>
  <c r="BE253" i="1"/>
  <c r="AZ252" i="1"/>
  <c r="AY250" i="1"/>
  <c r="AZ250" i="1"/>
  <c r="AZ248" i="1"/>
  <c r="AY207" i="1"/>
  <c r="AX169" i="1"/>
  <c r="AX163" i="1"/>
  <c r="BD151" i="1"/>
  <c r="AU274" i="1"/>
  <c r="AY271" i="1"/>
  <c r="AT265" i="1"/>
  <c r="AU252" i="1"/>
  <c r="AT248" i="1"/>
  <c r="AZ270" i="1"/>
  <c r="AY131" i="1"/>
  <c r="BD123" i="1"/>
  <c r="AZ272" i="1"/>
  <c r="AT269" i="1"/>
  <c r="AT261" i="1"/>
  <c r="AZ258" i="1"/>
  <c r="BC252" i="1"/>
  <c r="AT252" i="1"/>
  <c r="AT251" i="1"/>
  <c r="AU248" i="1"/>
  <c r="AG376" i="2"/>
  <c r="AZ275" i="1"/>
  <c r="AZ267" i="1"/>
  <c r="AU258" i="1"/>
  <c r="BE252" i="1"/>
  <c r="BC251" i="1"/>
  <c r="BE251" i="1"/>
  <c r="BF248" i="1"/>
  <c r="BF221" i="1"/>
  <c r="BF205" i="1"/>
  <c r="AY187" i="1"/>
  <c r="BD139" i="1"/>
  <c r="AZ88" i="1"/>
  <c r="BC250" i="1"/>
  <c r="AU84" i="1"/>
  <c r="BD93" i="1"/>
  <c r="AX139" i="1"/>
  <c r="BD96" i="1"/>
  <c r="AY229" i="1"/>
  <c r="BC203" i="1"/>
  <c r="BC105" i="1"/>
  <c r="AT201" i="1"/>
  <c r="BC147" i="1"/>
  <c r="AY231" i="1"/>
  <c r="AX81" i="2"/>
  <c r="BD215" i="1"/>
  <c r="BE201" i="1"/>
  <c r="BD192" i="1"/>
  <c r="AU111" i="1"/>
  <c r="AX225" i="1"/>
  <c r="AU214" i="1"/>
  <c r="AX201" i="1"/>
  <c r="AU190" i="1"/>
  <c r="AT175" i="1"/>
  <c r="AX160" i="1"/>
  <c r="AU145" i="1"/>
  <c r="AT127" i="1"/>
  <c r="AU109" i="1"/>
  <c r="AX198" i="1"/>
  <c r="AY84" i="1"/>
  <c r="AY244" i="1"/>
  <c r="BD169" i="1"/>
  <c r="BC160" i="1"/>
  <c r="BC127" i="1"/>
  <c r="BC109" i="1"/>
  <c r="AX90" i="1"/>
  <c r="AT159" i="1"/>
  <c r="AT179" i="1"/>
  <c r="AT227" i="1"/>
  <c r="BE209" i="1"/>
  <c r="BF217" i="1"/>
  <c r="BC209" i="1"/>
  <c r="AX188" i="1"/>
  <c r="AX109" i="1"/>
  <c r="AU99" i="1"/>
  <c r="AT145" i="1"/>
  <c r="AT259" i="1"/>
  <c r="AT186" i="1"/>
  <c r="AU170" i="1"/>
  <c r="AU153" i="1"/>
  <c r="AX89" i="1"/>
  <c r="AT225" i="1"/>
  <c r="BC184" i="1"/>
  <c r="AZ137" i="1"/>
  <c r="AU115" i="1"/>
  <c r="AZ127" i="1"/>
  <c r="AT82" i="1"/>
  <c r="AU260" i="1"/>
  <c r="AY213" i="1"/>
  <c r="BF204" i="1"/>
  <c r="AX106" i="1"/>
  <c r="AU237" i="1"/>
  <c r="BD212" i="1"/>
  <c r="AT144" i="1"/>
  <c r="AU217" i="1"/>
  <c r="AU212" i="1"/>
  <c r="BC172" i="1"/>
  <c r="BD109" i="1"/>
  <c r="AU96" i="1"/>
  <c r="AX256" i="1"/>
  <c r="AT128" i="1"/>
  <c r="BE225" i="1"/>
  <c r="AT209" i="1"/>
  <c r="AZ166" i="1"/>
  <c r="AX146" i="1"/>
  <c r="BC89" i="1"/>
  <c r="BC202" i="1"/>
  <c r="AX260" i="1"/>
  <c r="BE186" i="1"/>
  <c r="AT174" i="1"/>
  <c r="AZ109" i="1"/>
  <c r="AY93" i="1"/>
  <c r="AZ260" i="1"/>
  <c r="AZ117" i="1"/>
  <c r="AU102" i="1"/>
  <c r="AT142" i="1"/>
  <c r="BD195" i="1"/>
  <c r="AT235" i="1"/>
  <c r="AU223" i="1"/>
  <c r="AZ195" i="1"/>
  <c r="AY179" i="1"/>
  <c r="AU120" i="1"/>
  <c r="AT139" i="1"/>
  <c r="AZ86" i="1"/>
  <c r="AZ256" i="1"/>
  <c r="BC81" i="2"/>
  <c r="AX220" i="1"/>
  <c r="BF216" i="1"/>
  <c r="AZ129" i="1"/>
  <c r="AZ230" i="1"/>
  <c r="AZ125" i="1"/>
  <c r="AY259" i="1"/>
  <c r="AZ259" i="1"/>
  <c r="AU256" i="1"/>
  <c r="BD247" i="1"/>
  <c r="AY247" i="1"/>
  <c r="BF247" i="1"/>
  <c r="AU247" i="1"/>
  <c r="AT247" i="1"/>
  <c r="AZ247" i="1"/>
  <c r="BE247" i="1"/>
  <c r="AX247" i="1"/>
  <c r="BC247" i="1"/>
  <c r="AT241" i="1"/>
  <c r="AU230" i="1"/>
  <c r="BE221" i="1"/>
  <c r="AY173" i="1"/>
  <c r="AI344" i="1"/>
  <c r="AI141" i="1"/>
  <c r="AX227" i="1"/>
  <c r="BF220" i="1"/>
  <c r="AX219" i="1"/>
  <c r="AY212" i="1"/>
  <c r="AT203" i="1"/>
  <c r="BF201" i="1"/>
  <c r="BE195" i="1"/>
  <c r="AT188" i="1"/>
  <c r="AT180" i="1"/>
  <c r="BD178" i="1"/>
  <c r="AT173" i="1"/>
  <c r="BD170" i="1"/>
  <c r="BC166" i="1"/>
  <c r="AY162" i="1"/>
  <c r="AU154" i="1"/>
  <c r="AY146" i="1"/>
  <c r="AT133" i="1"/>
  <c r="AU130" i="1"/>
  <c r="AX111" i="1"/>
  <c r="AY104" i="1"/>
  <c r="BD95" i="1"/>
  <c r="BD87" i="1"/>
  <c r="BC85" i="1"/>
  <c r="AT246" i="1"/>
  <c r="BC246" i="1"/>
  <c r="BE246" i="1"/>
  <c r="AY246" i="1"/>
  <c r="BF246" i="1"/>
  <c r="BD246" i="1"/>
  <c r="AT254" i="1"/>
  <c r="AK93" i="1"/>
  <c r="AY214" i="1"/>
  <c r="BC144" i="1"/>
  <c r="AZ96" i="1"/>
  <c r="AI275" i="1"/>
  <c r="AI368" i="1"/>
  <c r="AI360" i="1"/>
  <c r="BC222" i="1"/>
  <c r="BE211" i="1"/>
  <c r="BD204" i="1"/>
  <c r="AX203" i="1"/>
  <c r="BD201" i="1"/>
  <c r="AU195" i="1"/>
  <c r="BC195" i="1"/>
  <c r="BE189" i="1"/>
  <c r="BF187" i="1"/>
  <c r="BC180" i="1"/>
  <c r="AY178" i="1"/>
  <c r="AT172" i="1"/>
  <c r="AT164" i="1"/>
  <c r="AT158" i="1"/>
  <c r="BD154" i="1"/>
  <c r="BD146" i="1"/>
  <c r="BC136" i="1"/>
  <c r="BC133" i="1"/>
  <c r="AX117" i="1"/>
  <c r="BC111" i="1"/>
  <c r="BD86" i="1"/>
  <c r="AZ130" i="1"/>
  <c r="AZ98" i="1"/>
  <c r="BC227" i="1"/>
  <c r="AX254" i="1"/>
  <c r="AZ254" i="1"/>
  <c r="AT223" i="1"/>
  <c r="AU216" i="1"/>
  <c r="AU213" i="1"/>
  <c r="AT210" i="1"/>
  <c r="BD205" i="1"/>
  <c r="AY190" i="1"/>
  <c r="AT183" i="1"/>
  <c r="AX175" i="1"/>
  <c r="AT167" i="1"/>
  <c r="AX162" i="1"/>
  <c r="AX154" i="1"/>
  <c r="AU147" i="1"/>
  <c r="BD83" i="1"/>
  <c r="AU224" i="1"/>
  <c r="BD221" i="1"/>
  <c r="BC198" i="1"/>
  <c r="AX159" i="1"/>
  <c r="BC153" i="1"/>
  <c r="AT138" i="1"/>
  <c r="BD131" i="1"/>
  <c r="AT123" i="1"/>
  <c r="AY115" i="1"/>
  <c r="AY99" i="1"/>
  <c r="AU91" i="1"/>
  <c r="AZ175" i="1"/>
  <c r="AI259" i="1"/>
  <c r="AX246" i="1"/>
  <c r="AZ237" i="1"/>
  <c r="AY230" i="1"/>
  <c r="AY224" i="1"/>
  <c r="AU222" i="1"/>
  <c r="AY221" i="1"/>
  <c r="AY216" i="1"/>
  <c r="BF213" i="1"/>
  <c r="BC210" i="1"/>
  <c r="AU206" i="1"/>
  <c r="AU205" i="1"/>
  <c r="AT198" i="1"/>
  <c r="BC197" i="1"/>
  <c r="AT193" i="1"/>
  <c r="BE191" i="1"/>
  <c r="BF190" i="1"/>
  <c r="BC185" i="1"/>
  <c r="AX183" i="1"/>
  <c r="AT178" i="1"/>
  <c r="AT170" i="1"/>
  <c r="AX167" i="1"/>
  <c r="AT154" i="1"/>
  <c r="AY147" i="1"/>
  <c r="AU139" i="1"/>
  <c r="AZ139" i="1"/>
  <c r="AX138" i="1"/>
  <c r="AY123" i="1"/>
  <c r="AX122" i="1"/>
  <c r="BD115" i="1"/>
  <c r="BD107" i="1"/>
  <c r="AX104" i="1"/>
  <c r="BC98" i="1"/>
  <c r="AY94" i="1"/>
  <c r="AY91" i="1"/>
  <c r="AU88" i="1"/>
  <c r="AZ83" i="1"/>
  <c r="AZ198" i="1"/>
  <c r="AU232" i="1"/>
  <c r="BE224" i="1"/>
  <c r="AY222" i="1"/>
  <c r="AY206" i="1"/>
  <c r="AT202" i="1"/>
  <c r="AU199" i="1"/>
  <c r="AT185" i="1"/>
  <c r="BD180" i="1"/>
  <c r="AT176" i="1"/>
  <c r="BD164" i="1"/>
  <c r="AT156" i="1"/>
  <c r="AZ154" i="1"/>
  <c r="AT122" i="1"/>
  <c r="BD110" i="1"/>
  <c r="AU107" i="1"/>
  <c r="AT104" i="1"/>
  <c r="AT96" i="1"/>
  <c r="AX82" i="1"/>
  <c r="AZ216" i="1"/>
  <c r="AT146" i="1"/>
  <c r="AZ147" i="1"/>
  <c r="AT143" i="1"/>
  <c r="BC95" i="1"/>
  <c r="AZ95" i="1"/>
  <c r="BC207" i="1"/>
  <c r="AT207" i="1"/>
  <c r="AH360" i="1"/>
  <c r="AH328" i="1"/>
  <c r="BC223" i="1"/>
  <c r="AT215" i="1"/>
  <c r="AZ207" i="1"/>
  <c r="AY199" i="1"/>
  <c r="AT192" i="1"/>
  <c r="AX176" i="1"/>
  <c r="BC156" i="1"/>
  <c r="AZ153" i="1"/>
  <c r="AX137" i="1"/>
  <c r="BC123" i="1"/>
  <c r="BD94" i="1"/>
  <c r="AY144" i="1"/>
  <c r="AU144" i="1"/>
  <c r="AY136" i="1"/>
  <c r="AU136" i="1"/>
  <c r="AY124" i="1"/>
  <c r="AU124" i="1"/>
  <c r="AT232" i="1"/>
  <c r="AZ232" i="1"/>
  <c r="AT152" i="1"/>
  <c r="AX152" i="1"/>
  <c r="AX128" i="1"/>
  <c r="BC128" i="1"/>
  <c r="BC120" i="1"/>
  <c r="AT120" i="1"/>
  <c r="AX88" i="1"/>
  <c r="BC88" i="1"/>
  <c r="BC229" i="1"/>
  <c r="BE229" i="1"/>
  <c r="AH326" i="1"/>
  <c r="AK312" i="1"/>
  <c r="AT237" i="1"/>
  <c r="AX229" i="1"/>
  <c r="BD222" i="1"/>
  <c r="BE215" i="1"/>
  <c r="BE207" i="1"/>
  <c r="BF199" i="1"/>
  <c r="AX192" i="1"/>
  <c r="AZ120" i="1"/>
  <c r="AZ162" i="1"/>
  <c r="AU162" i="1"/>
  <c r="AY194" i="1"/>
  <c r="BF194" i="1"/>
  <c r="AU172" i="1"/>
  <c r="BD172" i="1"/>
  <c r="AZ121" i="1"/>
  <c r="AX101" i="1"/>
  <c r="BC101" i="1"/>
  <c r="AT93" i="1"/>
  <c r="BC93" i="1"/>
  <c r="BD165" i="1"/>
  <c r="AY165" i="1"/>
  <c r="AX135" i="1"/>
  <c r="AT135" i="1"/>
  <c r="BC221" i="1"/>
  <c r="AT221" i="1"/>
  <c r="BD197" i="1"/>
  <c r="AU197" i="1"/>
  <c r="BD181" i="1"/>
  <c r="AY181" i="1"/>
  <c r="L48" i="7"/>
  <c r="AC48" i="7" s="1"/>
  <c r="AG201" i="1"/>
  <c r="AH185" i="1"/>
  <c r="AH123" i="1"/>
  <c r="AI144" i="1"/>
  <c r="AT245" i="1"/>
  <c r="AU238" i="1"/>
  <c r="AZ197" i="1"/>
  <c r="AT168" i="1"/>
  <c r="AU159" i="1"/>
  <c r="AY152" i="1"/>
  <c r="AU125" i="1"/>
  <c r="AZ123" i="1"/>
  <c r="AX121" i="1"/>
  <c r="AX107" i="1"/>
  <c r="BC103" i="1"/>
  <c r="AY88" i="1"/>
  <c r="AZ87" i="1"/>
  <c r="BE214" i="1"/>
  <c r="AX214" i="1"/>
  <c r="BE206" i="1"/>
  <c r="BC206" i="1"/>
  <c r="BC110" i="1"/>
  <c r="AX110" i="1"/>
  <c r="AZ102" i="1"/>
  <c r="AZ94" i="1"/>
  <c r="AT94" i="1"/>
  <c r="AZ209" i="1"/>
  <c r="BF209" i="1"/>
  <c r="AZ186" i="1"/>
  <c r="BD186" i="1"/>
  <c r="BC171" i="1"/>
  <c r="AT171" i="1"/>
  <c r="AZ143" i="1"/>
  <c r="AY103" i="1"/>
  <c r="BD103" i="1"/>
  <c r="E53" i="4"/>
  <c r="E55" i="4" s="1"/>
  <c r="M51" i="4"/>
  <c r="AG141" i="1"/>
  <c r="AK296" i="1"/>
  <c r="AK105" i="1"/>
  <c r="AG115" i="1"/>
  <c r="V15" i="7"/>
  <c r="AI136" i="1"/>
  <c r="AZ229" i="1"/>
  <c r="AZ221" i="1"/>
  <c r="BC219" i="1"/>
  <c r="AT216" i="1"/>
  <c r="BC215" i="1"/>
  <c r="AZ213" i="1"/>
  <c r="BD211" i="1"/>
  <c r="BC208" i="1"/>
  <c r="AX207" i="1"/>
  <c r="AZ205" i="1"/>
  <c r="AU203" i="1"/>
  <c r="AZ199" i="1"/>
  <c r="BE197" i="1"/>
  <c r="AY195" i="1"/>
  <c r="AX195" i="1"/>
  <c r="BE192" i="1"/>
  <c r="AU189" i="1"/>
  <c r="BC188" i="1"/>
  <c r="BD187" i="1"/>
  <c r="AT184" i="1"/>
  <c r="AT181" i="1"/>
  <c r="BC174" i="1"/>
  <c r="AZ168" i="1"/>
  <c r="AX165" i="1"/>
  <c r="BD159" i="1"/>
  <c r="AZ159" i="1"/>
  <c r="BC152" i="1"/>
  <c r="BC143" i="1"/>
  <c r="AU138" i="1"/>
  <c r="AT136" i="1"/>
  <c r="AY130" i="1"/>
  <c r="BC129" i="1"/>
  <c r="BC121" i="1"/>
  <c r="BD119" i="1"/>
  <c r="AT117" i="1"/>
  <c r="BC112" i="1"/>
  <c r="AZ111" i="1"/>
  <c r="AT107" i="1"/>
  <c r="BD104" i="1"/>
  <c r="AY102" i="1"/>
  <c r="AT101" i="1"/>
  <c r="AY86" i="1"/>
  <c r="AX85" i="1"/>
  <c r="AU210" i="1"/>
  <c r="AY210" i="1"/>
  <c r="AT153" i="1"/>
  <c r="AT137" i="1"/>
  <c r="AT129" i="1"/>
  <c r="AY112" i="1"/>
  <c r="AU112" i="1"/>
  <c r="BD196" i="1"/>
  <c r="BF196" i="1"/>
  <c r="AT148" i="1"/>
  <c r="AT140" i="1"/>
  <c r="AT132" i="1"/>
  <c r="AT124" i="1"/>
  <c r="AX200" i="1"/>
  <c r="BC200" i="1"/>
  <c r="AZ184" i="1"/>
  <c r="BD176" i="1"/>
  <c r="AU176" i="1"/>
  <c r="AU160" i="1"/>
  <c r="AY160" i="1"/>
  <c r="AY137" i="1"/>
  <c r="BD137" i="1"/>
  <c r="BD85" i="1"/>
  <c r="AU85" i="1"/>
  <c r="BC155" i="1"/>
  <c r="AZ208" i="1"/>
  <c r="AZ182" i="1"/>
  <c r="AT147" i="1"/>
  <c r="AT130" i="1"/>
  <c r="AT242" i="1"/>
  <c r="BC242" i="1"/>
  <c r="BE242" i="1"/>
  <c r="AY234" i="1"/>
  <c r="BD234" i="1"/>
  <c r="BF234" i="1"/>
  <c r="BD243" i="1"/>
  <c r="BF243" i="1"/>
  <c r="BC236" i="1"/>
  <c r="BE236" i="1"/>
  <c r="BC239" i="1"/>
  <c r="BE239" i="1"/>
  <c r="BC237" i="1"/>
  <c r="BE237" i="1"/>
  <c r="BC241" i="1"/>
  <c r="BE241" i="1"/>
  <c r="AZ243" i="1"/>
  <c r="AX239" i="1"/>
  <c r="AY226" i="1"/>
  <c r="BF223" i="1"/>
  <c r="AY215" i="1"/>
  <c r="AZ215" i="1"/>
  <c r="BF207" i="1"/>
  <c r="AT200" i="1"/>
  <c r="AY193" i="1"/>
  <c r="AY192" i="1"/>
  <c r="AY184" i="1"/>
  <c r="AY171" i="1"/>
  <c r="AU168" i="1"/>
  <c r="AY153" i="1"/>
  <c r="BD145" i="1"/>
  <c r="BC124" i="1"/>
  <c r="BD120" i="1"/>
  <c r="BD112" i="1"/>
  <c r="BC92" i="1"/>
  <c r="AZ240" i="1"/>
  <c r="BC240" i="1"/>
  <c r="BE240" i="1"/>
  <c r="AU241" i="1"/>
  <c r="BD241" i="1"/>
  <c r="BF241" i="1"/>
  <c r="AT234" i="1"/>
  <c r="BC234" i="1"/>
  <c r="BE234" i="1"/>
  <c r="BD237" i="1"/>
  <c r="BF237" i="1"/>
  <c r="BD244" i="1"/>
  <c r="BF244" i="1"/>
  <c r="BC235" i="1"/>
  <c r="BE235" i="1"/>
  <c r="AI140" i="1"/>
  <c r="AT236" i="1"/>
  <c r="BD223" i="1"/>
  <c r="AY218" i="1"/>
  <c r="AU215" i="1"/>
  <c r="BD207" i="1"/>
  <c r="BE200" i="1"/>
  <c r="BC187" i="1"/>
  <c r="AY185" i="1"/>
  <c r="AU184" i="1"/>
  <c r="AZ179" i="1"/>
  <c r="BD168" i="1"/>
  <c r="BC161" i="1"/>
  <c r="AZ145" i="1"/>
  <c r="BD140" i="1"/>
  <c r="AZ124" i="1"/>
  <c r="BC116" i="1"/>
  <c r="AZ112" i="1"/>
  <c r="AZ108" i="1"/>
  <c r="BC100" i="1"/>
  <c r="AZ92" i="1"/>
  <c r="BC84" i="1"/>
  <c r="BD238" i="1"/>
  <c r="BF238" i="1"/>
  <c r="AU239" i="1"/>
  <c r="BD239" i="1"/>
  <c r="BF239" i="1"/>
  <c r="AZ200" i="1"/>
  <c r="AY235" i="1"/>
  <c r="BD235" i="1"/>
  <c r="BF235" i="1"/>
  <c r="BD242" i="1"/>
  <c r="BF242" i="1"/>
  <c r="AU243" i="1"/>
  <c r="AZ226" i="1"/>
  <c r="AY202" i="1"/>
  <c r="BE187" i="1"/>
  <c r="BD184" i="1"/>
  <c r="AX177" i="1"/>
  <c r="AZ171" i="1"/>
  <c r="AU163" i="1"/>
  <c r="AY155" i="1"/>
  <c r="BD148" i="1"/>
  <c r="BC140" i="1"/>
  <c r="BD132" i="1"/>
  <c r="BC108" i="1"/>
  <c r="AZ84" i="1"/>
  <c r="AZ244" i="1"/>
  <c r="BC244" i="1"/>
  <c r="BE244" i="1"/>
  <c r="AU236" i="1"/>
  <c r="BD236" i="1"/>
  <c r="BF236" i="1"/>
  <c r="AT238" i="1"/>
  <c r="BC238" i="1"/>
  <c r="BE238" i="1"/>
  <c r="AX243" i="1"/>
  <c r="BC243" i="1"/>
  <c r="BE243" i="1"/>
  <c r="AU240" i="1"/>
  <c r="BD240" i="1"/>
  <c r="BF240" i="1"/>
  <c r="AZ246" i="1"/>
  <c r="AU246" i="1"/>
  <c r="AY245" i="1"/>
  <c r="BF245" i="1"/>
  <c r="BD245" i="1"/>
  <c r="AR373" i="1"/>
  <c r="BC245" i="1"/>
  <c r="BE245" i="1"/>
  <c r="AR371" i="1"/>
  <c r="AS371" i="1" s="1"/>
  <c r="BC216" i="1"/>
  <c r="AT240" i="1"/>
  <c r="AY241" i="1"/>
  <c r="AZ239" i="1"/>
  <c r="AX238" i="1"/>
  <c r="AZ224" i="1"/>
  <c r="AT126" i="1"/>
  <c r="AZ190" i="1"/>
  <c r="AT151" i="1"/>
  <c r="AU235" i="1"/>
  <c r="AZ235" i="1"/>
  <c r="AZ234" i="1"/>
  <c r="BF191" i="1"/>
  <c r="BD191" i="1"/>
  <c r="AZ174" i="1"/>
  <c r="AU174" i="1"/>
  <c r="AY150" i="1"/>
  <c r="AU150" i="1"/>
  <c r="BD142" i="1"/>
  <c r="AU142" i="1"/>
  <c r="BD134" i="1"/>
  <c r="AU134" i="1"/>
  <c r="AU118" i="1"/>
  <c r="AY118" i="1"/>
  <c r="AZ167" i="1"/>
  <c r="BD167" i="1"/>
  <c r="AX99" i="1"/>
  <c r="AZ99" i="1"/>
  <c r="AZ91" i="1"/>
  <c r="BC91" i="1"/>
  <c r="BC83" i="1"/>
  <c r="AX83" i="1"/>
  <c r="AT119" i="1"/>
  <c r="AX119" i="1"/>
  <c r="BD82" i="1"/>
  <c r="AY82" i="1"/>
  <c r="BE231" i="1"/>
  <c r="BC231" i="1"/>
  <c r="BC131" i="1"/>
  <c r="AT131" i="1"/>
  <c r="BC113" i="1"/>
  <c r="AT113" i="1"/>
  <c r="AZ100" i="1"/>
  <c r="AU100" i="1"/>
  <c r="AV84" i="4"/>
  <c r="P18" i="7"/>
  <c r="T10" i="7"/>
  <c r="AX242" i="1"/>
  <c r="AX234" i="1"/>
  <c r="AT231" i="1"/>
  <c r="BD226" i="1"/>
  <c r="AX226" i="1"/>
  <c r="AZ223" i="1"/>
  <c r="AT218" i="1"/>
  <c r="AZ218" i="1"/>
  <c r="BE216" i="1"/>
  <c r="BE213" i="1"/>
  <c r="AT208" i="1"/>
  <c r="BE205" i="1"/>
  <c r="AU200" i="1"/>
  <c r="AT199" i="1"/>
  <c r="AY197" i="1"/>
  <c r="BC191" i="1"/>
  <c r="BC190" i="1"/>
  <c r="AU175" i="1"/>
  <c r="AX151" i="1"/>
  <c r="BC135" i="1"/>
  <c r="AZ131" i="1"/>
  <c r="AZ119" i="1"/>
  <c r="AX113" i="1"/>
  <c r="BD100" i="1"/>
  <c r="AU90" i="1"/>
  <c r="AU82" i="1"/>
  <c r="AZ128" i="1"/>
  <c r="AY128" i="1"/>
  <c r="BD116" i="1"/>
  <c r="AY116" i="1"/>
  <c r="AU108" i="1"/>
  <c r="AY108" i="1"/>
  <c r="BC189" i="1"/>
  <c r="AZ189" i="1"/>
  <c r="AC63" i="4"/>
  <c r="AD63" i="4" s="1"/>
  <c r="AZ242" i="1"/>
  <c r="AX240" i="1"/>
  <c r="AX231" i="1"/>
  <c r="BC226" i="1"/>
  <c r="BD224" i="1"/>
  <c r="BC224" i="1"/>
  <c r="BE223" i="1"/>
  <c r="BE218" i="1"/>
  <c r="AX216" i="1"/>
  <c r="BD214" i="1"/>
  <c r="AT214" i="1"/>
  <c r="AZ214" i="1"/>
  <c r="AX213" i="1"/>
  <c r="BE208" i="1"/>
  <c r="BD206" i="1"/>
  <c r="AT206" i="1"/>
  <c r="AZ206" i="1"/>
  <c r="AX205" i="1"/>
  <c r="AY200" i="1"/>
  <c r="BE199" i="1"/>
  <c r="AY198" i="1"/>
  <c r="BF197" i="1"/>
  <c r="AT197" i="1"/>
  <c r="AZ191" i="1"/>
  <c r="AT190" i="1"/>
  <c r="AY189" i="1"/>
  <c r="AT189" i="1"/>
  <c r="BD183" i="1"/>
  <c r="AX181" i="1"/>
  <c r="BD175" i="1"/>
  <c r="BC173" i="1"/>
  <c r="AU167" i="1"/>
  <c r="BC165" i="1"/>
  <c r="AT162" i="1"/>
  <c r="BC151" i="1"/>
  <c r="AT149" i="1"/>
  <c r="AZ146" i="1"/>
  <c r="BD144" i="1"/>
  <c r="AZ144" i="1"/>
  <c r="AZ138" i="1"/>
  <c r="BD136" i="1"/>
  <c r="AZ136" i="1"/>
  <c r="AX131" i="1"/>
  <c r="BD128" i="1"/>
  <c r="BD124" i="1"/>
  <c r="BD118" i="1"/>
  <c r="AZ116" i="1"/>
  <c r="AT99" i="1"/>
  <c r="AY90" i="1"/>
  <c r="AH362" i="1"/>
  <c r="AK304" i="1"/>
  <c r="AK2" i="2"/>
  <c r="AK1" i="2" s="1"/>
  <c r="AU234" i="1"/>
  <c r="AZ231" i="1"/>
  <c r="BE226" i="1"/>
  <c r="AT224" i="1"/>
  <c r="BD218" i="1"/>
  <c r="AT213" i="1"/>
  <c r="BF208" i="1"/>
  <c r="AT205" i="1"/>
  <c r="BD200" i="1"/>
  <c r="BD198" i="1"/>
  <c r="AX191" i="1"/>
  <c r="AX190" i="1"/>
  <c r="BF189" i="1"/>
  <c r="AY183" i="1"/>
  <c r="AZ183" i="1"/>
  <c r="AU181" i="1"/>
  <c r="AZ181" i="1"/>
  <c r="AY175" i="1"/>
  <c r="BD173" i="1"/>
  <c r="AZ173" i="1"/>
  <c r="AY167" i="1"/>
  <c r="BD166" i="1"/>
  <c r="AU165" i="1"/>
  <c r="AZ165" i="1"/>
  <c r="BD152" i="1"/>
  <c r="AZ152" i="1"/>
  <c r="AZ151" i="1"/>
  <c r="BC149" i="1"/>
  <c r="AY110" i="1"/>
  <c r="BC99" i="1"/>
  <c r="AT91" i="1"/>
  <c r="AT83" i="1"/>
  <c r="BC130" i="1"/>
  <c r="AX130" i="1"/>
  <c r="BC114" i="1"/>
  <c r="AT114" i="1"/>
  <c r="AZ106" i="1"/>
  <c r="AT106" i="1"/>
  <c r="AX98" i="1"/>
  <c r="AT98" i="1"/>
  <c r="AT90" i="1"/>
  <c r="AZ90" i="1"/>
  <c r="AZ82" i="1"/>
  <c r="BC82" i="1"/>
  <c r="AZ192" i="1"/>
  <c r="AU192" i="1"/>
  <c r="AZ176" i="1"/>
  <c r="AY176" i="1"/>
  <c r="AZ160" i="1"/>
  <c r="BD160" i="1"/>
  <c r="AY129" i="1"/>
  <c r="BD129" i="1"/>
  <c r="AY117" i="1"/>
  <c r="AU117" i="1"/>
  <c r="AU101" i="1"/>
  <c r="AY101" i="1"/>
  <c r="AX112" i="1"/>
  <c r="AZ104" i="1"/>
  <c r="AX96" i="1"/>
  <c r="AT88" i="1"/>
  <c r="AZ122" i="1"/>
  <c r="AZ212" i="1"/>
  <c r="AZ204" i="1"/>
  <c r="AZ150" i="1"/>
  <c r="AZ142" i="1"/>
  <c r="AZ134" i="1"/>
  <c r="AZ126" i="1"/>
  <c r="AZ118" i="1"/>
  <c r="AZ196" i="1"/>
  <c r="AZ188" i="1"/>
  <c r="AZ149" i="1"/>
  <c r="AZ141" i="1"/>
  <c r="AZ133" i="1"/>
  <c r="AZ113" i="1"/>
  <c r="AZ105" i="1"/>
  <c r="AZ97" i="1"/>
  <c r="AZ89" i="1"/>
  <c r="BF145" i="1"/>
  <c r="AZ236" i="1"/>
  <c r="AZ220" i="1"/>
  <c r="AZ193" i="1"/>
  <c r="AZ178" i="1"/>
  <c r="AZ170" i="1"/>
  <c r="AZ241" i="1"/>
  <c r="AZ163" i="1"/>
  <c r="AZ155" i="1"/>
  <c r="AZ135" i="1"/>
  <c r="BF228" i="1"/>
  <c r="BD228" i="1"/>
  <c r="BF137" i="1"/>
  <c r="BF129" i="1"/>
  <c r="BE230" i="1"/>
  <c r="BC230" i="1"/>
  <c r="BF227" i="1"/>
  <c r="BD227" i="1"/>
  <c r="BF146" i="1"/>
  <c r="BF138" i="1"/>
  <c r="BF130" i="1"/>
  <c r="N19" i="4"/>
  <c r="M19" i="4"/>
  <c r="AZ227" i="1"/>
  <c r="AT244" i="1"/>
  <c r="AZ238" i="1"/>
  <c r="AT222" i="1"/>
  <c r="AZ222" i="1"/>
  <c r="AU220" i="1"/>
  <c r="AY219" i="1"/>
  <c r="AZ219" i="1"/>
  <c r="AX212" i="1"/>
  <c r="AY211" i="1"/>
  <c r="AZ211" i="1"/>
  <c r="BD210" i="1"/>
  <c r="AZ210" i="1"/>
  <c r="AX204" i="1"/>
  <c r="AY203" i="1"/>
  <c r="AZ203" i="1"/>
  <c r="BD202" i="1"/>
  <c r="AZ202" i="1"/>
  <c r="AU196" i="1"/>
  <c r="AX196" i="1"/>
  <c r="BF193" i="1"/>
  <c r="AY188" i="1"/>
  <c r="AZ187" i="1"/>
  <c r="BD185" i="1"/>
  <c r="AY180" i="1"/>
  <c r="AZ180" i="1"/>
  <c r="BC177" i="1"/>
  <c r="AY172" i="1"/>
  <c r="AZ172" i="1"/>
  <c r="BC169" i="1"/>
  <c r="AZ161" i="1"/>
  <c r="AX158" i="1"/>
  <c r="AT150" i="1"/>
  <c r="AY149" i="1"/>
  <c r="AY148" i="1"/>
  <c r="AZ148" i="1"/>
  <c r="AX142" i="1"/>
  <c r="BD141" i="1"/>
  <c r="AY140" i="1"/>
  <c r="AZ140" i="1"/>
  <c r="AX134" i="1"/>
  <c r="BD133" i="1"/>
  <c r="AY132" i="1"/>
  <c r="AZ132" i="1"/>
  <c r="AU126" i="1"/>
  <c r="AX126" i="1"/>
  <c r="BD125" i="1"/>
  <c r="AY122" i="1"/>
  <c r="AU121" i="1"/>
  <c r="AT118" i="1"/>
  <c r="AU114" i="1"/>
  <c r="AY113" i="1"/>
  <c r="AT110" i="1"/>
  <c r="BD105" i="1"/>
  <c r="AX103" i="1"/>
  <c r="AT102" i="1"/>
  <c r="AY97" i="1"/>
  <c r="AT95" i="1"/>
  <c r="AX94" i="1"/>
  <c r="AY89" i="1"/>
  <c r="AT87" i="1"/>
  <c r="AX86" i="1"/>
  <c r="BF147" i="1"/>
  <c r="BF139" i="1"/>
  <c r="BF131" i="1"/>
  <c r="BF125" i="1"/>
  <c r="BE228" i="1"/>
  <c r="BC228" i="1"/>
  <c r="BF233" i="1"/>
  <c r="BD233" i="1"/>
  <c r="BF140" i="1"/>
  <c r="BF132" i="1"/>
  <c r="BF124" i="1"/>
  <c r="V19" i="7"/>
  <c r="R11" i="7"/>
  <c r="P32" i="7"/>
  <c r="AY227" i="1"/>
  <c r="AU245" i="1"/>
  <c r="AZ245" i="1"/>
  <c r="AX244" i="1"/>
  <c r="AT243" i="1"/>
  <c r="AX236" i="1"/>
  <c r="AY233" i="1"/>
  <c r="AT230" i="1"/>
  <c r="BF226" i="1"/>
  <c r="AU225" i="1"/>
  <c r="AZ225" i="1"/>
  <c r="BE222" i="1"/>
  <c r="AY220" i="1"/>
  <c r="BC220" i="1"/>
  <c r="AU219" i="1"/>
  <c r="BF218" i="1"/>
  <c r="BD217" i="1"/>
  <c r="BC212" i="1"/>
  <c r="AU211" i="1"/>
  <c r="BF210" i="1"/>
  <c r="BE210" i="1"/>
  <c r="BD209" i="1"/>
  <c r="AY208" i="1"/>
  <c r="BC204" i="1"/>
  <c r="BF203" i="1"/>
  <c r="BF202" i="1"/>
  <c r="BE202" i="1"/>
  <c r="AU201" i="1"/>
  <c r="AZ201" i="1"/>
  <c r="AX199" i="1"/>
  <c r="AY196" i="1"/>
  <c r="BC196" i="1"/>
  <c r="AU194" i="1"/>
  <c r="AZ194" i="1"/>
  <c r="BD193" i="1"/>
  <c r="BC193" i="1"/>
  <c r="BE193" i="1"/>
  <c r="AY191" i="1"/>
  <c r="BD188" i="1"/>
  <c r="AT187" i="1"/>
  <c r="AU186" i="1"/>
  <c r="BF185" i="1"/>
  <c r="AZ185" i="1"/>
  <c r="AX185" i="1"/>
  <c r="BD182" i="1"/>
  <c r="AU179" i="1"/>
  <c r="AX179" i="1"/>
  <c r="BC178" i="1"/>
  <c r="AZ177" i="1"/>
  <c r="BD174" i="1"/>
  <c r="AU171" i="1"/>
  <c r="AX171" i="1"/>
  <c r="BC170" i="1"/>
  <c r="AZ169" i="1"/>
  <c r="AU166" i="1"/>
  <c r="AU164" i="1"/>
  <c r="AZ164" i="1"/>
  <c r="AY163" i="1"/>
  <c r="BC163" i="1"/>
  <c r="AT161" i="1"/>
  <c r="AZ156" i="1"/>
  <c r="AT155" i="1"/>
  <c r="AU151" i="1"/>
  <c r="BD150" i="1"/>
  <c r="BC150" i="1"/>
  <c r="BD149" i="1"/>
  <c r="AX148" i="1"/>
  <c r="AU143" i="1"/>
  <c r="AY142" i="1"/>
  <c r="BC142" i="1"/>
  <c r="AY141" i="1"/>
  <c r="AX140" i="1"/>
  <c r="AU135" i="1"/>
  <c r="AY134" i="1"/>
  <c r="BC134" i="1"/>
  <c r="AY133" i="1"/>
  <c r="AX132" i="1"/>
  <c r="AU127" i="1"/>
  <c r="AY126" i="1"/>
  <c r="BC126" i="1"/>
  <c r="AY125" i="1"/>
  <c r="AX124" i="1"/>
  <c r="AU122" i="1"/>
  <c r="BD121" i="1"/>
  <c r="AY119" i="1"/>
  <c r="BC118" i="1"/>
  <c r="AX116" i="1"/>
  <c r="AY114" i="1"/>
  <c r="AZ114" i="1"/>
  <c r="BD113" i="1"/>
  <c r="AY111" i="1"/>
  <c r="AZ110" i="1"/>
  <c r="AX108" i="1"/>
  <c r="AU105" i="1"/>
  <c r="AU103" i="1"/>
  <c r="AZ103" i="1"/>
  <c r="BC102" i="1"/>
  <c r="AZ101" i="1"/>
  <c r="AX100" i="1"/>
  <c r="BD97" i="1"/>
  <c r="AU95" i="1"/>
  <c r="AX95" i="1"/>
  <c r="BC94" i="1"/>
  <c r="AZ93" i="1"/>
  <c r="AT92" i="1"/>
  <c r="BD89" i="1"/>
  <c r="AU87" i="1"/>
  <c r="AX87" i="1"/>
  <c r="BC86" i="1"/>
  <c r="AZ85" i="1"/>
  <c r="AT84" i="1"/>
  <c r="BF232" i="1"/>
  <c r="BD232" i="1"/>
  <c r="BF141" i="1"/>
  <c r="BF133" i="1"/>
  <c r="BF231" i="1"/>
  <c r="BD231" i="1"/>
  <c r="BF142" i="1"/>
  <c r="BF134" i="1"/>
  <c r="BF126" i="1"/>
  <c r="R31" i="7"/>
  <c r="AI152" i="1"/>
  <c r="T34" i="7"/>
  <c r="T26" i="7"/>
  <c r="T32" i="7"/>
  <c r="P12" i="7"/>
  <c r="AT228" i="1"/>
  <c r="AX230" i="1"/>
  <c r="AT220" i="1"/>
  <c r="AY217" i="1"/>
  <c r="AT212" i="1"/>
  <c r="AY209" i="1"/>
  <c r="BD208" i="1"/>
  <c r="AT204" i="1"/>
  <c r="AT196" i="1"/>
  <c r="BF188" i="1"/>
  <c r="AY186" i="1"/>
  <c r="AY182" i="1"/>
  <c r="AY174" i="1"/>
  <c r="AY143" i="1"/>
  <c r="AY135" i="1"/>
  <c r="AY127" i="1"/>
  <c r="BD122" i="1"/>
  <c r="AU233" i="1"/>
  <c r="BF230" i="1"/>
  <c r="BD230" i="1"/>
  <c r="BF143" i="1"/>
  <c r="BF135" i="1"/>
  <c r="BF127" i="1"/>
  <c r="BE232" i="1"/>
  <c r="BC232" i="1"/>
  <c r="BF229" i="1"/>
  <c r="BD229" i="1"/>
  <c r="BF144" i="1"/>
  <c r="BF136" i="1"/>
  <c r="BF128" i="1"/>
  <c r="AI306" i="1"/>
  <c r="AI95" i="1"/>
  <c r="AI137" i="1"/>
  <c r="AI290" i="1"/>
  <c r="AX155" i="1"/>
  <c r="AI338" i="1"/>
  <c r="H1" i="1"/>
  <c r="G1" i="1" s="1"/>
  <c r="E1" i="2"/>
  <c r="AU228" i="1"/>
  <c r="AX232" i="1"/>
  <c r="AI257" i="1"/>
  <c r="AJ127" i="1"/>
  <c r="AJ2" i="1"/>
  <c r="AK117" i="1"/>
  <c r="AK286" i="1"/>
  <c r="AI354" i="1"/>
  <c r="AI322" i="1"/>
  <c r="F77" i="5"/>
  <c r="AF1" i="1"/>
  <c r="AY156" i="1"/>
  <c r="BD156" i="1"/>
  <c r="BD158" i="1"/>
  <c r="AY158" i="1"/>
  <c r="AU158" i="1"/>
  <c r="AZ158" i="1"/>
  <c r="BC157" i="1"/>
  <c r="AX157" i="1"/>
  <c r="AT157" i="1"/>
  <c r="AZ157" i="1"/>
  <c r="BE184" i="1"/>
  <c r="BE183" i="1"/>
  <c r="BE182" i="1"/>
  <c r="BE181" i="1"/>
  <c r="BE180" i="1"/>
  <c r="BE179" i="1"/>
  <c r="BE178" i="1"/>
  <c r="BE177" i="1"/>
  <c r="BE176" i="1"/>
  <c r="BE175" i="1"/>
  <c r="BE174" i="1"/>
  <c r="BE173" i="1"/>
  <c r="BE172" i="1"/>
  <c r="BE168" i="1"/>
  <c r="BE164" i="1"/>
  <c r="BE155" i="1"/>
  <c r="BE169" i="1"/>
  <c r="BE165" i="1"/>
  <c r="BE162" i="1"/>
  <c r="BE160" i="1"/>
  <c r="BE158" i="1"/>
  <c r="BE156" i="1"/>
  <c r="BE170" i="1"/>
  <c r="BE166" i="1"/>
  <c r="BE171" i="1"/>
  <c r="BE167" i="1"/>
  <c r="BE163" i="1"/>
  <c r="BE161" i="1"/>
  <c r="BE159" i="1"/>
  <c r="BE157" i="1"/>
  <c r="AZ228" i="1"/>
  <c r="AX228" i="1"/>
  <c r="AU227" i="1"/>
  <c r="N65" i="4"/>
  <c r="P30" i="7"/>
  <c r="T14" i="7"/>
  <c r="AX2" i="2"/>
  <c r="AO1" i="2"/>
  <c r="AI358" i="1"/>
  <c r="AG354" i="1"/>
  <c r="AG257" i="1"/>
  <c r="AG290" i="1"/>
  <c r="AH95" i="1"/>
  <c r="AH358" i="1"/>
  <c r="AK354" i="1"/>
  <c r="AK136" i="1"/>
  <c r="AK308" i="1"/>
  <c r="AH109" i="1"/>
  <c r="AG127" i="1"/>
  <c r="V53" i="4"/>
  <c r="D39" i="7"/>
  <c r="S39" i="7" s="1"/>
  <c r="V22" i="7"/>
  <c r="T18" i="7"/>
  <c r="BF66" i="2"/>
  <c r="BF69" i="2" s="1"/>
  <c r="G77" i="5"/>
  <c r="AG338" i="1"/>
  <c r="AK249" i="1"/>
  <c r="AI340" i="1"/>
  <c r="AG322" i="1"/>
  <c r="AG306" i="1"/>
  <c r="AK324" i="1"/>
  <c r="AH117" i="1"/>
  <c r="E83" i="4"/>
  <c r="R14" i="7"/>
  <c r="F67" i="4"/>
  <c r="I67" i="4" s="1"/>
  <c r="AK338" i="1"/>
  <c r="AK257" i="1"/>
  <c r="AK241" i="1"/>
  <c r="AK144" i="1"/>
  <c r="AK322" i="1"/>
  <c r="AK306" i="1"/>
  <c r="AK290" i="1"/>
  <c r="AH38" i="4"/>
  <c r="AO38" i="4" s="1"/>
  <c r="W67" i="4"/>
  <c r="AI356" i="1"/>
  <c r="AI153" i="1"/>
  <c r="AH225" i="1"/>
  <c r="AK292" i="1"/>
  <c r="AG99" i="1"/>
  <c r="BI155" i="2"/>
  <c r="R35" i="7"/>
  <c r="G75" i="5"/>
  <c r="AG148" i="1"/>
  <c r="AG145" i="1"/>
  <c r="AK111" i="1"/>
  <c r="V10" i="7"/>
  <c r="AI145" i="1"/>
  <c r="AK113" i="1"/>
  <c r="AK362" i="1"/>
  <c r="V37" i="7"/>
  <c r="AK318" i="1"/>
  <c r="AK288" i="1"/>
  <c r="AI352" i="1"/>
  <c r="AG336" i="1"/>
  <c r="D38" i="7"/>
  <c r="S38" i="7" s="1"/>
  <c r="AK350" i="1"/>
  <c r="AK302" i="1"/>
  <c r="AH235" i="1"/>
  <c r="AK320" i="1"/>
  <c r="AI148" i="1"/>
  <c r="AH113" i="1"/>
  <c r="AK101" i="1"/>
  <c r="AI103" i="1"/>
  <c r="G76" i="5"/>
  <c r="AI366" i="1"/>
  <c r="AK334" i="1"/>
  <c r="AH294" i="1"/>
  <c r="AG304" i="1"/>
  <c r="AH344" i="1"/>
  <c r="AI209" i="1"/>
  <c r="AK328" i="1"/>
  <c r="AH296" i="1"/>
  <c r="AK109" i="1"/>
  <c r="AK97" i="1"/>
  <c r="AH119" i="1"/>
  <c r="AH103" i="1"/>
  <c r="AH91" i="1"/>
  <c r="AH217" i="1"/>
  <c r="AG2" i="2"/>
  <c r="V23" i="7"/>
  <c r="J67" i="4"/>
  <c r="I52" i="4"/>
  <c r="AB67" i="4"/>
  <c r="AK267" i="1"/>
  <c r="AK243" i="1"/>
  <c r="AH366" i="1"/>
  <c r="AH342" i="1"/>
  <c r="AH310" i="1"/>
  <c r="AI280" i="1"/>
  <c r="AI267" i="1"/>
  <c r="AI235" i="1"/>
  <c r="AG320" i="1"/>
  <c r="AG288" i="1"/>
  <c r="AH241" i="1"/>
  <c r="AG136" i="1"/>
  <c r="AG352" i="1"/>
  <c r="AI336" i="1"/>
  <c r="AG153" i="1"/>
  <c r="AG137" i="1"/>
  <c r="AH312" i="1"/>
  <c r="AK217" i="1"/>
  <c r="AG144" i="1"/>
  <c r="AG101" i="1"/>
  <c r="AG111" i="1"/>
  <c r="AI99" i="1"/>
  <c r="G38" i="7"/>
  <c r="V13" i="7"/>
  <c r="T30" i="7"/>
  <c r="AI316" i="1"/>
  <c r="AI131" i="1"/>
  <c r="BH67" i="2"/>
  <c r="P10" i="7"/>
  <c r="AP1" i="2"/>
  <c r="D69" i="5"/>
  <c r="AI332" i="1"/>
  <c r="AG330" i="1"/>
  <c r="AK121" i="1"/>
  <c r="AK89" i="1"/>
  <c r="AG107" i="1"/>
  <c r="M49" i="4"/>
  <c r="AH152" i="1"/>
  <c r="AI364" i="1"/>
  <c r="AK348" i="1"/>
  <c r="AG298" i="1"/>
  <c r="AI300" i="1"/>
  <c r="Y51" i="4"/>
  <c r="M39" i="7"/>
  <c r="P20" i="7"/>
  <c r="T6" i="3"/>
  <c r="J6" i="3"/>
  <c r="Q51" i="4"/>
  <c r="AH51" i="4" s="1"/>
  <c r="AK316" i="1"/>
  <c r="AK131" i="1"/>
  <c r="AH97" i="1"/>
  <c r="AK115" i="1"/>
  <c r="AH107" i="1"/>
  <c r="R34" i="7"/>
  <c r="F61" i="8"/>
  <c r="O67" i="4"/>
  <c r="AK368" i="1"/>
  <c r="AJ39" i="4"/>
  <c r="AG366" i="1"/>
  <c r="AG360" i="1"/>
  <c r="AI342" i="1"/>
  <c r="AI326" i="1"/>
  <c r="AI310" i="1"/>
  <c r="AI294" i="1"/>
  <c r="AK280" i="1"/>
  <c r="AG284" i="1"/>
  <c r="AI362" i="1"/>
  <c r="AG346" i="1"/>
  <c r="AH233" i="1"/>
  <c r="AG152" i="1"/>
  <c r="AK364" i="1"/>
  <c r="AI348" i="1"/>
  <c r="AG344" i="1"/>
  <c r="AK332" i="1"/>
  <c r="AG314" i="1"/>
  <c r="AK148" i="1"/>
  <c r="AI328" i="1"/>
  <c r="AI312" i="1"/>
  <c r="AI296" i="1"/>
  <c r="AI217" i="1"/>
  <c r="AH149" i="1"/>
  <c r="AH144" i="1"/>
  <c r="AG275" i="1"/>
  <c r="AK145" i="1"/>
  <c r="AH316" i="1"/>
  <c r="AH300" i="1"/>
  <c r="AH131" i="1"/>
  <c r="AI109" i="1"/>
  <c r="AH101" i="1"/>
  <c r="AH115" i="1"/>
  <c r="AH111" i="1"/>
  <c r="AK99" i="1"/>
  <c r="R30" i="7"/>
  <c r="T12" i="7"/>
  <c r="P34" i="7"/>
  <c r="P26" i="7"/>
  <c r="G74" i="5"/>
  <c r="AI2" i="2"/>
  <c r="M38" i="7"/>
  <c r="K61" i="8"/>
  <c r="AK233" i="1"/>
  <c r="AG364" i="1"/>
  <c r="AG332" i="1"/>
  <c r="AI314" i="1"/>
  <c r="AG149" i="1"/>
  <c r="AI225" i="1"/>
  <c r="AK300" i="1"/>
  <c r="AH121" i="1"/>
  <c r="AH89" i="1"/>
  <c r="N51" i="4"/>
  <c r="AW80" i="4"/>
  <c r="J81" i="4"/>
  <c r="AG368" i="1"/>
  <c r="K67" i="4"/>
  <c r="AK342" i="1"/>
  <c r="AK326" i="1"/>
  <c r="AK310" i="1"/>
  <c r="AK294" i="1"/>
  <c r="AH280" i="1"/>
  <c r="AI284" i="1"/>
  <c r="AH267" i="1"/>
  <c r="AK346" i="1"/>
  <c r="AI233" i="1"/>
  <c r="AK152" i="1"/>
  <c r="AG348" i="1"/>
  <c r="AI330" i="1"/>
  <c r="AI298" i="1"/>
  <c r="AI149" i="1"/>
  <c r="AK275" i="1"/>
  <c r="AK225" i="1"/>
  <c r="AI121" i="1"/>
  <c r="AI97" i="1"/>
  <c r="AI89" i="1"/>
  <c r="AI107" i="1"/>
  <c r="F38" i="7"/>
  <c r="U38" i="7" s="1"/>
  <c r="BH64" i="2"/>
  <c r="P22" i="7"/>
  <c r="O53" i="4"/>
  <c r="I61" i="8"/>
  <c r="AG38" i="4"/>
  <c r="AG40" i="4" s="1"/>
  <c r="AH350" i="1"/>
  <c r="AH318" i="1"/>
  <c r="AH286" i="1"/>
  <c r="AH243" i="1"/>
  <c r="AG340" i="1"/>
  <c r="AK193" i="1"/>
  <c r="AH292" i="1"/>
  <c r="P14" i="7"/>
  <c r="C59" i="8"/>
  <c r="AK251" i="1"/>
  <c r="AH302" i="1"/>
  <c r="AH324" i="1"/>
  <c r="AH308" i="1"/>
  <c r="AH105" i="1"/>
  <c r="T30" i="8"/>
  <c r="AI91" i="1"/>
  <c r="BK125" i="2"/>
  <c r="V26" i="7"/>
  <c r="R27" i="7"/>
  <c r="D61" i="8"/>
  <c r="D74" i="5"/>
  <c r="AF53" i="4"/>
  <c r="AF67" i="4"/>
  <c r="AG358" i="1"/>
  <c r="AK259" i="1"/>
  <c r="AI350" i="1"/>
  <c r="AK284" i="1"/>
  <c r="AH251" i="1"/>
  <c r="AH304" i="1"/>
  <c r="AI241" i="1"/>
  <c r="AH201" i="1"/>
  <c r="AH141" i="1"/>
  <c r="AK356" i="1"/>
  <c r="AK336" i="1"/>
  <c r="AK330" i="1"/>
  <c r="AK298" i="1"/>
  <c r="AK153" i="1"/>
  <c r="AH193" i="1"/>
  <c r="AI324" i="1"/>
  <c r="AI308" i="1"/>
  <c r="AI292" i="1"/>
  <c r="AI113" i="1"/>
  <c r="AI105" i="1"/>
  <c r="AK127" i="1"/>
  <c r="AG119" i="1"/>
  <c r="AK271" i="1"/>
  <c r="AG271" i="1"/>
  <c r="E23" i="4"/>
  <c r="E25" i="4" s="1"/>
  <c r="AH334" i="1"/>
  <c r="AH249" i="1"/>
  <c r="AK201" i="1"/>
  <c r="AK141" i="1"/>
  <c r="AG356" i="1"/>
  <c r="AG209" i="1"/>
  <c r="AI185" i="1"/>
  <c r="AG140" i="1"/>
  <c r="AH93" i="1"/>
  <c r="AI123" i="1"/>
  <c r="AI119" i="1"/>
  <c r="R18" i="7"/>
  <c r="F9" i="3"/>
  <c r="T9" i="3" s="1"/>
  <c r="J53" i="4"/>
  <c r="AI334" i="1"/>
  <c r="AI318" i="1"/>
  <c r="AI302" i="1"/>
  <c r="AI286" i="1"/>
  <c r="AI243" i="1"/>
  <c r="AH346" i="1"/>
  <c r="AH320" i="1"/>
  <c r="AH288" i="1"/>
  <c r="AI249" i="1"/>
  <c r="AH136" i="1"/>
  <c r="AK352" i="1"/>
  <c r="AK340" i="1"/>
  <c r="AK314" i="1"/>
  <c r="AK209" i="1"/>
  <c r="AK137" i="1"/>
  <c r="AG185" i="1"/>
  <c r="AK140" i="1"/>
  <c r="AI117" i="1"/>
  <c r="AI93" i="1"/>
  <c r="AG123" i="1"/>
  <c r="AG103" i="1"/>
  <c r="AG95" i="1"/>
  <c r="AG91" i="1"/>
  <c r="AA53" i="4"/>
  <c r="AL78" i="4"/>
  <c r="I119" i="5"/>
  <c r="I113" i="5" s="1"/>
  <c r="J113" i="5" s="1"/>
  <c r="K113" i="5" s="1"/>
  <c r="L113" i="5" s="1"/>
  <c r="M113" i="5" s="1"/>
  <c r="N113" i="5" s="1"/>
  <c r="O113" i="5" s="1"/>
  <c r="AK235" i="1"/>
  <c r="AI271" i="1"/>
  <c r="AH259" i="1"/>
  <c r="AI251" i="1"/>
  <c r="C1" i="1"/>
  <c r="BG66" i="2"/>
  <c r="BH63" i="2"/>
  <c r="K10" i="6"/>
  <c r="J10" i="6"/>
  <c r="O59" i="8"/>
  <c r="AA45" i="8"/>
  <c r="O74" i="8"/>
  <c r="Z62" i="4"/>
  <c r="Y62" i="4"/>
  <c r="Z21" i="4"/>
  <c r="Y21" i="4"/>
  <c r="AI329" i="1"/>
  <c r="AG329" i="1"/>
  <c r="AK329" i="1"/>
  <c r="AH329" i="1"/>
  <c r="AI305" i="1"/>
  <c r="AG305" i="1"/>
  <c r="AK305" i="1"/>
  <c r="AH305" i="1"/>
  <c r="T36" i="4"/>
  <c r="AA36" i="4" s="1"/>
  <c r="AK279" i="1"/>
  <c r="AG279" i="1"/>
  <c r="AH279" i="1"/>
  <c r="AI279" i="1"/>
  <c r="AH262" i="1"/>
  <c r="AK262" i="1"/>
  <c r="AG262" i="1"/>
  <c r="AI262" i="1"/>
  <c r="AI239" i="1"/>
  <c r="AH239" i="1"/>
  <c r="AK239" i="1"/>
  <c r="AG239" i="1"/>
  <c r="AH214" i="1"/>
  <c r="AK214" i="1"/>
  <c r="AG214" i="1"/>
  <c r="AI214" i="1"/>
  <c r="AH260" i="1"/>
  <c r="AK260" i="1"/>
  <c r="AG260" i="1"/>
  <c r="AI260" i="1"/>
  <c r="AH228" i="1"/>
  <c r="AK228" i="1"/>
  <c r="AG228" i="1"/>
  <c r="AI228" i="1"/>
  <c r="AI189" i="1"/>
  <c r="AH189" i="1"/>
  <c r="AG189" i="1"/>
  <c r="AK189" i="1"/>
  <c r="AH143" i="1"/>
  <c r="AK143" i="1"/>
  <c r="AG143" i="1"/>
  <c r="AI143" i="1"/>
  <c r="AK281" i="1"/>
  <c r="AG281" i="1"/>
  <c r="AI281" i="1"/>
  <c r="AH281" i="1"/>
  <c r="AH226" i="1"/>
  <c r="AK226" i="1"/>
  <c r="AG226" i="1"/>
  <c r="AI226" i="1"/>
  <c r="AH210" i="1"/>
  <c r="AK210" i="1"/>
  <c r="AG210" i="1"/>
  <c r="AI210" i="1"/>
  <c r="AI195" i="1"/>
  <c r="AH195" i="1"/>
  <c r="AK195" i="1"/>
  <c r="AG195" i="1"/>
  <c r="AH176" i="1"/>
  <c r="AK176" i="1"/>
  <c r="AG176" i="1"/>
  <c r="AI176" i="1"/>
  <c r="AH168" i="1"/>
  <c r="AK168" i="1"/>
  <c r="AG168" i="1"/>
  <c r="AI168" i="1"/>
  <c r="AH160" i="1"/>
  <c r="AK160" i="1"/>
  <c r="AG160" i="1"/>
  <c r="AI160" i="1"/>
  <c r="AK150" i="1"/>
  <c r="AG150" i="1"/>
  <c r="AI150" i="1"/>
  <c r="AH150" i="1"/>
  <c r="AK134" i="1"/>
  <c r="AG134" i="1"/>
  <c r="AI134" i="1"/>
  <c r="AH134" i="1"/>
  <c r="AI112" i="1"/>
  <c r="AH112" i="1"/>
  <c r="AG112" i="1"/>
  <c r="AK112" i="1"/>
  <c r="AI96" i="1"/>
  <c r="AH96" i="1"/>
  <c r="AG96" i="1"/>
  <c r="AK96" i="1"/>
  <c r="AH256" i="1"/>
  <c r="AK256" i="1"/>
  <c r="AG256" i="1"/>
  <c r="AI256" i="1"/>
  <c r="AH200" i="1"/>
  <c r="AK200" i="1"/>
  <c r="AG200" i="1"/>
  <c r="AI200" i="1"/>
  <c r="AK78" i="4"/>
  <c r="AK81" i="4" s="1"/>
  <c r="V78" i="4"/>
  <c r="V81" i="4" s="1"/>
  <c r="L64" i="4"/>
  <c r="H64" i="4"/>
  <c r="X64" i="4"/>
  <c r="Q64" i="4"/>
  <c r="Q67" i="4" s="1"/>
  <c r="I64" i="4"/>
  <c r="I51" i="4"/>
  <c r="W51" i="4"/>
  <c r="Z51" i="4" s="1"/>
  <c r="U30" i="8"/>
  <c r="E39" i="7"/>
  <c r="S7" i="4"/>
  <c r="I7" i="4"/>
  <c r="E7" i="3"/>
  <c r="H7" i="4"/>
  <c r="V7" i="4" s="1"/>
  <c r="G7" i="4"/>
  <c r="U7" i="4" s="1"/>
  <c r="I50" i="4"/>
  <c r="H50" i="4"/>
  <c r="L50" i="4"/>
  <c r="L53" i="4" s="1"/>
  <c r="X50" i="4"/>
  <c r="X53" i="4" s="1"/>
  <c r="X49" i="7"/>
  <c r="I49" i="7"/>
  <c r="H49" i="7"/>
  <c r="F23" i="4"/>
  <c r="I23" i="4" s="1"/>
  <c r="I19" i="4"/>
  <c r="W19" i="4"/>
  <c r="P62" i="5"/>
  <c r="G37" i="4"/>
  <c r="Q22" i="4"/>
  <c r="AZ35" i="2"/>
  <c r="AX35" i="2"/>
  <c r="AT35" i="2"/>
  <c r="BC35" i="2"/>
  <c r="F76" i="5"/>
  <c r="P65" i="5"/>
  <c r="F75" i="5"/>
  <c r="G35" i="4"/>
  <c r="AM78" i="4" s="1"/>
  <c r="AH61" i="2"/>
  <c r="AK61" i="2"/>
  <c r="AG61" i="2"/>
  <c r="AI61" i="2"/>
  <c r="AH59" i="2"/>
  <c r="AK59" i="2"/>
  <c r="AG59" i="2"/>
  <c r="AI59" i="2"/>
  <c r="AH57" i="2"/>
  <c r="AK57" i="2"/>
  <c r="AG57" i="2"/>
  <c r="AI57" i="2"/>
  <c r="AH55" i="2"/>
  <c r="AK55" i="2"/>
  <c r="AG55" i="2"/>
  <c r="AI55" i="2"/>
  <c r="AH53" i="2"/>
  <c r="AK53" i="2"/>
  <c r="AG53" i="2"/>
  <c r="AI53" i="2"/>
  <c r="AH51" i="2"/>
  <c r="AK51" i="2"/>
  <c r="AG51" i="2"/>
  <c r="AI51" i="2"/>
  <c r="AH49" i="2"/>
  <c r="AK49" i="2"/>
  <c r="AG49" i="2"/>
  <c r="AI49" i="2"/>
  <c r="AH47" i="2"/>
  <c r="AK47" i="2"/>
  <c r="AG47" i="2"/>
  <c r="AI47" i="2"/>
  <c r="AH39" i="2"/>
  <c r="AK39" i="2"/>
  <c r="AG39" i="2"/>
  <c r="AI39" i="2"/>
  <c r="AH23" i="2"/>
  <c r="AK23" i="2"/>
  <c r="AG23" i="2"/>
  <c r="AI23" i="2"/>
  <c r="AH15" i="2"/>
  <c r="AK15" i="2"/>
  <c r="AG15" i="2"/>
  <c r="AI15" i="2"/>
  <c r="AH7" i="2"/>
  <c r="AK7" i="2"/>
  <c r="AG7" i="2"/>
  <c r="AI7" i="2"/>
  <c r="L39" i="4"/>
  <c r="O39" i="4" s="1"/>
  <c r="S39" i="4"/>
  <c r="Z39" i="4" s="1"/>
  <c r="O32" i="8"/>
  <c r="H36" i="5"/>
  <c r="I36" i="5" s="1"/>
  <c r="R28" i="8"/>
  <c r="J50" i="5"/>
  <c r="N79" i="4"/>
  <c r="AC79" i="4"/>
  <c r="Q79" i="4"/>
  <c r="C79" i="4"/>
  <c r="B79" i="4" s="1"/>
  <c r="M79" i="4"/>
  <c r="Y48" i="4"/>
  <c r="AI321" i="1"/>
  <c r="AG321" i="1"/>
  <c r="AK321" i="1"/>
  <c r="AH321" i="1"/>
  <c r="AI289" i="1"/>
  <c r="AG289" i="1"/>
  <c r="AK289" i="1"/>
  <c r="AH289" i="1"/>
  <c r="AI351" i="1"/>
  <c r="AG351" i="1"/>
  <c r="AH351" i="1"/>
  <c r="AK351" i="1"/>
  <c r="AH270" i="1"/>
  <c r="AK270" i="1"/>
  <c r="AG270" i="1"/>
  <c r="AI270" i="1"/>
  <c r="AH230" i="1"/>
  <c r="AK230" i="1"/>
  <c r="AG230" i="1"/>
  <c r="AI230" i="1"/>
  <c r="AH198" i="1"/>
  <c r="AK198" i="1"/>
  <c r="AG198" i="1"/>
  <c r="AI198" i="1"/>
  <c r="AH244" i="1"/>
  <c r="AK244" i="1"/>
  <c r="AG244" i="1"/>
  <c r="AI244" i="1"/>
  <c r="AH212" i="1"/>
  <c r="AK212" i="1"/>
  <c r="AG212" i="1"/>
  <c r="AI212" i="1"/>
  <c r="AI129" i="1"/>
  <c r="AG129" i="1"/>
  <c r="AK129" i="1"/>
  <c r="AH129" i="1"/>
  <c r="AH250" i="1"/>
  <c r="AK250" i="1"/>
  <c r="AG250" i="1"/>
  <c r="AI250" i="1"/>
  <c r="AH184" i="1"/>
  <c r="AK184" i="1"/>
  <c r="AG184" i="1"/>
  <c r="AI184" i="1"/>
  <c r="AH180" i="1"/>
  <c r="AK180" i="1"/>
  <c r="AG180" i="1"/>
  <c r="AI180" i="1"/>
  <c r="AH172" i="1"/>
  <c r="AK172" i="1"/>
  <c r="AG172" i="1"/>
  <c r="AI172" i="1"/>
  <c r="AH164" i="1"/>
  <c r="AK164" i="1"/>
  <c r="AG164" i="1"/>
  <c r="AI164" i="1"/>
  <c r="AH156" i="1"/>
  <c r="AK156" i="1"/>
  <c r="AG156" i="1"/>
  <c r="AI156" i="1"/>
  <c r="AI120" i="1"/>
  <c r="AH120" i="1"/>
  <c r="AG120" i="1"/>
  <c r="AK120" i="1"/>
  <c r="AI104" i="1"/>
  <c r="AH104" i="1"/>
  <c r="AG104" i="1"/>
  <c r="AK104" i="1"/>
  <c r="AI88" i="1"/>
  <c r="AH88" i="1"/>
  <c r="AG88" i="1"/>
  <c r="AK88" i="1"/>
  <c r="AH208" i="1"/>
  <c r="AK208" i="1"/>
  <c r="AG208" i="1"/>
  <c r="AI208" i="1"/>
  <c r="AI84" i="1"/>
  <c r="AH84" i="1"/>
  <c r="AK84" i="1"/>
  <c r="AG84" i="1"/>
  <c r="AI82" i="1"/>
  <c r="AH82" i="1"/>
  <c r="AK82" i="1"/>
  <c r="AG82" i="1"/>
  <c r="C73" i="8"/>
  <c r="C58" i="8"/>
  <c r="Z47" i="8"/>
  <c r="O69" i="8"/>
  <c r="AA40" i="8"/>
  <c r="O54" i="8"/>
  <c r="C69" i="8"/>
  <c r="C54" i="8"/>
  <c r="N53" i="8"/>
  <c r="N68" i="8"/>
  <c r="T39" i="8"/>
  <c r="N75" i="8"/>
  <c r="N60" i="8"/>
  <c r="T46" i="8"/>
  <c r="C60" i="8"/>
  <c r="C75" i="8"/>
  <c r="C72" i="8"/>
  <c r="C57" i="8"/>
  <c r="AF47" i="8"/>
  <c r="Z51" i="7"/>
  <c r="Y51" i="7"/>
  <c r="I39" i="7"/>
  <c r="N6" i="6"/>
  <c r="M6" i="6"/>
  <c r="F50" i="5"/>
  <c r="F50" i="7"/>
  <c r="K21" i="4"/>
  <c r="K23" i="4" s="1"/>
  <c r="N3" i="6"/>
  <c r="M3" i="6"/>
  <c r="E50" i="5"/>
  <c r="H15" i="6"/>
  <c r="H12" i="6"/>
  <c r="H49" i="5"/>
  <c r="G49" i="5"/>
  <c r="G50" i="5"/>
  <c r="AB81" i="4"/>
  <c r="G25" i="4"/>
  <c r="AU80" i="4"/>
  <c r="AA81" i="4"/>
  <c r="AA33" i="4"/>
  <c r="J142" i="5"/>
  <c r="J136" i="5" s="1"/>
  <c r="L50" i="5"/>
  <c r="W80" i="4"/>
  <c r="Z80" i="4" s="1"/>
  <c r="AL80" i="4"/>
  <c r="I80" i="4"/>
  <c r="W79" i="4"/>
  <c r="Z79" i="4" s="1"/>
  <c r="AL79" i="4"/>
  <c r="I79" i="4"/>
  <c r="X35" i="4"/>
  <c r="AT84" i="4"/>
  <c r="Y65" i="4"/>
  <c r="Z65" i="4"/>
  <c r="S62" i="4"/>
  <c r="AH62" i="4"/>
  <c r="R62" i="4"/>
  <c r="L51" i="7"/>
  <c r="N22" i="4"/>
  <c r="AC22" i="4"/>
  <c r="M22" i="4"/>
  <c r="AD19" i="4"/>
  <c r="H81" i="4"/>
  <c r="G83" i="4"/>
  <c r="AI343" i="1"/>
  <c r="AG343" i="1"/>
  <c r="AH343" i="1"/>
  <c r="AK343" i="1"/>
  <c r="AI335" i="1"/>
  <c r="AG335" i="1"/>
  <c r="AH335" i="1"/>
  <c r="AK335" i="1"/>
  <c r="AI327" i="1"/>
  <c r="AG327" i="1"/>
  <c r="AH327" i="1"/>
  <c r="AK327" i="1"/>
  <c r="AI319" i="1"/>
  <c r="AG319" i="1"/>
  <c r="AH319" i="1"/>
  <c r="AK319" i="1"/>
  <c r="AI311" i="1"/>
  <c r="AG311" i="1"/>
  <c r="AH311" i="1"/>
  <c r="AK311" i="1"/>
  <c r="AI303" i="1"/>
  <c r="AG303" i="1"/>
  <c r="AH303" i="1"/>
  <c r="AK303" i="1"/>
  <c r="AI295" i="1"/>
  <c r="AG295" i="1"/>
  <c r="AH295" i="1"/>
  <c r="AK295" i="1"/>
  <c r="AI287" i="1"/>
  <c r="AG287" i="1"/>
  <c r="AH287" i="1"/>
  <c r="AK287" i="1"/>
  <c r="AE65" i="4"/>
  <c r="AD65" i="4"/>
  <c r="AI353" i="1"/>
  <c r="AG353" i="1"/>
  <c r="AK353" i="1"/>
  <c r="AH353" i="1"/>
  <c r="AI347" i="1"/>
  <c r="AG347" i="1"/>
  <c r="AH347" i="1"/>
  <c r="AK347" i="1"/>
  <c r="AI278" i="1"/>
  <c r="AH278" i="1"/>
  <c r="AK278" i="1"/>
  <c r="AG278" i="1"/>
  <c r="AI247" i="1"/>
  <c r="AH247" i="1"/>
  <c r="AK247" i="1"/>
  <c r="AG247" i="1"/>
  <c r="AH238" i="1"/>
  <c r="AK238" i="1"/>
  <c r="AG238" i="1"/>
  <c r="AI238" i="1"/>
  <c r="AI223" i="1"/>
  <c r="AH223" i="1"/>
  <c r="AK223" i="1"/>
  <c r="AG223" i="1"/>
  <c r="AI207" i="1"/>
  <c r="AH207" i="1"/>
  <c r="AK207" i="1"/>
  <c r="AG207" i="1"/>
  <c r="AI191" i="1"/>
  <c r="AH191" i="1"/>
  <c r="AK191" i="1"/>
  <c r="AG191" i="1"/>
  <c r="AI253" i="1"/>
  <c r="AH253" i="1"/>
  <c r="AG253" i="1"/>
  <c r="AK253" i="1"/>
  <c r="AI237" i="1"/>
  <c r="AH237" i="1"/>
  <c r="AG237" i="1"/>
  <c r="AK237" i="1"/>
  <c r="AI221" i="1"/>
  <c r="AH221" i="1"/>
  <c r="AG221" i="1"/>
  <c r="AK221" i="1"/>
  <c r="AI205" i="1"/>
  <c r="AH205" i="1"/>
  <c r="AG205" i="1"/>
  <c r="AK205" i="1"/>
  <c r="AH188" i="1"/>
  <c r="AK188" i="1"/>
  <c r="AG188" i="1"/>
  <c r="AI188" i="1"/>
  <c r="AH139" i="1"/>
  <c r="AK139" i="1"/>
  <c r="AG139" i="1"/>
  <c r="AI139" i="1"/>
  <c r="AI125" i="1"/>
  <c r="AG125" i="1"/>
  <c r="AK125" i="1"/>
  <c r="AH125" i="1"/>
  <c r="AH274" i="1"/>
  <c r="AK274" i="1"/>
  <c r="AG274" i="1"/>
  <c r="AI274" i="1"/>
  <c r="AH266" i="1"/>
  <c r="AK266" i="1"/>
  <c r="AG266" i="1"/>
  <c r="AI266" i="1"/>
  <c r="AH258" i="1"/>
  <c r="AK258" i="1"/>
  <c r="AG258" i="1"/>
  <c r="AI258" i="1"/>
  <c r="AI219" i="1"/>
  <c r="AH219" i="1"/>
  <c r="AK219" i="1"/>
  <c r="AG219" i="1"/>
  <c r="AI203" i="1"/>
  <c r="AH203" i="1"/>
  <c r="AK203" i="1"/>
  <c r="AG203" i="1"/>
  <c r="AH194" i="1"/>
  <c r="AK194" i="1"/>
  <c r="AG194" i="1"/>
  <c r="AI194" i="1"/>
  <c r="AH183" i="1"/>
  <c r="AK183" i="1"/>
  <c r="AG183" i="1"/>
  <c r="AI183" i="1"/>
  <c r="AH179" i="1"/>
  <c r="AK179" i="1"/>
  <c r="AG179" i="1"/>
  <c r="AI179" i="1"/>
  <c r="AH175" i="1"/>
  <c r="AK175" i="1"/>
  <c r="AG175" i="1"/>
  <c r="AI175" i="1"/>
  <c r="AH171" i="1"/>
  <c r="AK171" i="1"/>
  <c r="AG171" i="1"/>
  <c r="AI171" i="1"/>
  <c r="AH167" i="1"/>
  <c r="AK167" i="1"/>
  <c r="AG167" i="1"/>
  <c r="AI167" i="1"/>
  <c r="AH163" i="1"/>
  <c r="AK163" i="1"/>
  <c r="AG163" i="1"/>
  <c r="AI163" i="1"/>
  <c r="AH159" i="1"/>
  <c r="AK159" i="1"/>
  <c r="AG159" i="1"/>
  <c r="AI159" i="1"/>
  <c r="AH155" i="1"/>
  <c r="AK155" i="1"/>
  <c r="AG155" i="1"/>
  <c r="AI155" i="1"/>
  <c r="AK146" i="1"/>
  <c r="AG146" i="1"/>
  <c r="AI146" i="1"/>
  <c r="AH146" i="1"/>
  <c r="AK130" i="1"/>
  <c r="AG130" i="1"/>
  <c r="AI130" i="1"/>
  <c r="AH130" i="1"/>
  <c r="AI118" i="1"/>
  <c r="AH118" i="1"/>
  <c r="AG118" i="1"/>
  <c r="AK118" i="1"/>
  <c r="AI110" i="1"/>
  <c r="AH110" i="1"/>
  <c r="AG110" i="1"/>
  <c r="AK110" i="1"/>
  <c r="AI102" i="1"/>
  <c r="AH102" i="1"/>
  <c r="AG102" i="1"/>
  <c r="AK102" i="1"/>
  <c r="AI94" i="1"/>
  <c r="AH94" i="1"/>
  <c r="AG94" i="1"/>
  <c r="AK94" i="1"/>
  <c r="AI86" i="1"/>
  <c r="AH86" i="1"/>
  <c r="AK86" i="1"/>
  <c r="AG86" i="1"/>
  <c r="AH216" i="1"/>
  <c r="AK216" i="1"/>
  <c r="AG216" i="1"/>
  <c r="AI216" i="1"/>
  <c r="AH224" i="1"/>
  <c r="AK224" i="1"/>
  <c r="AG224" i="1"/>
  <c r="AI224" i="1"/>
  <c r="AH248" i="1"/>
  <c r="AK248" i="1"/>
  <c r="AG248" i="1"/>
  <c r="AI248" i="1"/>
  <c r="AH154" i="1"/>
  <c r="AK154" i="1"/>
  <c r="AG154" i="1"/>
  <c r="AI154" i="1"/>
  <c r="AI124" i="1"/>
  <c r="AH124" i="1"/>
  <c r="AK124" i="1"/>
  <c r="AG124" i="1"/>
  <c r="X78" i="4"/>
  <c r="L78" i="4"/>
  <c r="L81" i="4" s="1"/>
  <c r="H78" i="4"/>
  <c r="I78" i="4"/>
  <c r="AK82" i="4"/>
  <c r="AN82" i="4" s="1"/>
  <c r="V82" i="4"/>
  <c r="Y82" i="4" s="1"/>
  <c r="K53" i="4"/>
  <c r="AB48" i="4"/>
  <c r="AB53" i="4" s="1"/>
  <c r="V49" i="7"/>
  <c r="V52" i="7" s="1"/>
  <c r="E52" i="7"/>
  <c r="H52" i="7" s="1"/>
  <c r="E20" i="7"/>
  <c r="T20" i="7" s="1"/>
  <c r="T8" i="7"/>
  <c r="G36" i="4"/>
  <c r="P63" i="5"/>
  <c r="T35" i="4"/>
  <c r="AA35" i="4" s="1"/>
  <c r="W20" i="4"/>
  <c r="O39" i="7"/>
  <c r="O38" i="7"/>
  <c r="V8" i="7"/>
  <c r="R8" i="7"/>
  <c r="E22" i="7"/>
  <c r="T22" i="7" s="1"/>
  <c r="K48" i="7"/>
  <c r="AB19" i="4"/>
  <c r="AE19" i="4" s="1"/>
  <c r="Q38" i="7"/>
  <c r="E9" i="4"/>
  <c r="S5" i="4"/>
  <c r="I5" i="4"/>
  <c r="E5" i="3"/>
  <c r="H5" i="4"/>
  <c r="V5" i="4" s="1"/>
  <c r="G5" i="4"/>
  <c r="U5" i="4" s="1"/>
  <c r="AI77" i="2"/>
  <c r="AH77" i="2"/>
  <c r="AK77" i="2"/>
  <c r="AG77" i="2"/>
  <c r="AI75" i="2"/>
  <c r="AH75" i="2"/>
  <c r="AK75" i="2"/>
  <c r="AG75" i="2"/>
  <c r="AZ5" i="2"/>
  <c r="AX5" i="2"/>
  <c r="AT5" i="2"/>
  <c r="BC5" i="2"/>
  <c r="BC2" i="2" s="1"/>
  <c r="AI35" i="4"/>
  <c r="AI38" i="4" s="1"/>
  <c r="AH63" i="2"/>
  <c r="AK63" i="2"/>
  <c r="AG63" i="2"/>
  <c r="AI63" i="2"/>
  <c r="AH41" i="2"/>
  <c r="AK41" i="2"/>
  <c r="AG41" i="2"/>
  <c r="AI41" i="2"/>
  <c r="AH21" i="2"/>
  <c r="AK21" i="2"/>
  <c r="AG21" i="2"/>
  <c r="AI21" i="2"/>
  <c r="AH13" i="2"/>
  <c r="AK13" i="2"/>
  <c r="AG13" i="2"/>
  <c r="AI13" i="2"/>
  <c r="AH5" i="2"/>
  <c r="AH2" i="2" s="1"/>
  <c r="AK5" i="2"/>
  <c r="AG5" i="2"/>
  <c r="AI5" i="2"/>
  <c r="O49" i="7"/>
  <c r="AF49" i="7" s="1"/>
  <c r="AF52" i="7" s="1"/>
  <c r="AF20" i="4"/>
  <c r="AF23" i="4" s="1"/>
  <c r="O23" i="4"/>
  <c r="O52" i="7" s="1"/>
  <c r="G55" i="4"/>
  <c r="M48" i="7"/>
  <c r="AI345" i="1"/>
  <c r="AG345" i="1"/>
  <c r="AK345" i="1"/>
  <c r="AH345" i="1"/>
  <c r="Q50" i="7"/>
  <c r="R21" i="4"/>
  <c r="S21" i="4"/>
  <c r="AH21" i="4"/>
  <c r="O52" i="8"/>
  <c r="O47" i="8"/>
  <c r="O76" i="8" s="1"/>
  <c r="AA38" i="8"/>
  <c r="O67" i="8"/>
  <c r="P53" i="4"/>
  <c r="AI128" i="1"/>
  <c r="AH128" i="1"/>
  <c r="AK128" i="1"/>
  <c r="AG128" i="1"/>
  <c r="AH192" i="1"/>
  <c r="AK192" i="1"/>
  <c r="AG192" i="1"/>
  <c r="AI192" i="1"/>
  <c r="AH272" i="1"/>
  <c r="AK272" i="1"/>
  <c r="AG272" i="1"/>
  <c r="AI272" i="1"/>
  <c r="AH240" i="1"/>
  <c r="AK240" i="1"/>
  <c r="AG240" i="1"/>
  <c r="AI240" i="1"/>
  <c r="AI132" i="1"/>
  <c r="AH132" i="1"/>
  <c r="AK132" i="1"/>
  <c r="AG132" i="1"/>
  <c r="AH83" i="1"/>
  <c r="AK83" i="1"/>
  <c r="AG83" i="1"/>
  <c r="AI83" i="1"/>
  <c r="H68" i="4"/>
  <c r="V68" i="4"/>
  <c r="Y68" i="4" s="1"/>
  <c r="AI127" i="1"/>
  <c r="F53" i="4"/>
  <c r="I53" i="4" s="1"/>
  <c r="W48" i="4"/>
  <c r="AA49" i="7"/>
  <c r="AA52" i="7" s="1"/>
  <c r="J52" i="7"/>
  <c r="AI81" i="2"/>
  <c r="AH81" i="2"/>
  <c r="AK81" i="2"/>
  <c r="AG81" i="2"/>
  <c r="S6" i="4"/>
  <c r="I6" i="4"/>
  <c r="E6" i="3"/>
  <c r="H6" i="4"/>
  <c r="V6" i="4" s="1"/>
  <c r="G6" i="4"/>
  <c r="U6" i="4" s="1"/>
  <c r="E21" i="7"/>
  <c r="T21" i="7" s="1"/>
  <c r="K49" i="7"/>
  <c r="AB49" i="7" s="1"/>
  <c r="AB20" i="4"/>
  <c r="W22" i="4"/>
  <c r="Z22" i="4" s="1"/>
  <c r="I22" i="4"/>
  <c r="AP37" i="4"/>
  <c r="AJ37" i="4"/>
  <c r="AK37" i="4"/>
  <c r="AJ33" i="4"/>
  <c r="AP33" i="4"/>
  <c r="AK33" i="4"/>
  <c r="AZ81" i="2"/>
  <c r="AH73" i="2"/>
  <c r="AG73" i="2"/>
  <c r="AK73" i="2"/>
  <c r="AI73" i="2"/>
  <c r="AH43" i="2"/>
  <c r="AK43" i="2"/>
  <c r="AG43" i="2"/>
  <c r="AI43" i="2"/>
  <c r="AH19" i="2"/>
  <c r="AK19" i="2"/>
  <c r="AG19" i="2"/>
  <c r="AI19" i="2"/>
  <c r="AH11" i="2"/>
  <c r="AK11" i="2"/>
  <c r="AG11" i="2"/>
  <c r="AI11" i="2"/>
  <c r="AJ34" i="4"/>
  <c r="AP34" i="4"/>
  <c r="AQ34" i="4" s="1"/>
  <c r="L35" i="4"/>
  <c r="S35" i="4"/>
  <c r="AA44" i="8"/>
  <c r="O58" i="8"/>
  <c r="O73" i="8"/>
  <c r="G69" i="4"/>
  <c r="AI337" i="1"/>
  <c r="AG337" i="1"/>
  <c r="AK337" i="1"/>
  <c r="AH337" i="1"/>
  <c r="AI313" i="1"/>
  <c r="AG313" i="1"/>
  <c r="AK313" i="1"/>
  <c r="AH313" i="1"/>
  <c r="AI297" i="1"/>
  <c r="AG297" i="1"/>
  <c r="AK297" i="1"/>
  <c r="AH297" i="1"/>
  <c r="AI357" i="1"/>
  <c r="AH357" i="1"/>
  <c r="AG357" i="1"/>
  <c r="AK357" i="1"/>
  <c r="AI282" i="1"/>
  <c r="AH282" i="1"/>
  <c r="AK282" i="1"/>
  <c r="AG282" i="1"/>
  <c r="G61" i="8"/>
  <c r="E61" i="8"/>
  <c r="N71" i="8"/>
  <c r="N56" i="8"/>
  <c r="T42" i="8"/>
  <c r="C67" i="8"/>
  <c r="C52" i="8"/>
  <c r="C47" i="8"/>
  <c r="C76" i="8" s="1"/>
  <c r="N55" i="8"/>
  <c r="N70" i="8"/>
  <c r="T41" i="8"/>
  <c r="O68" i="8"/>
  <c r="AA39" i="8"/>
  <c r="O53" i="8"/>
  <c r="C68" i="8"/>
  <c r="C53" i="8"/>
  <c r="O60" i="8"/>
  <c r="AA46" i="8"/>
  <c r="O75" i="8"/>
  <c r="P78" i="4"/>
  <c r="AG78" i="4" s="1"/>
  <c r="AG64" i="4"/>
  <c r="AG67" i="4" s="1"/>
  <c r="N67" i="8"/>
  <c r="N52" i="8"/>
  <c r="N47" i="8"/>
  <c r="T38" i="8"/>
  <c r="I38" i="7"/>
  <c r="K7" i="6"/>
  <c r="J7" i="6"/>
  <c r="M49" i="5"/>
  <c r="L5" i="6"/>
  <c r="L10" i="6" s="1"/>
  <c r="K5" i="6"/>
  <c r="J5" i="6"/>
  <c r="R21" i="8"/>
  <c r="I20" i="6"/>
  <c r="H20" i="6"/>
  <c r="M4" i="6"/>
  <c r="N4" i="6"/>
  <c r="O47" i="5"/>
  <c r="O49" i="5"/>
  <c r="AC76" i="4"/>
  <c r="C76" i="4"/>
  <c r="B76" i="4" s="1"/>
  <c r="N76" i="4"/>
  <c r="M76" i="4"/>
  <c r="Q76" i="4"/>
  <c r="AC80" i="4"/>
  <c r="Q80" i="4"/>
  <c r="M80" i="4"/>
  <c r="C80" i="4"/>
  <c r="B80" i="4" s="1"/>
  <c r="N80" i="4"/>
  <c r="K81" i="4"/>
  <c r="Z66" i="4"/>
  <c r="Y66" i="4"/>
  <c r="AG76" i="4"/>
  <c r="AG81" i="4" s="1"/>
  <c r="L50" i="7"/>
  <c r="M21" i="4"/>
  <c r="AC21" i="4"/>
  <c r="C77" i="4"/>
  <c r="B77" i="4" s="1"/>
  <c r="AC77" i="4"/>
  <c r="AD77" i="4" s="1"/>
  <c r="M77" i="4"/>
  <c r="AI341" i="1"/>
  <c r="AG341" i="1"/>
  <c r="AK341" i="1"/>
  <c r="AH341" i="1"/>
  <c r="AI333" i="1"/>
  <c r="AG333" i="1"/>
  <c r="AK333" i="1"/>
  <c r="AH333" i="1"/>
  <c r="AI325" i="1"/>
  <c r="AG325" i="1"/>
  <c r="AK325" i="1"/>
  <c r="AH325" i="1"/>
  <c r="AI317" i="1"/>
  <c r="AG317" i="1"/>
  <c r="AK317" i="1"/>
  <c r="AH317" i="1"/>
  <c r="AI309" i="1"/>
  <c r="AG309" i="1"/>
  <c r="AK309" i="1"/>
  <c r="AH309" i="1"/>
  <c r="AI301" i="1"/>
  <c r="AG301" i="1"/>
  <c r="AK301" i="1"/>
  <c r="AH301" i="1"/>
  <c r="AI293" i="1"/>
  <c r="AG293" i="1"/>
  <c r="AK293" i="1"/>
  <c r="AH293" i="1"/>
  <c r="AI285" i="1"/>
  <c r="AG285" i="1"/>
  <c r="AK285" i="1"/>
  <c r="AH285" i="1"/>
  <c r="AI349" i="1"/>
  <c r="AG349" i="1"/>
  <c r="AK349" i="1"/>
  <c r="AH349" i="1"/>
  <c r="P79" i="4"/>
  <c r="AG79" i="4" s="1"/>
  <c r="AG65" i="4"/>
  <c r="AI363" i="1"/>
  <c r="AH363" i="1"/>
  <c r="AG363" i="1"/>
  <c r="AK363" i="1"/>
  <c r="AI361" i="1"/>
  <c r="AH361" i="1"/>
  <c r="AG361" i="1"/>
  <c r="AK361" i="1"/>
  <c r="AK277" i="1"/>
  <c r="AG277" i="1"/>
  <c r="AI277" i="1"/>
  <c r="AH277" i="1"/>
  <c r="AI276" i="1"/>
  <c r="AH276" i="1"/>
  <c r="AG276" i="1"/>
  <c r="AK276" i="1"/>
  <c r="AI265" i="1"/>
  <c r="AH265" i="1"/>
  <c r="AK265" i="1"/>
  <c r="AG265" i="1"/>
  <c r="AI255" i="1"/>
  <c r="AH255" i="1"/>
  <c r="AK255" i="1"/>
  <c r="AG255" i="1"/>
  <c r="AH246" i="1"/>
  <c r="AK246" i="1"/>
  <c r="AG246" i="1"/>
  <c r="AI246" i="1"/>
  <c r="AH222" i="1"/>
  <c r="AK222" i="1"/>
  <c r="AG222" i="1"/>
  <c r="AI222" i="1"/>
  <c r="AH206" i="1"/>
  <c r="AK206" i="1"/>
  <c r="AG206" i="1"/>
  <c r="AI206" i="1"/>
  <c r="AH190" i="1"/>
  <c r="AK190" i="1"/>
  <c r="AG190" i="1"/>
  <c r="AI190" i="1"/>
  <c r="AH252" i="1"/>
  <c r="AK252" i="1"/>
  <c r="AG252" i="1"/>
  <c r="AI252" i="1"/>
  <c r="AH236" i="1"/>
  <c r="AK236" i="1"/>
  <c r="AG236" i="1"/>
  <c r="AI236" i="1"/>
  <c r="AH220" i="1"/>
  <c r="AK220" i="1"/>
  <c r="AG220" i="1"/>
  <c r="AI220" i="1"/>
  <c r="AH204" i="1"/>
  <c r="AK204" i="1"/>
  <c r="AG204" i="1"/>
  <c r="AI204" i="1"/>
  <c r="AH151" i="1"/>
  <c r="AK151" i="1"/>
  <c r="AG151" i="1"/>
  <c r="AI151" i="1"/>
  <c r="AH135" i="1"/>
  <c r="AK135" i="1"/>
  <c r="AG135" i="1"/>
  <c r="AI135" i="1"/>
  <c r="AE62" i="4"/>
  <c r="AD62" i="4"/>
  <c r="AI269" i="1"/>
  <c r="AH269" i="1"/>
  <c r="AG269" i="1"/>
  <c r="AK269" i="1"/>
  <c r="AI261" i="1"/>
  <c r="AH261" i="1"/>
  <c r="AG261" i="1"/>
  <c r="AK261" i="1"/>
  <c r="AH234" i="1"/>
  <c r="AK234" i="1"/>
  <c r="AG234" i="1"/>
  <c r="AI234" i="1"/>
  <c r="AH218" i="1"/>
  <c r="AK218" i="1"/>
  <c r="AG218" i="1"/>
  <c r="AI218" i="1"/>
  <c r="AH202" i="1"/>
  <c r="AK202" i="1"/>
  <c r="AG202" i="1"/>
  <c r="AI202" i="1"/>
  <c r="AI187" i="1"/>
  <c r="AH187" i="1"/>
  <c r="AK187" i="1"/>
  <c r="AG187" i="1"/>
  <c r="AH182" i="1"/>
  <c r="AK182" i="1"/>
  <c r="AG182" i="1"/>
  <c r="AI182" i="1"/>
  <c r="AH178" i="1"/>
  <c r="AK178" i="1"/>
  <c r="AG178" i="1"/>
  <c r="AI178" i="1"/>
  <c r="AH174" i="1"/>
  <c r="AK174" i="1"/>
  <c r="AG174" i="1"/>
  <c r="AI174" i="1"/>
  <c r="AH170" i="1"/>
  <c r="AK170" i="1"/>
  <c r="AG170" i="1"/>
  <c r="AI170" i="1"/>
  <c r="AH166" i="1"/>
  <c r="AK166" i="1"/>
  <c r="AG166" i="1"/>
  <c r="AI166" i="1"/>
  <c r="AH162" i="1"/>
  <c r="AK162" i="1"/>
  <c r="AG162" i="1"/>
  <c r="AI162" i="1"/>
  <c r="AH158" i="1"/>
  <c r="AK158" i="1"/>
  <c r="AG158" i="1"/>
  <c r="AI158" i="1"/>
  <c r="AK142" i="1"/>
  <c r="AG142" i="1"/>
  <c r="AI142" i="1"/>
  <c r="AH142" i="1"/>
  <c r="AK126" i="1"/>
  <c r="AG126" i="1"/>
  <c r="AI126" i="1"/>
  <c r="AH126" i="1"/>
  <c r="AI116" i="1"/>
  <c r="AH116" i="1"/>
  <c r="AG116" i="1"/>
  <c r="AK116" i="1"/>
  <c r="AI108" i="1"/>
  <c r="AH108" i="1"/>
  <c r="AG108" i="1"/>
  <c r="AK108" i="1"/>
  <c r="AI100" i="1"/>
  <c r="AH100" i="1"/>
  <c r="AG100" i="1"/>
  <c r="AK100" i="1"/>
  <c r="AI92" i="1"/>
  <c r="AH92" i="1"/>
  <c r="AG92" i="1"/>
  <c r="AK92" i="1"/>
  <c r="N59" i="8"/>
  <c r="T45" i="8"/>
  <c r="N74" i="8"/>
  <c r="O71" i="8"/>
  <c r="O56" i="8"/>
  <c r="AA42" i="8"/>
  <c r="C56" i="8"/>
  <c r="C71" i="8"/>
  <c r="N54" i="8"/>
  <c r="N69" i="8"/>
  <c r="T40" i="8"/>
  <c r="AG38" i="8"/>
  <c r="AG47" i="8" s="1"/>
  <c r="AG48" i="8" s="1"/>
  <c r="S47" i="8"/>
  <c r="H61" i="8"/>
  <c r="D48" i="8"/>
  <c r="D76" i="8"/>
  <c r="O70" i="8"/>
  <c r="AA41" i="8"/>
  <c r="O55" i="8"/>
  <c r="C70" i="8"/>
  <c r="C55" i="8"/>
  <c r="J20" i="6"/>
  <c r="L18" i="6"/>
  <c r="K18" i="6"/>
  <c r="O72" i="8"/>
  <c r="AA43" i="8"/>
  <c r="O57" i="8"/>
  <c r="N57" i="8"/>
  <c r="N72" i="8"/>
  <c r="T43" i="8"/>
  <c r="N58" i="8"/>
  <c r="N73" i="8"/>
  <c r="T44" i="8"/>
  <c r="J61" i="8"/>
  <c r="I149" i="5"/>
  <c r="I143" i="5"/>
  <c r="I142" i="5"/>
  <c r="H120" i="5"/>
  <c r="H119" i="5"/>
  <c r="H126" i="5"/>
  <c r="N50" i="5"/>
  <c r="J49" i="5"/>
  <c r="H11" i="6"/>
  <c r="I11" i="6" s="1"/>
  <c r="H14" i="6"/>
  <c r="I12" i="6"/>
  <c r="M50" i="5"/>
  <c r="I49" i="5"/>
  <c r="O50" i="5"/>
  <c r="F81" i="4"/>
  <c r="I81" i="4" s="1"/>
  <c r="W76" i="4"/>
  <c r="AL76" i="4"/>
  <c r="I76" i="4"/>
  <c r="Q52" i="4"/>
  <c r="M52" i="4"/>
  <c r="N52" i="4"/>
  <c r="AC52" i="4"/>
  <c r="I126" i="5"/>
  <c r="L49" i="5"/>
  <c r="N66" i="4"/>
  <c r="M66" i="4"/>
  <c r="AC66" i="4"/>
  <c r="P67" i="4"/>
  <c r="AE51" i="4"/>
  <c r="AD51" i="4"/>
  <c r="N48" i="4"/>
  <c r="M48" i="4"/>
  <c r="AC48" i="4"/>
  <c r="Q48" i="4"/>
  <c r="AB39" i="4"/>
  <c r="AH65" i="4"/>
  <c r="S65" i="4"/>
  <c r="R65" i="4"/>
  <c r="L38" i="4"/>
  <c r="E40" i="4"/>
  <c r="I21" i="4"/>
  <c r="AI339" i="1"/>
  <c r="AG339" i="1"/>
  <c r="AH339" i="1"/>
  <c r="AK339" i="1"/>
  <c r="AI331" i="1"/>
  <c r="AG331" i="1"/>
  <c r="AH331" i="1"/>
  <c r="AK331" i="1"/>
  <c r="AI323" i="1"/>
  <c r="AG323" i="1"/>
  <c r="AH323" i="1"/>
  <c r="AK323" i="1"/>
  <c r="AI315" i="1"/>
  <c r="AG315" i="1"/>
  <c r="AH315" i="1"/>
  <c r="AK315" i="1"/>
  <c r="AI307" i="1"/>
  <c r="AG307" i="1"/>
  <c r="AH307" i="1"/>
  <c r="AK307" i="1"/>
  <c r="AI299" i="1"/>
  <c r="AG299" i="1"/>
  <c r="AH299" i="1"/>
  <c r="AK299" i="1"/>
  <c r="AI291" i="1"/>
  <c r="AG291" i="1"/>
  <c r="AH291" i="1"/>
  <c r="AK291" i="1"/>
  <c r="AI365" i="1"/>
  <c r="AH365" i="1"/>
  <c r="AG365" i="1"/>
  <c r="AK365" i="1"/>
  <c r="AK283" i="1"/>
  <c r="AG283" i="1"/>
  <c r="AH283" i="1"/>
  <c r="AI283" i="1"/>
  <c r="AI355" i="1"/>
  <c r="AG355" i="1"/>
  <c r="AH355" i="1"/>
  <c r="AK355" i="1"/>
  <c r="AI273" i="1"/>
  <c r="AH273" i="1"/>
  <c r="AK273" i="1"/>
  <c r="AG273" i="1"/>
  <c r="AI263" i="1"/>
  <c r="AH263" i="1"/>
  <c r="AK263" i="1"/>
  <c r="AG263" i="1"/>
  <c r="AH254" i="1"/>
  <c r="AK254" i="1"/>
  <c r="AG254" i="1"/>
  <c r="AI254" i="1"/>
  <c r="AI231" i="1"/>
  <c r="AH231" i="1"/>
  <c r="AK231" i="1"/>
  <c r="AG231" i="1"/>
  <c r="AI215" i="1"/>
  <c r="AH215" i="1"/>
  <c r="AK215" i="1"/>
  <c r="AG215" i="1"/>
  <c r="AI199" i="1"/>
  <c r="AH199" i="1"/>
  <c r="AK199" i="1"/>
  <c r="AG199" i="1"/>
  <c r="AH268" i="1"/>
  <c r="AK268" i="1"/>
  <c r="AG268" i="1"/>
  <c r="AI268" i="1"/>
  <c r="AI245" i="1"/>
  <c r="AH245" i="1"/>
  <c r="AG245" i="1"/>
  <c r="AK245" i="1"/>
  <c r="AI229" i="1"/>
  <c r="AH229" i="1"/>
  <c r="AG229" i="1"/>
  <c r="AK229" i="1"/>
  <c r="AI213" i="1"/>
  <c r="AH213" i="1"/>
  <c r="AG213" i="1"/>
  <c r="AK213" i="1"/>
  <c r="AH196" i="1"/>
  <c r="AK196" i="1"/>
  <c r="AG196" i="1"/>
  <c r="AI196" i="1"/>
  <c r="AH147" i="1"/>
  <c r="AK147" i="1"/>
  <c r="AG147" i="1"/>
  <c r="AI147" i="1"/>
  <c r="AI133" i="1"/>
  <c r="AG133" i="1"/>
  <c r="AK133" i="1"/>
  <c r="AH133" i="1"/>
  <c r="AI359" i="1"/>
  <c r="AH359" i="1"/>
  <c r="AG359" i="1"/>
  <c r="AK359" i="1"/>
  <c r="AH242" i="1"/>
  <c r="AK242" i="1"/>
  <c r="AG242" i="1"/>
  <c r="AI242" i="1"/>
  <c r="AI227" i="1"/>
  <c r="AH227" i="1"/>
  <c r="AK227" i="1"/>
  <c r="AG227" i="1"/>
  <c r="AI211" i="1"/>
  <c r="AH211" i="1"/>
  <c r="AK211" i="1"/>
  <c r="AG211" i="1"/>
  <c r="AI197" i="1"/>
  <c r="AH197" i="1"/>
  <c r="AG197" i="1"/>
  <c r="AK197" i="1"/>
  <c r="AH186" i="1"/>
  <c r="AK186" i="1"/>
  <c r="AG186" i="1"/>
  <c r="AI186" i="1"/>
  <c r="AH181" i="1"/>
  <c r="AK181" i="1"/>
  <c r="AG181" i="1"/>
  <c r="AI181" i="1"/>
  <c r="AH177" i="1"/>
  <c r="AK177" i="1"/>
  <c r="AG177" i="1"/>
  <c r="AI177" i="1"/>
  <c r="AH173" i="1"/>
  <c r="AK173" i="1"/>
  <c r="AG173" i="1"/>
  <c r="AI173" i="1"/>
  <c r="AH169" i="1"/>
  <c r="AK169" i="1"/>
  <c r="AG169" i="1"/>
  <c r="AI169" i="1"/>
  <c r="AH165" i="1"/>
  <c r="AK165" i="1"/>
  <c r="AG165" i="1"/>
  <c r="AI165" i="1"/>
  <c r="AH161" i="1"/>
  <c r="AK161" i="1"/>
  <c r="AG161" i="1"/>
  <c r="AI161" i="1"/>
  <c r="AH157" i="1"/>
  <c r="AK157" i="1"/>
  <c r="AG157" i="1"/>
  <c r="AI157" i="1"/>
  <c r="AK138" i="1"/>
  <c r="AG138" i="1"/>
  <c r="AI138" i="1"/>
  <c r="AH138" i="1"/>
  <c r="AI122" i="1"/>
  <c r="AH122" i="1"/>
  <c r="AG122" i="1"/>
  <c r="AK122" i="1"/>
  <c r="AI114" i="1"/>
  <c r="AH114" i="1"/>
  <c r="AG114" i="1"/>
  <c r="AK114" i="1"/>
  <c r="AI106" i="1"/>
  <c r="AH106" i="1"/>
  <c r="AG106" i="1"/>
  <c r="AK106" i="1"/>
  <c r="AI98" i="1"/>
  <c r="AH98" i="1"/>
  <c r="AG98" i="1"/>
  <c r="AK98" i="1"/>
  <c r="AI90" i="1"/>
  <c r="AH90" i="1"/>
  <c r="AG90" i="1"/>
  <c r="AK90" i="1"/>
  <c r="AI367" i="1"/>
  <c r="AH367" i="1"/>
  <c r="AG367" i="1"/>
  <c r="AK367" i="1"/>
  <c r="AH87" i="1"/>
  <c r="AK87" i="1"/>
  <c r="AG87" i="1"/>
  <c r="AI87" i="1"/>
  <c r="AH85" i="1"/>
  <c r="AK85" i="1"/>
  <c r="AG85" i="1"/>
  <c r="AI85" i="1"/>
  <c r="AH264" i="1"/>
  <c r="AK264" i="1"/>
  <c r="AG264" i="1"/>
  <c r="AI264" i="1"/>
  <c r="AH232" i="1"/>
  <c r="AK232" i="1"/>
  <c r="AG232" i="1"/>
  <c r="AI232" i="1"/>
  <c r="H54" i="4"/>
  <c r="V54" i="4"/>
  <c r="Y54" i="4" s="1"/>
  <c r="AK36" i="4"/>
  <c r="AJ36" i="4"/>
  <c r="AP36" i="4"/>
  <c r="V20" i="7"/>
  <c r="L20" i="4"/>
  <c r="H20" i="4"/>
  <c r="I20" i="4"/>
  <c r="Q20" i="4"/>
  <c r="X20" i="4"/>
  <c r="K51" i="7"/>
  <c r="AB51" i="7" s="1"/>
  <c r="AB22" i="4"/>
  <c r="Q39" i="7"/>
  <c r="U39" i="7"/>
  <c r="S8" i="4"/>
  <c r="I8" i="4"/>
  <c r="E8" i="3"/>
  <c r="H8" i="4"/>
  <c r="V8" i="4" s="1"/>
  <c r="G8" i="4"/>
  <c r="U8" i="4" s="1"/>
  <c r="F69" i="5"/>
  <c r="F74" i="5"/>
  <c r="B60" i="5"/>
  <c r="A60" i="5" s="1"/>
  <c r="G33" i="4"/>
  <c r="Q19" i="4"/>
  <c r="AI76" i="2"/>
  <c r="AH76" i="2"/>
  <c r="AK76" i="2"/>
  <c r="AG76" i="2"/>
  <c r="AI74" i="2"/>
  <c r="AH74" i="2"/>
  <c r="AK74" i="2"/>
  <c r="AG74" i="2"/>
  <c r="AZ63" i="2"/>
  <c r="BC63" i="2"/>
  <c r="AX63" i="2"/>
  <c r="AT63" i="2"/>
  <c r="BD81" i="2"/>
  <c r="BD2" i="2" s="1"/>
  <c r="AY81" i="2"/>
  <c r="AU81" i="2"/>
  <c r="AZ73" i="2"/>
  <c r="AX73" i="2"/>
  <c r="AT73" i="2"/>
  <c r="BC73" i="2"/>
  <c r="AH45" i="2"/>
  <c r="AK45" i="2"/>
  <c r="AG45" i="2"/>
  <c r="AI45" i="2"/>
  <c r="AH37" i="2"/>
  <c r="AK37" i="2"/>
  <c r="AG37" i="2"/>
  <c r="AI37" i="2"/>
  <c r="AH35" i="2"/>
  <c r="AK35" i="2"/>
  <c r="AG35" i="2"/>
  <c r="AI35" i="2"/>
  <c r="AH33" i="2"/>
  <c r="AK33" i="2"/>
  <c r="AG33" i="2"/>
  <c r="AI33" i="2"/>
  <c r="AH31" i="2"/>
  <c r="AK31" i="2"/>
  <c r="AG31" i="2"/>
  <c r="AI31" i="2"/>
  <c r="AH29" i="2"/>
  <c r="AK29" i="2"/>
  <c r="AG29" i="2"/>
  <c r="AI29" i="2"/>
  <c r="AH27" i="2"/>
  <c r="AK27" i="2"/>
  <c r="AG27" i="2"/>
  <c r="AI27" i="2"/>
  <c r="AH25" i="2"/>
  <c r="AK25" i="2"/>
  <c r="AG25" i="2"/>
  <c r="AI25" i="2"/>
  <c r="AH17" i="2"/>
  <c r="AK17" i="2"/>
  <c r="AG17" i="2"/>
  <c r="AI17" i="2"/>
  <c r="AH9" i="2"/>
  <c r="AK9" i="2"/>
  <c r="AG9" i="2"/>
  <c r="AI9" i="2"/>
  <c r="BF2" i="2" l="1"/>
  <c r="AJ66" i="4"/>
  <c r="AH2" i="1"/>
  <c r="E69" i="4"/>
  <c r="H69" i="4" s="1"/>
  <c r="BC2" i="1"/>
  <c r="BE2" i="1"/>
  <c r="BF2" i="1"/>
  <c r="BD2" i="1"/>
  <c r="AU2" i="2"/>
  <c r="AT1" i="2"/>
  <c r="AS1" i="2" s="1"/>
  <c r="AZ2" i="2"/>
  <c r="S51" i="4"/>
  <c r="N48" i="7"/>
  <c r="H53" i="4"/>
  <c r="AR374" i="1"/>
  <c r="AS374" i="1" s="1"/>
  <c r="AS373" i="1"/>
  <c r="BE1" i="2"/>
  <c r="R51" i="4"/>
  <c r="T39" i="7"/>
  <c r="P69" i="5"/>
  <c r="H55" i="4"/>
  <c r="AR1" i="1"/>
  <c r="AT1" i="1" s="1"/>
  <c r="H83" i="4"/>
  <c r="P38" i="7"/>
  <c r="W53" i="4"/>
  <c r="Z53" i="4" s="1"/>
  <c r="P39" i="7"/>
  <c r="H25" i="4"/>
  <c r="A61" i="5"/>
  <c r="AC39" i="4"/>
  <c r="AN38" i="4"/>
  <c r="AN40" i="4" s="1"/>
  <c r="BC1" i="2"/>
  <c r="V83" i="4"/>
  <c r="X6" i="3"/>
  <c r="J9" i="3"/>
  <c r="X9" i="3" s="1"/>
  <c r="V39" i="4"/>
  <c r="P113" i="5"/>
  <c r="N21" i="4"/>
  <c r="L40" i="4"/>
  <c r="H23" i="4"/>
  <c r="AL81" i="4"/>
  <c r="N10" i="6"/>
  <c r="M10" i="6"/>
  <c r="S8" i="3"/>
  <c r="H8" i="3"/>
  <c r="V8" i="3" s="1"/>
  <c r="G8" i="3"/>
  <c r="U8" i="3" s="1"/>
  <c r="Q49" i="7"/>
  <c r="AH20" i="4"/>
  <c r="S20" i="4"/>
  <c r="R20" i="4"/>
  <c r="N53" i="4"/>
  <c r="M53" i="4"/>
  <c r="AE52" i="4"/>
  <c r="AD52" i="4"/>
  <c r="AH43" i="8"/>
  <c r="V43" i="8"/>
  <c r="U43" i="8"/>
  <c r="AB43" i="8"/>
  <c r="AC43" i="8"/>
  <c r="L20" i="6"/>
  <c r="K20" i="6"/>
  <c r="AC41" i="8"/>
  <c r="AB41" i="8"/>
  <c r="AC42" i="8"/>
  <c r="AB42" i="8"/>
  <c r="U45" i="8"/>
  <c r="AH45" i="8"/>
  <c r="V45" i="8"/>
  <c r="V55" i="4"/>
  <c r="AD21" i="4"/>
  <c r="N61" i="8"/>
  <c r="U41" i="8"/>
  <c r="AH41" i="8"/>
  <c r="V41" i="8"/>
  <c r="U42" i="8"/>
  <c r="AH42" i="8"/>
  <c r="V42" i="8"/>
  <c r="AB44" i="8"/>
  <c r="AC44" i="8"/>
  <c r="AI40" i="4"/>
  <c r="AJ40" i="4" s="1"/>
  <c r="AJ38" i="4"/>
  <c r="AP38" i="4"/>
  <c r="AK38" i="4"/>
  <c r="AR37" i="4"/>
  <c r="AQ37" i="4"/>
  <c r="S6" i="3"/>
  <c r="H6" i="3"/>
  <c r="V6" i="3" s="1"/>
  <c r="G6" i="3"/>
  <c r="U6" i="3" s="1"/>
  <c r="AB38" i="8"/>
  <c r="AA35" i="8"/>
  <c r="AA47" i="8"/>
  <c r="AC38" i="8"/>
  <c r="E9" i="3"/>
  <c r="S5" i="3"/>
  <c r="H5" i="3"/>
  <c r="V5" i="3" s="1"/>
  <c r="G5" i="3"/>
  <c r="U5" i="3" s="1"/>
  <c r="AB48" i="7"/>
  <c r="AE48" i="7" s="1"/>
  <c r="R38" i="7"/>
  <c r="V38" i="7"/>
  <c r="AO78" i="4"/>
  <c r="AN78" i="4"/>
  <c r="AC40" i="8"/>
  <c r="AB40" i="8"/>
  <c r="Z48" i="4"/>
  <c r="AE79" i="4"/>
  <c r="AD79" i="4"/>
  <c r="Q50" i="4"/>
  <c r="Q53" i="4" s="1"/>
  <c r="M50" i="4"/>
  <c r="N50" i="4"/>
  <c r="AC50" i="4"/>
  <c r="AC53" i="4" s="1"/>
  <c r="AH64" i="4"/>
  <c r="AH67" i="4" s="1"/>
  <c r="R64" i="4"/>
  <c r="S64" i="4"/>
  <c r="V69" i="4"/>
  <c r="Q48" i="7"/>
  <c r="Q23" i="4"/>
  <c r="S19" i="4"/>
  <c r="R19" i="4"/>
  <c r="AH19" i="4"/>
  <c r="W8" i="4"/>
  <c r="M8" i="4"/>
  <c r="I8" i="3"/>
  <c r="L8" i="4"/>
  <c r="Z8" i="4" s="1"/>
  <c r="K8" i="4"/>
  <c r="Y8" i="4" s="1"/>
  <c r="AR36" i="4"/>
  <c r="AQ36" i="4"/>
  <c r="J12" i="6"/>
  <c r="K12" i="6"/>
  <c r="U44" i="8"/>
  <c r="AH44" i="8"/>
  <c r="V44" i="8"/>
  <c r="P81" i="4"/>
  <c r="S80" i="4"/>
  <c r="AH80" i="4"/>
  <c r="R80" i="4"/>
  <c r="S76" i="4"/>
  <c r="AH76" i="4"/>
  <c r="R76" i="4"/>
  <c r="N81" i="4"/>
  <c r="M81" i="4"/>
  <c r="C81" i="4"/>
  <c r="B81" i="4" s="1"/>
  <c r="M5" i="6"/>
  <c r="N5" i="6"/>
  <c r="AC46" i="8"/>
  <c r="AB46" i="8"/>
  <c r="Z35" i="4"/>
  <c r="S38" i="4"/>
  <c r="W6" i="4"/>
  <c r="M6" i="4"/>
  <c r="I6" i="3"/>
  <c r="L6" i="4"/>
  <c r="Z6" i="4" s="1"/>
  <c r="K6" i="4"/>
  <c r="Y6" i="4" s="1"/>
  <c r="AD48" i="7"/>
  <c r="AK35" i="4"/>
  <c r="AJ35" i="4"/>
  <c r="AP35" i="4"/>
  <c r="I9" i="4"/>
  <c r="W5" i="4"/>
  <c r="M5" i="4"/>
  <c r="I5" i="3"/>
  <c r="L5" i="4"/>
  <c r="Z5" i="4" s="1"/>
  <c r="K5" i="4"/>
  <c r="Y5" i="4" s="1"/>
  <c r="V39" i="7"/>
  <c r="R39" i="7"/>
  <c r="N51" i="7"/>
  <c r="M51" i="7"/>
  <c r="AC51" i="7"/>
  <c r="S67" i="4"/>
  <c r="R67" i="4"/>
  <c r="K136" i="5"/>
  <c r="L136" i="5" s="1"/>
  <c r="M136" i="5" s="1"/>
  <c r="N136" i="5" s="1"/>
  <c r="O136" i="5" s="1"/>
  <c r="AK83" i="4"/>
  <c r="P32" i="8"/>
  <c r="O33" i="8"/>
  <c r="W23" i="4"/>
  <c r="Z19" i="4"/>
  <c r="Z64" i="4"/>
  <c r="Y64" i="4"/>
  <c r="N33" i="4"/>
  <c r="H33" i="4"/>
  <c r="G38" i="4"/>
  <c r="U33" i="4"/>
  <c r="I33" i="4"/>
  <c r="AM76" i="4"/>
  <c r="AH48" i="4"/>
  <c r="S48" i="4"/>
  <c r="R48" i="4"/>
  <c r="AE66" i="4"/>
  <c r="AD66" i="4"/>
  <c r="W81" i="4"/>
  <c r="Z76" i="4"/>
  <c r="AD80" i="4"/>
  <c r="AE80" i="4"/>
  <c r="AE76" i="4"/>
  <c r="AD76" i="4"/>
  <c r="U38" i="8"/>
  <c r="T47" i="8"/>
  <c r="AH38" i="8"/>
  <c r="V38" i="8"/>
  <c r="AC39" i="8"/>
  <c r="AB39" i="8"/>
  <c r="C61" i="8"/>
  <c r="O61" i="8"/>
  <c r="AH50" i="7"/>
  <c r="S50" i="7"/>
  <c r="R50" i="7"/>
  <c r="I36" i="4"/>
  <c r="N36" i="4"/>
  <c r="H36" i="4"/>
  <c r="U36" i="4"/>
  <c r="AM79" i="4"/>
  <c r="AC78" i="4"/>
  <c r="AC81" i="4" s="1"/>
  <c r="N78" i="4"/>
  <c r="Q78" i="4"/>
  <c r="Q81" i="4" s="1"/>
  <c r="M78" i="4"/>
  <c r="C78" i="4"/>
  <c r="B78" i="4" s="1"/>
  <c r="AI2" i="1"/>
  <c r="AK2" i="1"/>
  <c r="AG2" i="1"/>
  <c r="AJ51" i="4"/>
  <c r="AI51" i="4"/>
  <c r="K50" i="7"/>
  <c r="AB50" i="7" s="1"/>
  <c r="AB21" i="4"/>
  <c r="AE21" i="4" s="1"/>
  <c r="U39" i="8"/>
  <c r="AH39" i="8"/>
  <c r="V39" i="8"/>
  <c r="Y53" i="4"/>
  <c r="X55" i="4"/>
  <c r="I35" i="4"/>
  <c r="H35" i="4"/>
  <c r="N35" i="4"/>
  <c r="U35" i="4"/>
  <c r="Q51" i="7"/>
  <c r="AH22" i="4"/>
  <c r="S22" i="4"/>
  <c r="R22" i="4"/>
  <c r="Z49" i="7"/>
  <c r="Y49" i="7"/>
  <c r="X52" i="7"/>
  <c r="S7" i="3"/>
  <c r="H7" i="3"/>
  <c r="V7" i="3" s="1"/>
  <c r="G7" i="3"/>
  <c r="U7" i="3" s="1"/>
  <c r="E38" i="7"/>
  <c r="AB45" i="8"/>
  <c r="AC45" i="8"/>
  <c r="Z20" i="4"/>
  <c r="Y20" i="4"/>
  <c r="X23" i="4"/>
  <c r="L49" i="7"/>
  <c r="N20" i="4"/>
  <c r="AC20" i="4"/>
  <c r="M20" i="4"/>
  <c r="L23" i="4"/>
  <c r="AI65" i="4"/>
  <c r="AJ65" i="4"/>
  <c r="AD48" i="4"/>
  <c r="AE48" i="4"/>
  <c r="S52" i="4"/>
  <c r="R52" i="4"/>
  <c r="AH52" i="4"/>
  <c r="K11" i="6"/>
  <c r="J11" i="6"/>
  <c r="U40" i="8"/>
  <c r="AH40" i="8"/>
  <c r="V40" i="8"/>
  <c r="AC50" i="7"/>
  <c r="M50" i="7"/>
  <c r="N48" i="8"/>
  <c r="N76" i="8"/>
  <c r="AQ33" i="4"/>
  <c r="AR33" i="4"/>
  <c r="AJ21" i="4"/>
  <c r="AI21" i="4"/>
  <c r="S9" i="4"/>
  <c r="E11" i="4"/>
  <c r="S11" i="4" s="1"/>
  <c r="H9" i="4"/>
  <c r="V9" i="4" s="1"/>
  <c r="G9" i="4"/>
  <c r="U9" i="4" s="1"/>
  <c r="Y78" i="4"/>
  <c r="Z78" i="4"/>
  <c r="X81" i="4"/>
  <c r="AD22" i="4"/>
  <c r="AE22" i="4"/>
  <c r="AI62" i="4"/>
  <c r="AJ62" i="4"/>
  <c r="T38" i="4"/>
  <c r="AA38" i="4" s="1"/>
  <c r="L12" i="6"/>
  <c r="I50" i="7"/>
  <c r="W50" i="7"/>
  <c r="F52" i="7"/>
  <c r="I52" i="7" s="1"/>
  <c r="AH46" i="8"/>
  <c r="U46" i="8"/>
  <c r="V46" i="8"/>
  <c r="R79" i="4"/>
  <c r="AH79" i="4"/>
  <c r="S79" i="4"/>
  <c r="N37" i="4"/>
  <c r="H37" i="4"/>
  <c r="I37" i="4"/>
  <c r="U37" i="4"/>
  <c r="AM80" i="4"/>
  <c r="Z50" i="4"/>
  <c r="Y50" i="4"/>
  <c r="W7" i="4"/>
  <c r="M7" i="4"/>
  <c r="I7" i="3"/>
  <c r="L7" i="4"/>
  <c r="Z7" i="4" s="1"/>
  <c r="K7" i="4"/>
  <c r="Y7" i="4" s="1"/>
  <c r="AC64" i="4"/>
  <c r="N64" i="4"/>
  <c r="M64" i="4"/>
  <c r="L67" i="4"/>
  <c r="X67" i="4"/>
  <c r="BH66" i="2"/>
  <c r="BG69" i="2"/>
  <c r="BH69" i="2" s="1"/>
  <c r="BE1" i="1" l="1"/>
  <c r="AW1" i="2"/>
  <c r="AQ371" i="2"/>
  <c r="O78" i="4" s="1"/>
  <c r="R78" i="4" s="1"/>
  <c r="BC1" i="1"/>
  <c r="Y55" i="4"/>
  <c r="AW1" i="1"/>
  <c r="N50" i="7"/>
  <c r="AB23" i="4"/>
  <c r="S81" i="4"/>
  <c r="AE81" i="4"/>
  <c r="AD81" i="4"/>
  <c r="W7" i="3"/>
  <c r="L7" i="3"/>
  <c r="Z7" i="3" s="1"/>
  <c r="K7" i="3"/>
  <c r="Y7" i="3" s="1"/>
  <c r="Z67" i="4"/>
  <c r="X69" i="4"/>
  <c r="Y69" i="4" s="1"/>
  <c r="Y67" i="4"/>
  <c r="AD64" i="4"/>
  <c r="AE64" i="4"/>
  <c r="AC67" i="4"/>
  <c r="AA7" i="4"/>
  <c r="M7" i="3"/>
  <c r="P7" i="4"/>
  <c r="AD7" i="4" s="1"/>
  <c r="O7" i="4"/>
  <c r="AC7" i="4" s="1"/>
  <c r="AO80" i="4"/>
  <c r="AN80" i="4"/>
  <c r="P37" i="4"/>
  <c r="O37" i="4"/>
  <c r="Z50" i="7"/>
  <c r="W52" i="7"/>
  <c r="Z52" i="7" s="1"/>
  <c r="AD53" i="4"/>
  <c r="AE53" i="4"/>
  <c r="X25" i="4"/>
  <c r="Y25" i="4" s="1"/>
  <c r="Y23" i="4"/>
  <c r="Z23" i="4"/>
  <c r="V35" i="4"/>
  <c r="W35" i="4"/>
  <c r="AB35" i="4"/>
  <c r="AJ39" i="8"/>
  <c r="AI39" i="8"/>
  <c r="V47" i="8"/>
  <c r="V49" i="8" s="1"/>
  <c r="U47" i="8"/>
  <c r="U48" i="8"/>
  <c r="V48" i="8"/>
  <c r="O33" i="4"/>
  <c r="P33" i="4"/>
  <c r="P136" i="5"/>
  <c r="AE51" i="7"/>
  <c r="AD51" i="7"/>
  <c r="I9" i="3"/>
  <c r="W5" i="3"/>
  <c r="L5" i="3"/>
  <c r="Z5" i="3" s="1"/>
  <c r="K5" i="3"/>
  <c r="Y5" i="3" s="1"/>
  <c r="AQ35" i="4"/>
  <c r="AR35" i="4"/>
  <c r="W6" i="3"/>
  <c r="L6" i="3"/>
  <c r="Z6" i="3" s="1"/>
  <c r="K6" i="3"/>
  <c r="Y6" i="3" s="1"/>
  <c r="AJ19" i="4"/>
  <c r="AH23" i="4"/>
  <c r="AI19" i="4"/>
  <c r="AH48" i="7"/>
  <c r="S48" i="7"/>
  <c r="R48" i="7"/>
  <c r="AI64" i="4"/>
  <c r="AJ64" i="4"/>
  <c r="S50" i="4"/>
  <c r="R50" i="4"/>
  <c r="AH50" i="4"/>
  <c r="AH53" i="4" s="1"/>
  <c r="AK42" i="8"/>
  <c r="AJ42" i="8"/>
  <c r="AI42" i="8"/>
  <c r="X83" i="4"/>
  <c r="Y83" i="4" s="1"/>
  <c r="Z81" i="4"/>
  <c r="Y81" i="4"/>
  <c r="AD50" i="7"/>
  <c r="AE50" i="7"/>
  <c r="AD20" i="4"/>
  <c r="AE20" i="4"/>
  <c r="AC23" i="4"/>
  <c r="M40" i="7"/>
  <c r="T38" i="7"/>
  <c r="Y52" i="7"/>
  <c r="P35" i="4"/>
  <c r="O35" i="4"/>
  <c r="AD78" i="4"/>
  <c r="AE78" i="4"/>
  <c r="P36" i="4"/>
  <c r="O36" i="4"/>
  <c r="AJ50" i="7"/>
  <c r="AI50" i="7"/>
  <c r="X33" i="4"/>
  <c r="X36" i="4" s="1"/>
  <c r="U38" i="4"/>
  <c r="AB33" i="4"/>
  <c r="V33" i="4"/>
  <c r="W33" i="4"/>
  <c r="M9" i="4"/>
  <c r="AA5" i="4"/>
  <c r="M5" i="3"/>
  <c r="P5" i="4"/>
  <c r="AD5" i="4" s="1"/>
  <c r="O5" i="4"/>
  <c r="AC5" i="4" s="1"/>
  <c r="AA6" i="4"/>
  <c r="M6" i="3"/>
  <c r="P6" i="4"/>
  <c r="AD6" i="4" s="1"/>
  <c r="O6" i="4"/>
  <c r="AC6" i="4" s="1"/>
  <c r="AI76" i="4"/>
  <c r="AJ76" i="4"/>
  <c r="AI80" i="4"/>
  <c r="AJ80" i="4"/>
  <c r="AK44" i="8"/>
  <c r="AI44" i="8"/>
  <c r="AJ44" i="8"/>
  <c r="W8" i="3"/>
  <c r="L8" i="3"/>
  <c r="Z8" i="3" s="1"/>
  <c r="K8" i="3"/>
  <c r="Y8" i="3" s="1"/>
  <c r="AE50" i="4"/>
  <c r="AD50" i="4"/>
  <c r="AC48" i="8"/>
  <c r="AB47" i="8"/>
  <c r="AB48" i="8"/>
  <c r="AC47" i="8"/>
  <c r="AC49" i="8" s="1"/>
  <c r="AJ20" i="4"/>
  <c r="AI20" i="4"/>
  <c r="N67" i="4"/>
  <c r="M67" i="4"/>
  <c r="W37" i="4"/>
  <c r="V37" i="4"/>
  <c r="AB37" i="4"/>
  <c r="AJ79" i="4"/>
  <c r="AI79" i="4"/>
  <c r="AI46" i="8"/>
  <c r="AJ46" i="8"/>
  <c r="AK46" i="8"/>
  <c r="N12" i="6"/>
  <c r="M12" i="6"/>
  <c r="AI67" i="4"/>
  <c r="AJ67" i="4"/>
  <c r="AJ22" i="4"/>
  <c r="AI22" i="4"/>
  <c r="AN79" i="4"/>
  <c r="AO79" i="4"/>
  <c r="AJ48" i="4"/>
  <c r="AI48" i="4"/>
  <c r="G40" i="4"/>
  <c r="H40" i="4" s="1"/>
  <c r="N38" i="4"/>
  <c r="I38" i="4"/>
  <c r="H38" i="4"/>
  <c r="AA8" i="4"/>
  <c r="M8" i="3"/>
  <c r="P8" i="4"/>
  <c r="AD8" i="4" s="1"/>
  <c r="O8" i="4"/>
  <c r="AC8" i="4" s="1"/>
  <c r="AB52" i="7"/>
  <c r="AA34" i="8"/>
  <c r="AC35" i="8"/>
  <c r="AB35" i="8"/>
  <c r="AR38" i="4"/>
  <c r="AQ38" i="4"/>
  <c r="AP40" i="4"/>
  <c r="AQ40" i="4" s="1"/>
  <c r="AJ45" i="8"/>
  <c r="AI45" i="8"/>
  <c r="AK45" i="8"/>
  <c r="AI43" i="8"/>
  <c r="AK43" i="8"/>
  <c r="AJ43" i="8"/>
  <c r="R49" i="7"/>
  <c r="AH49" i="7"/>
  <c r="S49" i="7"/>
  <c r="AJ40" i="8"/>
  <c r="AI40" i="8"/>
  <c r="AI52" i="4"/>
  <c r="AJ52" i="4"/>
  <c r="N23" i="4"/>
  <c r="N27" i="4" s="1"/>
  <c r="M23" i="4"/>
  <c r="N49" i="7"/>
  <c r="M49" i="7"/>
  <c r="AC49" i="7"/>
  <c r="L52" i="7"/>
  <c r="R51" i="7"/>
  <c r="AH51" i="7"/>
  <c r="S51" i="7"/>
  <c r="S78" i="4"/>
  <c r="AH78" i="4"/>
  <c r="AH81" i="4" s="1"/>
  <c r="AB36" i="4"/>
  <c r="W36" i="4"/>
  <c r="V36" i="4"/>
  <c r="AH47" i="8"/>
  <c r="AJ38" i="8"/>
  <c r="AI38" i="8"/>
  <c r="S53" i="4"/>
  <c r="R53" i="4"/>
  <c r="AO76" i="4"/>
  <c r="AM81" i="4"/>
  <c r="AN76" i="4"/>
  <c r="W9" i="4"/>
  <c r="L9" i="4"/>
  <c r="Z9" i="4" s="1"/>
  <c r="K9" i="4"/>
  <c r="Y9" i="4" s="1"/>
  <c r="S40" i="4"/>
  <c r="Z38" i="4"/>
  <c r="Z40" i="4" s="1"/>
  <c r="Q52" i="7"/>
  <c r="R23" i="4"/>
  <c r="S23" i="4"/>
  <c r="K52" i="7"/>
  <c r="S9" i="3"/>
  <c r="H9" i="3"/>
  <c r="V9" i="3" s="1"/>
  <c r="G9" i="3"/>
  <c r="U9" i="3" s="1"/>
  <c r="E11" i="3"/>
  <c r="S11" i="3" s="1"/>
  <c r="AJ41" i="8"/>
  <c r="AI41" i="8"/>
  <c r="AF78" i="4" l="1"/>
  <c r="AF81" i="4" s="1"/>
  <c r="AI81" i="4" s="1"/>
  <c r="O81" i="4"/>
  <c r="R81" i="4" s="1"/>
  <c r="AJ81" i="4"/>
  <c r="AJ49" i="7"/>
  <c r="AI49" i="7"/>
  <c r="AM83" i="4"/>
  <c r="AN83" i="4" s="1"/>
  <c r="AN81" i="4"/>
  <c r="AO81" i="4"/>
  <c r="AD36" i="4"/>
  <c r="AC36" i="4"/>
  <c r="AC33" i="4"/>
  <c r="AD33" i="4"/>
  <c r="S52" i="7"/>
  <c r="R52" i="7"/>
  <c r="AE49" i="7"/>
  <c r="AD49" i="7"/>
  <c r="AC52" i="7"/>
  <c r="AH49" i="8"/>
  <c r="AJ47" i="8"/>
  <c r="AJ49" i="8" s="1"/>
  <c r="AI47" i="8"/>
  <c r="AJ51" i="7"/>
  <c r="AI51" i="7"/>
  <c r="AD37" i="4"/>
  <c r="AC37" i="4"/>
  <c r="AA9" i="4"/>
  <c r="P9" i="4"/>
  <c r="AD9" i="4" s="1"/>
  <c r="O9" i="4"/>
  <c r="AC9" i="4" s="1"/>
  <c r="AB38" i="4"/>
  <c r="V38" i="4"/>
  <c r="U40" i="4"/>
  <c r="V40" i="4" s="1"/>
  <c r="W38" i="4"/>
  <c r="AH52" i="7"/>
  <c r="AJ48" i="7"/>
  <c r="AI48" i="7"/>
  <c r="W9" i="3"/>
  <c r="L9" i="3"/>
  <c r="Z9" i="3" s="1"/>
  <c r="K9" i="3"/>
  <c r="Y9" i="3" s="1"/>
  <c r="AD35" i="4"/>
  <c r="AC35" i="4"/>
  <c r="AA7" i="3"/>
  <c r="P7" i="3"/>
  <c r="AD7" i="3" s="1"/>
  <c r="O7" i="3"/>
  <c r="AC7" i="3" s="1"/>
  <c r="AJ78" i="4"/>
  <c r="AI50" i="4"/>
  <c r="AJ50" i="4"/>
  <c r="N52" i="7"/>
  <c r="M52" i="7"/>
  <c r="AA8" i="3"/>
  <c r="P8" i="3"/>
  <c r="AD8" i="3" s="1"/>
  <c r="O8" i="3"/>
  <c r="AC8" i="3" s="1"/>
  <c r="P38" i="4"/>
  <c r="O38" i="4"/>
  <c r="N40" i="4"/>
  <c r="O40" i="4" s="1"/>
  <c r="AJ53" i="4"/>
  <c r="AI53" i="4"/>
  <c r="AA6" i="3"/>
  <c r="P6" i="3"/>
  <c r="AD6" i="3" s="1"/>
  <c r="O6" i="3"/>
  <c r="AC6" i="3" s="1"/>
  <c r="M9" i="3"/>
  <c r="AA5" i="3"/>
  <c r="P5" i="3"/>
  <c r="AD5" i="3" s="1"/>
  <c r="O5" i="3"/>
  <c r="AC5" i="3" s="1"/>
  <c r="AD23" i="4"/>
  <c r="AE23" i="4"/>
  <c r="AJ23" i="4"/>
  <c r="AI23" i="4"/>
  <c r="AD67" i="4"/>
  <c r="AE67" i="4"/>
  <c r="AI78" i="4" l="1"/>
  <c r="AD52" i="7"/>
  <c r="AE52" i="7"/>
  <c r="AA9" i="3"/>
  <c r="P9" i="3"/>
  <c r="AD9" i="3" s="1"/>
  <c r="O9" i="3"/>
  <c r="AC9" i="3" s="1"/>
  <c r="AI52" i="7"/>
  <c r="AJ52" i="7"/>
  <c r="AC38" i="4"/>
  <c r="AB40" i="4"/>
  <c r="AC40" i="4" s="1"/>
  <c r="AD38" i="4"/>
</calcChain>
</file>

<file path=xl/sharedStrings.xml><?xml version="1.0" encoding="utf-8"?>
<sst xmlns="http://schemas.openxmlformats.org/spreadsheetml/2006/main" count="1397" uniqueCount="468">
  <si>
    <t>Global 2025</t>
  </si>
  <si>
    <t>Global 2026</t>
  </si>
  <si>
    <t>Vta Ecom 2025</t>
  </si>
  <si>
    <t>Venta Ecom 2026</t>
  </si>
  <si>
    <t>Digital 2025</t>
  </si>
  <si>
    <t>Digital 2026</t>
  </si>
  <si>
    <t>MKP 2025</t>
  </si>
  <si>
    <t>MKP 2026</t>
  </si>
  <si>
    <t>2026</t>
  </si>
  <si>
    <t>Venta Meta 2026</t>
  </si>
  <si>
    <t>Meta Digital</t>
  </si>
  <si>
    <t>Meta MKPlace</t>
  </si>
  <si>
    <t>Web + APP 2025</t>
  </si>
  <si>
    <t>Web + APP 2026</t>
  </si>
  <si>
    <t>Afiliados 2025</t>
  </si>
  <si>
    <t>Afiliados 2026</t>
  </si>
  <si>
    <t>TMK 2025</t>
  </si>
  <si>
    <t>TMK 2026</t>
  </si>
  <si>
    <t>WA 2025</t>
  </si>
  <si>
    <t>WA 2026</t>
  </si>
  <si>
    <t>Ent. en Tienda 2025</t>
  </si>
  <si>
    <t>Ent. en Tienda 2026</t>
  </si>
  <si>
    <t>Meli Drop 2025</t>
  </si>
  <si>
    <t>Meli Drop 2026</t>
  </si>
  <si>
    <t>Meli Full 2025</t>
  </si>
  <si>
    <t>Meli Full 2026</t>
  </si>
  <si>
    <t>Amazon Drop 2025</t>
  </si>
  <si>
    <t>Amazon Drop 2026</t>
  </si>
  <si>
    <t>Amazon Full 2025</t>
  </si>
  <si>
    <t>Amazon Full 2026</t>
  </si>
  <si>
    <t>TikTok 2025</t>
  </si>
  <si>
    <t>TikTok 2026</t>
  </si>
  <si>
    <t>Shein 2025</t>
  </si>
  <si>
    <t>Shein 2026</t>
  </si>
  <si>
    <t>MELI 2025</t>
  </si>
  <si>
    <t>MELI2026</t>
  </si>
  <si>
    <t>AMZ 2025</t>
  </si>
  <si>
    <t>AMZ 2026</t>
  </si>
  <si>
    <t>Global</t>
  </si>
  <si>
    <t>Ecomm</t>
  </si>
  <si>
    <t>Digital</t>
  </si>
  <si>
    <t>MKP</t>
  </si>
  <si>
    <t xml:space="preserve">Web + APP </t>
  </si>
  <si>
    <t xml:space="preserve">Afiliados </t>
  </si>
  <si>
    <t xml:space="preserve">TMK </t>
  </si>
  <si>
    <t xml:space="preserve">WA </t>
  </si>
  <si>
    <t xml:space="preserve">Ent. en Tienda </t>
  </si>
  <si>
    <t xml:space="preserve">Meli Drop </t>
  </si>
  <si>
    <t xml:space="preserve">Meli Full </t>
  </si>
  <si>
    <t>MELI</t>
  </si>
  <si>
    <t>Amazon Drop</t>
  </si>
  <si>
    <t xml:space="preserve">Amazon Full </t>
  </si>
  <si>
    <t>AMAZON</t>
  </si>
  <si>
    <t xml:space="preserve">TikTok </t>
  </si>
  <si>
    <t xml:space="preserve">Shein </t>
  </si>
  <si>
    <t>Etiquetas de fila</t>
  </si>
  <si>
    <t>Suma de Afiliados 2025</t>
  </si>
  <si>
    <t>Etiquetas de columna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</si>
  <si>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</si>
  <si>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</si>
  <si>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</si>
  <si>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</si>
  <si>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</si>
  <si>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</si>
  <si>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</si>
  <si>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</si>
  <si>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</si>
  <si>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Total general</t>
  </si>
  <si>
    <t>Suma de Afiliados 2026</t>
  </si>
  <si>
    <t>Suma de Web + APP 2025</t>
  </si>
  <si>
    <t>Suma de TMK 2025</t>
  </si>
  <si>
    <t>Suma de WA 2025</t>
  </si>
  <si>
    <t>Suma de Ent. en Tienda 2025</t>
  </si>
  <si>
    <t>Suma de Meli Drop 2025</t>
  </si>
  <si>
    <t>Suma de Meli Full 2025</t>
  </si>
  <si>
    <t>Suma de Amazon Drop 2025</t>
  </si>
  <si>
    <t>Suma de Amazon Full 2025</t>
  </si>
  <si>
    <t>Suma de TikTok 2025</t>
  </si>
  <si>
    <t>Suma de Shein 2025</t>
  </si>
  <si>
    <t>Suma de Global 2025</t>
  </si>
  <si>
    <t>oct</t>
  </si>
  <si>
    <t>nov</t>
  </si>
  <si>
    <t>dic</t>
  </si>
  <si>
    <t>Suma de Meli Drop 2026</t>
  </si>
  <si>
    <t>Suma de Meli Full 2026</t>
  </si>
  <si>
    <t>MELI 2026</t>
  </si>
  <si>
    <t>%VAR</t>
  </si>
  <si>
    <t>Meses (2026)</t>
  </si>
  <si>
    <t>Días (2026)</t>
  </si>
  <si>
    <t xml:space="preserve"> Web + APP 2026</t>
  </si>
  <si>
    <t xml:space="preserve"> Afiliados 2026</t>
  </si>
  <si>
    <t xml:space="preserve"> TMK 2026</t>
  </si>
  <si>
    <t xml:space="preserve"> WA 2026</t>
  </si>
  <si>
    <t xml:space="preserve"> Ent. en Tienda 2026</t>
  </si>
  <si>
    <t xml:space="preserve"> Meli Drop 2026</t>
  </si>
  <si>
    <t xml:space="preserve"> Meli Full 2026</t>
  </si>
  <si>
    <t xml:space="preserve"> Amazon Drop 2026</t>
  </si>
  <si>
    <t xml:space="preserve"> Amazon Full 2026</t>
  </si>
  <si>
    <t xml:space="preserve"> TikTok 2026</t>
  </si>
  <si>
    <t xml:space="preserve"> Shein 2026</t>
  </si>
  <si>
    <t xml:space="preserve"> Venta Total 2026</t>
  </si>
  <si>
    <t>DIGITAL TOTAL</t>
  </si>
  <si>
    <t>MKP TOTAL</t>
  </si>
  <si>
    <t>01-may</t>
  </si>
  <si>
    <t>02-may</t>
  </si>
  <si>
    <t>03-may</t>
  </si>
  <si>
    <t>04-may</t>
  </si>
  <si>
    <t>05-may</t>
  </si>
  <si>
    <t>06-may</t>
  </si>
  <si>
    <t>07-may</t>
  </si>
  <si>
    <t>08-may</t>
  </si>
  <si>
    <t>09-may</t>
  </si>
  <si>
    <t>10-may</t>
  </si>
  <si>
    <t>11-may</t>
  </si>
  <si>
    <t>12-may</t>
  </si>
  <si>
    <t>13-may</t>
  </si>
  <si>
    <t>14-may</t>
  </si>
  <si>
    <t>15-may</t>
  </si>
  <si>
    <t>16-may</t>
  </si>
  <si>
    <t>17-may</t>
  </si>
  <si>
    <t>18-may</t>
  </si>
  <si>
    <t>19-may</t>
  </si>
  <si>
    <t>20-may</t>
  </si>
  <si>
    <t>21-may</t>
  </si>
  <si>
    <t>22-may</t>
  </si>
  <si>
    <t>23-may</t>
  </si>
  <si>
    <t>24-may</t>
  </si>
  <si>
    <t>25-may</t>
  </si>
  <si>
    <t>26-may</t>
  </si>
  <si>
    <t>27-may</t>
  </si>
  <si>
    <t>28-may</t>
  </si>
  <si>
    <t>29-may</t>
  </si>
  <si>
    <t>30-may</t>
  </si>
  <si>
    <t>31-may</t>
  </si>
  <si>
    <t>Total may</t>
  </si>
  <si>
    <t>01-jun</t>
  </si>
  <si>
    <t>02-jun</t>
  </si>
  <si>
    <t>03-jun</t>
  </si>
  <si>
    <t>04-jun</t>
  </si>
  <si>
    <t>05-jun</t>
  </si>
  <si>
    <t>06-jun</t>
  </si>
  <si>
    <t>07-jun</t>
  </si>
  <si>
    <t>08-jun</t>
  </si>
  <si>
    <t>09-jun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</si>
  <si>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</si>
  <si>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</si>
  <si>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</si>
  <si>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</si>
  <si>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</si>
  <si>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</si>
  <si>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</si>
  <si>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</si>
  <si>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</si>
  <si>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</si>
  <si>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</si>
  <si>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</si>
  <si>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</si>
  <si>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</si>
  <si>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</si>
  <si>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</si>
  <si>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</si>
  <si>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</si>
  <si>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</si>
  <si>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</si>
  <si>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</si>
  <si>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Total jun</t>
  </si>
  <si>
    <t>01-jul</t>
  </si>
  <si>
    <t>02-jul</t>
  </si>
  <si>
    <t>03-jul</t>
  </si>
  <si>
    <t>04-jul</t>
  </si>
  <si>
    <t>05-jul</t>
  </si>
  <si>
    <t>06-jul</t>
  </si>
  <si>
    <t>07-jul</t>
  </si>
  <si>
    <t>08-jul</t>
  </si>
  <si>
    <t>09-jul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</si>
  <si>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</si>
  <si>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</si>
  <si>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</si>
  <si>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</si>
  <si>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</si>
  <si>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</si>
  <si>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</si>
  <si>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</si>
  <si>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</si>
  <si>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</si>
  <si>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</si>
  <si>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</si>
  <si>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</si>
  <si>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</si>
  <si>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</si>
  <si>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</si>
  <si>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</si>
  <si>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</si>
  <si>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</si>
  <si>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</si>
  <si>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</si>
  <si>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</si>
  <si>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Total jul</t>
  </si>
  <si>
    <t>01-ago</t>
  </si>
  <si>
    <t>02-ago</t>
  </si>
  <si>
    <t>03-ago</t>
  </si>
  <si>
    <t>04-ago</t>
  </si>
  <si>
    <t>05-ago</t>
  </si>
  <si>
    <t>06-ago</t>
  </si>
  <si>
    <t>07-ago</t>
  </si>
  <si>
    <t>08-ago</t>
  </si>
  <si>
    <t>09-ago</t>
  </si>
  <si>
    <t>10-ago</t>
  </si>
  <si>
    <t>11-ago</t>
  </si>
  <si>
    <t>12-ago</t>
  </si>
  <si>
    <t>13-ago</t>
  </si>
  <si>
    <t>14-ago</t>
  </si>
  <si>
    <t>15-ago</t>
  </si>
  <si>
    <t>16-ago</t>
  </si>
  <si>
    <t>17-ago</t>
  </si>
  <si>
    <t>18-ago</t>
  </si>
  <si>
    <t>19-ago</t>
  </si>
  <si>
    <t>20-ago</t>
  </si>
  <si>
    <t>21-ago</t>
  </si>
  <si>
    <t>22-ago</t>
  </si>
  <si>
    <t>23-ago</t>
  </si>
  <si>
    <t>24-ago</t>
  </si>
  <si>
    <t>25-ago</t>
  </si>
  <si>
    <t>26-ago</t>
  </si>
  <si>
    <t>27-ago</t>
  </si>
  <si>
    <t>28-ago</t>
  </si>
  <si>
    <t>29-ago</t>
  </si>
  <si>
    <t>30-ago</t>
  </si>
  <si>
    <t>31-ago</t>
  </si>
  <si>
    <t>Total ago</t>
  </si>
  <si>
    <t>Vta 2025</t>
  </si>
  <si>
    <t>Share diario</t>
  </si>
  <si>
    <t>Venta Total 2026</t>
  </si>
  <si>
    <t>Alcance vs Meta</t>
  </si>
  <si>
    <t>Deuda</t>
  </si>
  <si>
    <t>Crecimiento</t>
  </si>
  <si>
    <t>Share vs Global 2025</t>
  </si>
  <si>
    <t>Share vs Global 2026</t>
  </si>
  <si>
    <t>Global YoY</t>
  </si>
  <si>
    <t>Fecha</t>
  </si>
  <si>
    <t>Real Digital 2026</t>
  </si>
  <si>
    <t>Real MKP 2026</t>
  </si>
  <si>
    <t>YoY Digital</t>
  </si>
  <si>
    <t>YoY Mktp</t>
  </si>
  <si>
    <t>Meta Mktp</t>
  </si>
  <si>
    <t>Cump Digital</t>
  </si>
  <si>
    <t>Cump Mktp</t>
  </si>
  <si>
    <t>Cump Total</t>
  </si>
  <si>
    <t>Share Mktp</t>
  </si>
  <si>
    <t>Share dig</t>
  </si>
  <si>
    <t>Deuda Digital</t>
  </si>
  <si>
    <t>Deuda Mktp</t>
  </si>
  <si>
    <t>Digital vs25</t>
  </si>
  <si>
    <t>MKP vs25</t>
  </si>
  <si>
    <t>Promedio Diario 1 -26 Mar</t>
  </si>
  <si>
    <t>Promedio Diario 27 - 31 Mar</t>
  </si>
  <si>
    <t>Total 1-27 marzo</t>
  </si>
  <si>
    <t>Total 25-31 marzo</t>
  </si>
  <si>
    <t>Total</t>
  </si>
  <si>
    <t>Caida 8-10pm (Calcular)</t>
  </si>
  <si>
    <t>no hubo</t>
  </si>
  <si>
    <t>MELI FULL</t>
  </si>
  <si>
    <t>MELI DROP</t>
  </si>
  <si>
    <t>META</t>
  </si>
  <si>
    <t>REAL</t>
  </si>
  <si>
    <t>Web/APP</t>
  </si>
  <si>
    <t>Afiliados</t>
  </si>
  <si>
    <t>Marketplace</t>
  </si>
  <si>
    <t>TMK/WA</t>
  </si>
  <si>
    <t>Entrega Tda</t>
  </si>
  <si>
    <t>p</t>
  </si>
  <si>
    <t>c</t>
  </si>
  <si>
    <t>b</t>
  </si>
  <si>
    <t>Marzo MTD</t>
  </si>
  <si>
    <t>Marzo Proyección</t>
  </si>
  <si>
    <t>2026 Proyección</t>
  </si>
  <si>
    <t>Canal</t>
  </si>
  <si>
    <t>Real Marzo 26</t>
  </si>
  <si>
    <t>Meta MTD</t>
  </si>
  <si>
    <t>vs Meta</t>
  </si>
  <si>
    <t>vs 2025</t>
  </si>
  <si>
    <t>Marzo 26</t>
  </si>
  <si>
    <t>Meta Total Mes</t>
  </si>
  <si>
    <t>Meta Total 2026</t>
  </si>
  <si>
    <t>Tiendas</t>
  </si>
  <si>
    <t>% Share PS</t>
  </si>
  <si>
    <t>1.6% PP</t>
  </si>
  <si>
    <t>Abril MTD</t>
  </si>
  <si>
    <t>Abril Proyección</t>
  </si>
  <si>
    <t>Real 2026</t>
  </si>
  <si>
    <t>Meta Abril</t>
  </si>
  <si>
    <t>Abril 2026</t>
  </si>
  <si>
    <t>Meta 2026</t>
  </si>
  <si>
    <t>FY 2026</t>
  </si>
  <si>
    <t>Q1 Ene - Mar 2026</t>
  </si>
  <si>
    <t>Q1 Ene - Abr 2026</t>
  </si>
  <si>
    <t>Q1 Ene - May 2026</t>
  </si>
  <si>
    <t>Meta</t>
  </si>
  <si>
    <t>Real Q1</t>
  </si>
  <si>
    <t>Afiliaciones</t>
  </si>
  <si>
    <t>Mayo MTD</t>
  </si>
  <si>
    <t>Mayo Proyección</t>
  </si>
  <si>
    <t>Mayo</t>
  </si>
  <si>
    <t>Real MTD</t>
  </si>
  <si>
    <t>Meta Mayo</t>
  </si>
  <si>
    <t>Mayo 2026</t>
  </si>
  <si>
    <t>Afiliación</t>
  </si>
  <si>
    <t>TBD</t>
  </si>
  <si>
    <t>Junio MTD</t>
  </si>
  <si>
    <t>Junio Proyección</t>
  </si>
  <si>
    <t>Meta Junio</t>
  </si>
  <si>
    <t>Junio 2026</t>
  </si>
  <si>
    <t>DIGITAL</t>
  </si>
  <si>
    <t>mayo</t>
  </si>
  <si>
    <t>junio</t>
  </si>
  <si>
    <t>Total PS</t>
  </si>
  <si>
    <t>Julio MTD</t>
  </si>
  <si>
    <t>Julio Proyección</t>
  </si>
  <si>
    <t>YTD 2026</t>
  </si>
  <si>
    <t>SHARE CANAL</t>
  </si>
  <si>
    <t>Meta Julio</t>
  </si>
  <si>
    <t>Julio 2026</t>
  </si>
  <si>
    <t>YTD 2025</t>
  </si>
  <si>
    <t>Meta YTD</t>
  </si>
  <si>
    <t>Real YTD</t>
  </si>
  <si>
    <t>YTD</t>
  </si>
  <si>
    <t>MTD</t>
  </si>
  <si>
    <t>CANAL</t>
  </si>
  <si>
    <t>MTD 26</t>
  </si>
  <si>
    <t>Share Full vs Drop</t>
  </si>
  <si>
    <t>MTD 25</t>
  </si>
  <si>
    <t>Dif</t>
  </si>
  <si>
    <t>MTD vs 25</t>
  </si>
  <si>
    <t>Meli</t>
  </si>
  <si>
    <t>Meli Drop</t>
  </si>
  <si>
    <t>Meli Full</t>
  </si>
  <si>
    <t>Amazon</t>
  </si>
  <si>
    <t>Amazon Full</t>
  </si>
  <si>
    <t>TikTok</t>
  </si>
  <si>
    <t>Shein</t>
  </si>
  <si>
    <t>Marketplaces</t>
  </si>
  <si>
    <t>2+10</t>
  </si>
  <si>
    <t>Enero</t>
  </si>
  <si>
    <t>Febrero</t>
  </si>
  <si>
    <t>Marzo</t>
  </si>
  <si>
    <t>Abril</t>
  </si>
  <si>
    <t>Junio</t>
  </si>
  <si>
    <t>Julio</t>
  </si>
  <si>
    <t>Agosto</t>
  </si>
  <si>
    <t>Septiembre</t>
  </si>
  <si>
    <t>Octubre</t>
  </si>
  <si>
    <t>Noviembre</t>
  </si>
  <si>
    <t>Diciembre</t>
  </si>
  <si>
    <t>Ecommerce</t>
  </si>
  <si>
    <t>WA</t>
  </si>
  <si>
    <t>Entrega en tienda</t>
  </si>
  <si>
    <t>TMK</t>
  </si>
  <si>
    <t>Mercado Libre</t>
  </si>
  <si>
    <t>Budget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</si>
  <si>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</si>
  <si>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</si>
  <si>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</si>
  <si>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</si>
  <si>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</si>
  <si>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</si>
  <si>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</si>
  <si>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</si>
  <si>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</si>
  <si>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</si>
  <si>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</si>
  <si>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</si>
  <si>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Channel Share</t>
  </si>
  <si>
    <t>Web/App</t>
  </si>
  <si>
    <t>ene jul</t>
  </si>
  <si>
    <t>Monthly Budget</t>
  </si>
  <si>
    <t>proy ago</t>
  </si>
  <si>
    <t>Tendencia</t>
  </si>
  <si>
    <t>meta full</t>
  </si>
  <si>
    <t>ajuste tendencia</t>
  </si>
  <si>
    <t>ecom</t>
  </si>
  <si>
    <t>mkp</t>
  </si>
  <si>
    <t>3+9</t>
  </si>
  <si>
    <t>Real vs Bduget</t>
  </si>
  <si>
    <t>Acum</t>
  </si>
  <si>
    <t>Ecom</t>
  </si>
  <si>
    <t>4+8</t>
  </si>
  <si>
    <t>Cumplimiento</t>
  </si>
  <si>
    <t>5+7</t>
  </si>
  <si>
    <t>MoM</t>
  </si>
  <si>
    <t>Cump</t>
  </si>
  <si>
    <t>6+6</t>
  </si>
  <si>
    <t>JULIO</t>
  </si>
  <si>
    <t>JUNIO</t>
  </si>
  <si>
    <t>CREC JUNIO</t>
  </si>
  <si>
    <t>DIGcrecJUNIO  MK=2025</t>
  </si>
  <si>
    <t>meta luis</t>
  </si>
  <si>
    <t>Jul meta</t>
  </si>
  <si>
    <t>2025 REAL</t>
  </si>
  <si>
    <t>meta vs 25</t>
  </si>
  <si>
    <t>REAL 2025</t>
  </si>
  <si>
    <t>26vs25</t>
  </si>
  <si>
    <t>PROY JUL</t>
  </si>
  <si>
    <t>vs meta</t>
  </si>
  <si>
    <t>PROY  m JUL</t>
  </si>
  <si>
    <t>mtd jun</t>
  </si>
  <si>
    <t>AGOSTO</t>
  </si>
  <si>
    <t>Crecimiento vs 2025</t>
  </si>
  <si>
    <t>Diferencia $ vs 2025</t>
  </si>
  <si>
    <t>AA 2025</t>
  </si>
  <si>
    <t>Afiliacion</t>
  </si>
  <si>
    <t>Entrega En Tienda</t>
  </si>
  <si>
    <t>Telemarketing</t>
  </si>
  <si>
    <t>Whats App</t>
  </si>
  <si>
    <t>Meli DropShipping</t>
  </si>
  <si>
    <t>DIGIAL</t>
  </si>
  <si>
    <t>LUIS V</t>
  </si>
  <si>
    <t>Amazon DropShipping</t>
  </si>
  <si>
    <t>Tiktok</t>
  </si>
  <si>
    <t>CREC MAYO</t>
  </si>
  <si>
    <t>DIG20%   MK=2025</t>
  </si>
  <si>
    <t>META JULIO</t>
  </si>
  <si>
    <t>*MAY 25 26</t>
  </si>
  <si>
    <t>CREC JUN</t>
  </si>
  <si>
    <t>TOTAL</t>
  </si>
  <si>
    <t>Semana santa</t>
  </si>
  <si>
    <t>Temporalidad</t>
  </si>
  <si>
    <t>Fecha LY</t>
  </si>
  <si>
    <t>Ecom 2025</t>
  </si>
  <si>
    <t>Mktp 2025</t>
  </si>
  <si>
    <t>Fecha 2026</t>
  </si>
  <si>
    <t>Meta Ecom 2026</t>
  </si>
  <si>
    <t>Meta Digital 2026</t>
  </si>
  <si>
    <t>Meta Mktp 2026</t>
  </si>
  <si>
    <t>Global Real 2026</t>
  </si>
  <si>
    <t>Ecom Real 2026</t>
  </si>
  <si>
    <t>Digital Real 2026</t>
  </si>
  <si>
    <t>Mktp Real 2026</t>
  </si>
  <si>
    <t>Alcance Ecom</t>
  </si>
  <si>
    <t>Alcance Digital</t>
  </si>
  <si>
    <t>Alcance Mtkp</t>
  </si>
  <si>
    <t>YoY Global</t>
  </si>
  <si>
    <t>YoY Ecom</t>
  </si>
  <si>
    <t>Semana Santa</t>
  </si>
  <si>
    <t>Semana Pascua</t>
  </si>
  <si>
    <t>Total Acumulado</t>
  </si>
  <si>
    <t>Hot Sale x Día</t>
  </si>
  <si>
    <t>Ent. En Tienda</t>
  </si>
  <si>
    <t>AMZ Drop</t>
  </si>
  <si>
    <t>AMZ Full</t>
  </si>
  <si>
    <t>Tik Tok</t>
  </si>
  <si>
    <t>Share Dig</t>
  </si>
  <si>
    <t>Share Mkp</t>
  </si>
  <si>
    <t>Share mes Dig</t>
  </si>
  <si>
    <t>Share mes Mkp</t>
  </si>
  <si>
    <t>Meta Hot Sale x Día</t>
  </si>
  <si>
    <t>Web/App/TMK/Ent. Tienda/WA</t>
  </si>
  <si>
    <t>YoY</t>
  </si>
  <si>
    <t>VS Meta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</si>
  <si>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</si>
  <si>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</si>
  <si>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</si>
  <si>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</si>
  <si>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</si>
  <si>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</si>
  <si>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</si>
  <si>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</si>
  <si>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</si>
  <si>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Suma de WA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</si>
</sst>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;[Red]\-&quot;$&quot;#,##0"/>
    <numFmt numFmtId="43" formatCode="_-* #,##0.00_-;\-* #,##0.00_-;_-* &quot;-&quot;??_-;_-@_-"/>
    <numFmt numFmtId="164" formatCode="_-* #,##0_-;\-* #,##0_-;_-* \-??_-;_-@_-"/>
    <numFmt numFmtId="165" formatCode="_-\$* #,##0_-;&quot;-$&quot;* #,##0_-;_-\$* \-??_-;_-@_-"/>
    <numFmt numFmtId="166" formatCode="0.0%"/>
    <numFmt numFmtId="167" formatCode="_-\$* #,##0.00_-;&quot;-$&quot;* #,##0.00_-;_-\$* \-??_-;_-@_-"/>
    <numFmt numFmtId="168" formatCode="[$-F800]dddd&quot;, &quot;mmmm\ dd&quot;, &quot;yyyy"/>
    <numFmt numFmtId="169" formatCode="\$#,##0_);[Red]&quot;($&quot;#,##0\)"/>
    <numFmt numFmtId="170" formatCode="\$#,##0;[Red]&quot;-$&quot;#,##0"/>
    <numFmt numFmtId="171" formatCode="\$#,##0"/>
    <numFmt numFmtId="172" formatCode="\$#,##0.0"/>
    <numFmt numFmtId="173" formatCode="\$#,##0.00"/>
    <numFmt numFmtId="174" formatCode="0.0#&quot;pp&quot;"/>
    <numFmt numFmtId="175" formatCode="\$#,##0.00;[Red]&quot;-$&quot;#,##0.00"/>
    <numFmt numFmtId="176" formatCode="0.000000000000000%"/>
  </numFmts>
  <fonts count="25" x14ac:knownFonts="1">
    <font>
      <sz val="11"/>
      <color theme="1"/>
      <name val="Aptos Narrow"/>
      <family val="2"/>
      <charset val="1"/>
    </font>
    <font>
      <sz val="10"/>
      <name val="Arial"/>
      <family val="2"/>
      <charset val="1"/>
    </font>
    <font>
      <b/>
      <sz val="11"/>
      <color theme="1"/>
      <name val="Aptos Narrow"/>
      <family val="2"/>
      <charset val="1"/>
    </font>
    <font>
      <b/>
      <sz val="11"/>
      <color theme="0"/>
      <name val="Aptos Narrow"/>
      <family val="2"/>
      <charset val="1"/>
    </font>
    <font>
      <sz val="11"/>
      <name val="Aptos Narrow"/>
      <family val="2"/>
      <charset val="1"/>
    </font>
    <font>
      <sz val="11"/>
      <color rgb="FF000000"/>
      <name val="Aptos Narrow"/>
      <family val="2"/>
      <charset val="1"/>
    </font>
    <font>
      <b/>
      <sz val="12"/>
      <color theme="1"/>
      <name val="Aptos Narrow"/>
      <family val="2"/>
      <charset val="1"/>
    </font>
    <font>
      <b/>
      <sz val="12"/>
      <color theme="0"/>
      <name val="Aptos Narrow"/>
      <family val="2"/>
      <charset val="1"/>
    </font>
    <font>
      <b/>
      <sz val="16"/>
      <name val="Aptos Narrow"/>
      <family val="2"/>
      <charset val="1"/>
    </font>
    <font>
      <sz val="12"/>
      <color theme="1"/>
      <name val="Aptos Narrow"/>
      <family val="2"/>
      <charset val="1"/>
    </font>
    <font>
      <b/>
      <sz val="12"/>
      <name val="Aptos Narrow"/>
      <family val="2"/>
      <charset val="1"/>
    </font>
    <font>
      <b/>
      <sz val="14"/>
      <color theme="1"/>
      <name val="Aptos Narrow"/>
      <family val="2"/>
      <charset val="1"/>
    </font>
    <font>
      <b/>
      <sz val="14"/>
      <color theme="0"/>
      <name val="Aptos Narrow"/>
      <family val="2"/>
      <charset val="1"/>
    </font>
    <font>
      <b/>
      <sz val="14"/>
      <name val="Aptos Narrow"/>
      <family val="2"/>
      <charset val="1"/>
    </font>
    <font>
      <b/>
      <sz val="16"/>
      <color theme="1"/>
      <name val="Aptos Narrow"/>
      <family val="2"/>
      <charset val="1"/>
    </font>
    <font>
      <b/>
      <sz val="16"/>
      <color theme="0"/>
      <name val="Aptos Narrow"/>
      <family val="2"/>
      <charset val="1"/>
    </font>
    <font>
      <sz val="16"/>
      <color theme="1"/>
      <name val="Aptos Narrow"/>
      <family val="2"/>
      <charset val="1"/>
    </font>
    <font>
      <sz val="8"/>
      <color theme="1"/>
      <name val="Aptos Narrow"/>
      <family val="2"/>
      <charset val="1"/>
    </font>
    <font>
      <sz val="10"/>
      <color theme="0"/>
      <name val="Arial"/>
      <family val="2"/>
      <charset val="1"/>
    </font>
    <font>
      <b/>
      <sz val="11.5"/>
      <color theme="1"/>
      <name val="Aptos Narrow"/>
      <family val="2"/>
      <charset val="1"/>
    </font>
    <font>
      <sz val="11"/>
      <color theme="0"/>
      <name val="Aptos Narrow"/>
      <family val="2"/>
      <charset val="1"/>
    </font>
    <font>
      <sz val="11"/>
      <color theme="1"/>
      <name val="Aptos Narrow"/>
      <family val="2"/>
      <charset val="1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  <font>
      <sz val="11"/>
      <color theme="2" tint="-9.9978637043366805E-2"/>
      <name val="Aptos Narrow"/>
      <family val="2"/>
      <charset val="1"/>
    </font>
  </fonts>
  <fills count="35">
    <fill>
      <patternFill patternType="none"/>
    </fill>
    <fill>
      <patternFill patternType="gray125"/>
    </fill>
    <fill>
      <patternFill patternType="solid">
        <fgColor theme="5"/>
        <bgColor rgb="FF9C5700"/>
      </patternFill>
    </fill>
    <fill>
      <patternFill patternType="solid">
        <fgColor theme="1"/>
        <bgColor rgb="FF0E2841"/>
      </patternFill>
    </fill>
    <fill>
      <patternFill patternType="solid">
        <fgColor theme="9" tint="0.39988402966399123"/>
        <bgColor rgb="FFAEAEAE"/>
      </patternFill>
    </fill>
    <fill>
      <patternFill patternType="solid">
        <fgColor theme="4" tint="0.79989013336588644"/>
        <bgColor rgb="FFCAEEFB"/>
      </patternFill>
    </fill>
    <fill>
      <patternFill patternType="solid">
        <fgColor theme="5" tint="0.79989013336588644"/>
        <bgColor rgb="FFE8E8E8"/>
      </patternFill>
    </fill>
    <fill>
      <patternFill patternType="solid">
        <fgColor theme="0" tint="-0.14999847407452621"/>
        <bgColor rgb="FFD1D1D1"/>
      </patternFill>
    </fill>
    <fill>
      <patternFill patternType="solid">
        <fgColor theme="9" tint="0.79989013336588644"/>
        <bgColor rgb="FFC6EFCE"/>
      </patternFill>
    </fill>
    <fill>
      <patternFill patternType="solid">
        <fgColor rgb="FFFFFF00"/>
        <bgColor rgb="FFFFC000"/>
      </patternFill>
    </fill>
    <fill>
      <patternFill patternType="solid">
        <fgColor theme="3" tint="0.89989928891872917"/>
        <bgColor rgb="FFE8E8E8"/>
      </patternFill>
    </fill>
    <fill>
      <patternFill patternType="solid">
        <fgColor theme="5" tint="0.59987182226020086"/>
        <bgColor rgb="FFFFC7CE"/>
      </patternFill>
    </fill>
    <fill>
      <patternFill patternType="solid">
        <fgColor theme="0"/>
        <bgColor rgb="FFF3FCFF"/>
      </patternFill>
    </fill>
    <fill>
      <patternFill patternType="solid">
        <fgColor rgb="FFF3FCFF"/>
        <bgColor rgb="FFFFFFFF"/>
      </patternFill>
    </fill>
    <fill>
      <patternFill patternType="solid">
        <fgColor theme="4" tint="-0.499984740745262"/>
        <bgColor rgb="FF0E2841"/>
      </patternFill>
    </fill>
    <fill>
      <patternFill patternType="solid">
        <fgColor theme="4"/>
        <bgColor rgb="FF008080"/>
      </patternFill>
    </fill>
    <fill>
      <patternFill patternType="solid">
        <fgColor theme="3" tint="0.49989318521683401"/>
        <bgColor rgb="FF3366FF"/>
      </patternFill>
    </fill>
    <fill>
      <patternFill patternType="solid">
        <fgColor theme="2"/>
        <bgColor rgb="FFDCEAF7"/>
      </patternFill>
    </fill>
    <fill>
      <patternFill patternType="solid">
        <fgColor theme="2" tint="-0.249977111117893"/>
        <bgColor rgb="FFA6CAEC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3" tint="0.74987029633472702"/>
        <bgColor rgb="FFC1E5F5"/>
      </patternFill>
    </fill>
    <fill>
      <patternFill patternType="solid">
        <fgColor theme="7" tint="0.79989013336588644"/>
        <bgColor rgb="FFC1E5F5"/>
      </patternFill>
    </fill>
    <fill>
      <patternFill patternType="solid">
        <fgColor rgb="FFFFC000"/>
        <bgColor rgb="FFFFFF00"/>
      </patternFill>
    </fill>
    <fill>
      <patternFill patternType="solid">
        <fgColor theme="6" tint="0.79989013336588644"/>
        <bgColor rgb="FFC6EFCE"/>
      </patternFill>
    </fill>
    <fill>
      <patternFill patternType="solid">
        <fgColor theme="8" tint="0.79989013336588644"/>
        <bgColor rgb="FFFFC7CE"/>
      </patternFill>
    </fill>
    <fill>
      <patternFill patternType="solid">
        <fgColor rgb="FFCC3300"/>
        <bgColor rgb="FF9C5700"/>
      </patternFill>
    </fill>
    <fill>
      <patternFill patternType="solid">
        <fgColor theme="6" tint="-0.249977111117893"/>
        <bgColor rgb="FFAEAEAE"/>
      </patternFill>
    </fill>
    <fill>
      <patternFill patternType="solid">
        <fgColor theme="9" tint="0.59999389629810485"/>
        <bgColor rgb="FFAEAEAE"/>
      </patternFill>
    </fill>
    <fill>
      <patternFill patternType="solid">
        <fgColor theme="7" tint="-0.249977111117893"/>
        <bgColor rgb="FF0E2841"/>
      </patternFill>
    </fill>
    <fill>
      <patternFill patternType="solid">
        <fgColor theme="9" tint="-0.249977111117893"/>
        <bgColor rgb="FF0E284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8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indexed="64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indexed="64"/>
      </right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0" fontId="1" fillId="0" borderId="0"/>
    <xf numFmtId="9" fontId="1" fillId="0" borderId="0"/>
    <xf numFmtId="9" fontId="21" fillId="0" borderId="0" applyFont="0" applyFill="0" applyBorder="0" applyAlignment="0" applyProtection="0"/>
  </cellStyleXfs>
  <cellXfs count="518">
    <xf numFmtId="0" fontId="0" fillId="0" borderId="0" xfId="0"/>
    <xf numFmtId="9" fontId="0" fillId="0" borderId="0" xfId="0" applyNumberForma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0" fillId="0" borderId="0" xfId="0" applyNumberFormat="1"/>
    <xf numFmtId="165" fontId="2" fillId="0" borderId="0" xfId="0" applyNumberFormat="1" applyFont="1"/>
    <xf numFmtId="166" fontId="0" fillId="0" borderId="0" xfId="0" applyNumberFormat="1"/>
    <xf numFmtId="165" fontId="0" fillId="0" borderId="0" xfId="0" applyNumberFormat="1"/>
    <xf numFmtId="167" fontId="0" fillId="0" borderId="0" xfId="0" applyNumberFormat="1"/>
    <xf numFmtId="10" fontId="2" fillId="0" borderId="0" xfId="0" applyNumberFormat="1" applyFont="1"/>
    <xf numFmtId="166" fontId="2" fillId="0" borderId="1" xfId="0" applyNumberFormat="1" applyFont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68" fontId="0" fillId="5" borderId="2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8" fontId="0" fillId="0" borderId="2" xfId="0" applyNumberFormat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8" fontId="0" fillId="0" borderId="0" xfId="0" applyNumberFormat="1"/>
    <xf numFmtId="165" fontId="2" fillId="7" borderId="7" xfId="0" applyNumberFormat="1" applyFont="1" applyFill="1" applyBorder="1"/>
    <xf numFmtId="165" fontId="2" fillId="8" borderId="7" xfId="0" applyNumberFormat="1" applyFont="1" applyFill="1" applyBorder="1"/>
    <xf numFmtId="10" fontId="2" fillId="8" borderId="7" xfId="0" applyNumberFormat="1" applyFont="1" applyFill="1" applyBorder="1"/>
    <xf numFmtId="9" fontId="0" fillId="0" borderId="0" xfId="0" applyNumberFormat="1"/>
    <xf numFmtId="165" fontId="2" fillId="7" borderId="0" xfId="0" applyNumberFormat="1" applyFont="1" applyFill="1"/>
    <xf numFmtId="166" fontId="2" fillId="0" borderId="0" xfId="0" applyNumberFormat="1" applyFont="1" applyAlignment="1">
      <alignment horizontal="center" vertical="center"/>
    </xf>
    <xf numFmtId="166" fontId="2" fillId="9" borderId="0" xfId="0" applyNumberFormat="1" applyFont="1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6" fontId="0" fillId="12" borderId="1" xfId="0" applyNumberForma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165" fontId="0" fillId="12" borderId="0" xfId="0" applyNumberFormat="1" applyFill="1" applyAlignment="1">
      <alignment horizontal="center" vertical="center"/>
    </xf>
    <xf numFmtId="10" fontId="0" fillId="12" borderId="0" xfId="0" applyNumberFormat="1" applyFill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165" fontId="2" fillId="11" borderId="0" xfId="0" applyNumberFormat="1" applyFont="1" applyFill="1" applyAlignment="1">
      <alignment horizontal="center" vertical="center"/>
    </xf>
    <xf numFmtId="166" fontId="2" fillId="11" borderId="0" xfId="0" applyNumberFormat="1" applyFont="1" applyFill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0" fillId="13" borderId="1" xfId="0" applyNumberFormat="1" applyFill="1" applyBorder="1" applyAlignment="1">
      <alignment horizontal="center" vertical="center"/>
    </xf>
    <xf numFmtId="3" fontId="0" fillId="0" borderId="0" xfId="0" applyNumberFormat="1"/>
    <xf numFmtId="169" fontId="5" fillId="0" borderId="1" xfId="0" applyNumberFormat="1" applyFont="1" applyBorder="1"/>
    <xf numFmtId="170" fontId="0" fillId="0" borderId="0" xfId="0" applyNumberFormat="1"/>
    <xf numFmtId="14" fontId="0" fillId="0" borderId="0" xfId="0" applyNumberFormat="1"/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168" fontId="0" fillId="0" borderId="9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8" fontId="0" fillId="0" borderId="10" xfId="0" applyNumberFormat="1" applyBorder="1" applyAlignment="1">
      <alignment horizontal="center" vertical="center"/>
    </xf>
    <xf numFmtId="168" fontId="0" fillId="0" borderId="11" xfId="0" applyNumberFormat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10" fontId="0" fillId="0" borderId="12" xfId="0" applyNumberFormat="1" applyBorder="1" applyAlignment="1">
      <alignment horizontal="center" vertical="center"/>
    </xf>
    <xf numFmtId="0" fontId="0" fillId="12" borderId="0" xfId="0" applyFill="1"/>
    <xf numFmtId="0" fontId="3" fillId="14" borderId="7" xfId="0" applyFont="1" applyFill="1" applyBorder="1" applyAlignment="1">
      <alignment horizontal="center" vertical="center"/>
    </xf>
    <xf numFmtId="0" fontId="3" fillId="15" borderId="13" xfId="0" applyFont="1" applyFill="1" applyBorder="1" applyAlignment="1">
      <alignment horizontal="center" vertical="center" wrapText="1"/>
    </xf>
    <xf numFmtId="0" fontId="3" fillId="15" borderId="13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2" fillId="16" borderId="13" xfId="0" applyFont="1" applyFill="1" applyBorder="1" applyAlignment="1">
      <alignment horizontal="center" vertical="center"/>
    </xf>
    <xf numFmtId="0" fontId="2" fillId="10" borderId="14" xfId="0" applyFont="1" applyFill="1" applyBorder="1" applyAlignment="1">
      <alignment horizontal="center" vertical="center"/>
    </xf>
    <xf numFmtId="0" fontId="2" fillId="17" borderId="15" xfId="0" applyFont="1" applyFill="1" applyBorder="1" applyAlignment="1">
      <alignment horizontal="center" vertical="center"/>
    </xf>
    <xf numFmtId="171" fontId="0" fillId="12" borderId="16" xfId="0" applyNumberFormat="1" applyFill="1" applyBorder="1" applyAlignment="1">
      <alignment horizontal="center" vertical="center"/>
    </xf>
    <xf numFmtId="171" fontId="0" fillId="12" borderId="17" xfId="0" applyNumberFormat="1" applyFill="1" applyBorder="1" applyAlignment="1">
      <alignment horizontal="center" vertical="center"/>
    </xf>
    <xf numFmtId="166" fontId="0" fillId="12" borderId="17" xfId="0" applyNumberFormat="1" applyFill="1" applyBorder="1" applyAlignment="1">
      <alignment horizontal="center" vertical="center"/>
    </xf>
    <xf numFmtId="166" fontId="0" fillId="12" borderId="18" xfId="0" applyNumberFormat="1" applyFill="1" applyBorder="1" applyAlignment="1">
      <alignment horizontal="center" vertical="center"/>
    </xf>
    <xf numFmtId="172" fontId="0" fillId="12" borderId="16" xfId="0" applyNumberFormat="1" applyFill="1" applyBorder="1" applyAlignment="1">
      <alignment horizontal="center" vertical="center"/>
    </xf>
    <xf numFmtId="172" fontId="0" fillId="12" borderId="17" xfId="0" applyNumberFormat="1" applyFill="1" applyBorder="1" applyAlignment="1">
      <alignment horizontal="center" vertical="center"/>
    </xf>
    <xf numFmtId="0" fontId="2" fillId="17" borderId="19" xfId="0" applyFont="1" applyFill="1" applyBorder="1" applyAlignment="1">
      <alignment horizontal="center" vertical="center"/>
    </xf>
    <xf numFmtId="171" fontId="0" fillId="12" borderId="20" xfId="0" applyNumberFormat="1" applyFill="1" applyBorder="1" applyAlignment="1">
      <alignment horizontal="center" vertical="center"/>
    </xf>
    <xf numFmtId="171" fontId="0" fillId="12" borderId="21" xfId="0" applyNumberFormat="1" applyFill="1" applyBorder="1" applyAlignment="1">
      <alignment horizontal="center" vertical="center"/>
    </xf>
    <xf numFmtId="166" fontId="0" fillId="12" borderId="21" xfId="0" applyNumberFormat="1" applyFill="1" applyBorder="1" applyAlignment="1">
      <alignment horizontal="center" vertical="center"/>
    </xf>
    <xf numFmtId="166" fontId="0" fillId="12" borderId="22" xfId="0" applyNumberFormat="1" applyFill="1" applyBorder="1" applyAlignment="1">
      <alignment horizontal="center" vertical="center"/>
    </xf>
    <xf numFmtId="172" fontId="0" fillId="12" borderId="20" xfId="0" applyNumberFormat="1" applyFill="1" applyBorder="1" applyAlignment="1">
      <alignment horizontal="center" vertical="center"/>
    </xf>
    <xf numFmtId="172" fontId="0" fillId="12" borderId="21" xfId="0" applyNumberFormat="1" applyFill="1" applyBorder="1" applyAlignment="1">
      <alignment horizontal="center" vertical="center"/>
    </xf>
    <xf numFmtId="0" fontId="2" fillId="17" borderId="23" xfId="0" applyFont="1" applyFill="1" applyBorder="1" applyAlignment="1">
      <alignment horizontal="center" vertical="center"/>
    </xf>
    <xf numFmtId="171" fontId="0" fillId="12" borderId="24" xfId="0" applyNumberFormat="1" applyFill="1" applyBorder="1" applyAlignment="1">
      <alignment horizontal="center" vertical="center"/>
    </xf>
    <xf numFmtId="171" fontId="0" fillId="12" borderId="25" xfId="0" applyNumberFormat="1" applyFill="1" applyBorder="1" applyAlignment="1">
      <alignment horizontal="center" vertical="center"/>
    </xf>
    <xf numFmtId="166" fontId="0" fillId="12" borderId="25" xfId="0" applyNumberFormat="1" applyFill="1" applyBorder="1" applyAlignment="1">
      <alignment horizontal="center" vertical="center"/>
    </xf>
    <xf numFmtId="166" fontId="0" fillId="12" borderId="26" xfId="0" applyNumberFormat="1" applyFill="1" applyBorder="1" applyAlignment="1">
      <alignment horizontal="center" vertical="center"/>
    </xf>
    <xf numFmtId="172" fontId="0" fillId="12" borderId="24" xfId="0" applyNumberFormat="1" applyFill="1" applyBorder="1" applyAlignment="1">
      <alignment horizontal="center" vertical="center"/>
    </xf>
    <xf numFmtId="172" fontId="0" fillId="12" borderId="25" xfId="0" applyNumberFormat="1" applyFill="1" applyBorder="1" applyAlignment="1">
      <alignment horizontal="center" vertical="center"/>
    </xf>
    <xf numFmtId="0" fontId="2" fillId="18" borderId="27" xfId="0" applyFont="1" applyFill="1" applyBorder="1" applyAlignment="1">
      <alignment horizontal="center" vertical="center"/>
    </xf>
    <xf numFmtId="171" fontId="0" fillId="12" borderId="28" xfId="0" applyNumberFormat="1" applyFill="1" applyBorder="1" applyAlignment="1">
      <alignment horizontal="center" vertical="center"/>
    </xf>
    <xf numFmtId="171" fontId="0" fillId="12" borderId="29" xfId="0" applyNumberFormat="1" applyFill="1" applyBorder="1" applyAlignment="1">
      <alignment horizontal="center" vertical="center"/>
    </xf>
    <xf numFmtId="166" fontId="0" fillId="12" borderId="29" xfId="0" applyNumberFormat="1" applyFill="1" applyBorder="1" applyAlignment="1">
      <alignment horizontal="center" vertical="center"/>
    </xf>
    <xf numFmtId="166" fontId="0" fillId="12" borderId="30" xfId="0" applyNumberFormat="1" applyFill="1" applyBorder="1" applyAlignment="1">
      <alignment horizontal="center" vertical="center"/>
    </xf>
    <xf numFmtId="172" fontId="0" fillId="12" borderId="28" xfId="0" applyNumberFormat="1" applyFill="1" applyBorder="1" applyAlignment="1">
      <alignment horizontal="center" vertical="center"/>
    </xf>
    <xf numFmtId="172" fontId="0" fillId="12" borderId="29" xfId="0" applyNumberFormat="1" applyFill="1" applyBorder="1" applyAlignment="1">
      <alignment horizontal="center" vertical="center"/>
    </xf>
    <xf numFmtId="0" fontId="2" fillId="17" borderId="27" xfId="0" applyFont="1" applyFill="1" applyBorder="1" applyAlignment="1">
      <alignment horizontal="center" vertical="center"/>
    </xf>
    <xf numFmtId="171" fontId="0" fillId="12" borderId="31" xfId="0" applyNumberFormat="1" applyFill="1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173" fontId="0" fillId="12" borderId="21" xfId="0" applyNumberFormat="1" applyFill="1" applyBorder="1" applyAlignment="1">
      <alignment horizontal="center" vertical="center"/>
    </xf>
    <xf numFmtId="0" fontId="0" fillId="12" borderId="22" xfId="0" applyFill="1" applyBorder="1" applyAlignment="1">
      <alignment horizontal="center" vertical="center"/>
    </xf>
    <xf numFmtId="172" fontId="0" fillId="12" borderId="31" xfId="0" applyNumberFormat="1" applyFill="1" applyBorder="1" applyAlignment="1">
      <alignment horizontal="center" vertical="center"/>
    </xf>
    <xf numFmtId="0" fontId="2" fillId="17" borderId="32" xfId="0" applyFont="1" applyFill="1" applyBorder="1" applyAlignment="1">
      <alignment horizontal="center" vertical="center"/>
    </xf>
    <xf numFmtId="166" fontId="0" fillId="12" borderId="33" xfId="0" applyNumberFormat="1" applyFill="1" applyBorder="1" applyAlignment="1">
      <alignment horizontal="center" vertical="center"/>
    </xf>
    <xf numFmtId="0" fontId="0" fillId="12" borderId="34" xfId="0" applyFill="1" applyBorder="1" applyAlignment="1">
      <alignment horizontal="center" vertical="center"/>
    </xf>
    <xf numFmtId="166" fontId="0" fillId="12" borderId="34" xfId="0" applyNumberFormat="1" applyFill="1" applyBorder="1" applyAlignment="1">
      <alignment horizontal="center" vertical="center"/>
    </xf>
    <xf numFmtId="0" fontId="0" fillId="12" borderId="35" xfId="0" applyFill="1" applyBorder="1" applyAlignment="1">
      <alignment horizontal="center" vertical="center"/>
    </xf>
    <xf numFmtId="171" fontId="0" fillId="0" borderId="0" xfId="0" applyNumberFormat="1"/>
    <xf numFmtId="0" fontId="7" fillId="14" borderId="7" xfId="0" applyFont="1" applyFill="1" applyBorder="1" applyAlignment="1">
      <alignment horizontal="center" vertical="center"/>
    </xf>
    <xf numFmtId="0" fontId="7" fillId="15" borderId="13" xfId="0" applyFont="1" applyFill="1" applyBorder="1" applyAlignment="1">
      <alignment horizontal="center" vertical="center" wrapText="1"/>
    </xf>
    <xf numFmtId="0" fontId="7" fillId="15" borderId="13" xfId="0" applyFont="1" applyFill="1" applyBorder="1" applyAlignment="1">
      <alignment horizontal="center" vertical="center"/>
    </xf>
    <xf numFmtId="0" fontId="8" fillId="19" borderId="13" xfId="0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horizontal="center" vertical="center"/>
    </xf>
    <xf numFmtId="0" fontId="7" fillId="15" borderId="36" xfId="0" applyFont="1" applyFill="1" applyBorder="1" applyAlignment="1">
      <alignment horizontal="center" vertical="center" wrapText="1"/>
    </xf>
    <xf numFmtId="0" fontId="8" fillId="20" borderId="13" xfId="0" applyFont="1" applyFill="1" applyBorder="1" applyAlignment="1">
      <alignment horizontal="center" vertical="center"/>
    </xf>
    <xf numFmtId="0" fontId="7" fillId="15" borderId="37" xfId="0" applyFont="1" applyFill="1" applyBorder="1" applyAlignment="1">
      <alignment horizontal="center" vertical="center" wrapText="1"/>
    </xf>
    <xf numFmtId="0" fontId="7" fillId="15" borderId="37" xfId="0" applyFont="1" applyFill="1" applyBorder="1" applyAlignment="1">
      <alignment horizontal="center" vertical="center"/>
    </xf>
    <xf numFmtId="0" fontId="8" fillId="20" borderId="37" xfId="0" applyFont="1" applyFill="1" applyBorder="1" applyAlignment="1">
      <alignment horizontal="center" vertical="center"/>
    </xf>
    <xf numFmtId="0" fontId="6" fillId="10" borderId="37" xfId="0" applyFont="1" applyFill="1" applyBorder="1" applyAlignment="1">
      <alignment horizontal="center" vertical="center"/>
    </xf>
    <xf numFmtId="0" fontId="6" fillId="10" borderId="38" xfId="0" applyFont="1" applyFill="1" applyBorder="1" applyAlignment="1">
      <alignment horizontal="center" vertical="center"/>
    </xf>
    <xf numFmtId="0" fontId="6" fillId="17" borderId="15" xfId="0" applyFont="1" applyFill="1" applyBorder="1" applyAlignment="1">
      <alignment horizontal="center" vertical="center"/>
    </xf>
    <xf numFmtId="171" fontId="9" fillId="12" borderId="17" xfId="0" applyNumberFormat="1" applyFont="1" applyFill="1" applyBorder="1" applyAlignment="1">
      <alignment horizontal="center" vertical="center"/>
    </xf>
    <xf numFmtId="171" fontId="9" fillId="12" borderId="16" xfId="0" applyNumberFormat="1" applyFont="1" applyFill="1" applyBorder="1" applyAlignment="1">
      <alignment horizontal="center" vertical="center"/>
    </xf>
    <xf numFmtId="166" fontId="9" fillId="12" borderId="17" xfId="0" applyNumberFormat="1" applyFont="1" applyFill="1" applyBorder="1" applyAlignment="1">
      <alignment horizontal="center" vertical="center"/>
    </xf>
    <xf numFmtId="166" fontId="9" fillId="12" borderId="18" xfId="0" applyNumberFormat="1" applyFont="1" applyFill="1" applyBorder="1" applyAlignment="1">
      <alignment horizontal="center" vertical="center"/>
    </xf>
    <xf numFmtId="171" fontId="9" fillId="12" borderId="28" xfId="0" applyNumberFormat="1" applyFont="1" applyFill="1" applyBorder="1" applyAlignment="1">
      <alignment horizontal="center" vertical="center"/>
    </xf>
    <xf numFmtId="171" fontId="9" fillId="12" borderId="39" xfId="0" applyNumberFormat="1" applyFont="1" applyFill="1" applyBorder="1" applyAlignment="1">
      <alignment horizontal="center" vertical="center"/>
    </xf>
    <xf numFmtId="166" fontId="9" fillId="12" borderId="29" xfId="0" applyNumberFormat="1" applyFont="1" applyFill="1" applyBorder="1" applyAlignment="1">
      <alignment horizontal="center" vertical="center"/>
    </xf>
    <xf numFmtId="166" fontId="9" fillId="12" borderId="30" xfId="0" applyNumberFormat="1" applyFont="1" applyFill="1" applyBorder="1" applyAlignment="1">
      <alignment horizontal="center" vertical="center"/>
    </xf>
    <xf numFmtId="172" fontId="9" fillId="12" borderId="40" xfId="0" applyNumberFormat="1" applyFont="1" applyFill="1" applyBorder="1" applyAlignment="1">
      <alignment horizontal="center" vertical="center"/>
    </xf>
    <xf numFmtId="172" fontId="9" fillId="12" borderId="17" xfId="0" applyNumberFormat="1" applyFont="1" applyFill="1" applyBorder="1" applyAlignment="1">
      <alignment horizontal="center" vertical="center"/>
    </xf>
    <xf numFmtId="172" fontId="9" fillId="12" borderId="16" xfId="0" applyNumberFormat="1" applyFont="1" applyFill="1" applyBorder="1" applyAlignment="1">
      <alignment horizontal="center" vertical="center"/>
    </xf>
    <xf numFmtId="166" fontId="9" fillId="12" borderId="41" xfId="0" applyNumberFormat="1" applyFont="1" applyFill="1" applyBorder="1" applyAlignment="1">
      <alignment horizontal="center" vertical="center"/>
    </xf>
    <xf numFmtId="172" fontId="9" fillId="12" borderId="28" xfId="0" applyNumberFormat="1" applyFont="1" applyFill="1" applyBorder="1" applyAlignment="1">
      <alignment horizontal="center" vertical="center"/>
    </xf>
    <xf numFmtId="172" fontId="9" fillId="12" borderId="29" xfId="0" applyNumberFormat="1" applyFont="1" applyFill="1" applyBorder="1" applyAlignment="1">
      <alignment horizontal="center" vertical="center"/>
    </xf>
    <xf numFmtId="172" fontId="9" fillId="12" borderId="39" xfId="0" applyNumberFormat="1" applyFont="1" applyFill="1" applyBorder="1" applyAlignment="1">
      <alignment horizontal="center" vertical="center"/>
    </xf>
    <xf numFmtId="166" fontId="9" fillId="12" borderId="42" xfId="0" applyNumberFormat="1" applyFont="1" applyFill="1" applyBorder="1" applyAlignment="1">
      <alignment horizontal="center" vertical="center"/>
    </xf>
    <xf numFmtId="0" fontId="6" fillId="17" borderId="19" xfId="0" applyFont="1" applyFill="1" applyBorder="1" applyAlignment="1">
      <alignment horizontal="center" vertical="center"/>
    </xf>
    <xf numFmtId="171" fontId="9" fillId="12" borderId="21" xfId="0" applyNumberFormat="1" applyFont="1" applyFill="1" applyBorder="1" applyAlignment="1">
      <alignment horizontal="center" vertical="center"/>
    </xf>
    <xf numFmtId="171" fontId="9" fillId="12" borderId="20" xfId="0" applyNumberFormat="1" applyFont="1" applyFill="1" applyBorder="1" applyAlignment="1">
      <alignment horizontal="center" vertical="center"/>
    </xf>
    <xf numFmtId="166" fontId="9" fillId="12" borderId="21" xfId="0" applyNumberFormat="1" applyFont="1" applyFill="1" applyBorder="1" applyAlignment="1">
      <alignment horizontal="center" vertical="center"/>
    </xf>
    <xf numFmtId="166" fontId="9" fillId="12" borderId="22" xfId="0" applyNumberFormat="1" applyFont="1" applyFill="1" applyBorder="1" applyAlignment="1">
      <alignment horizontal="center" vertical="center"/>
    </xf>
    <xf numFmtId="171" fontId="9" fillId="12" borderId="40" xfId="0" applyNumberFormat="1" applyFont="1" applyFill="1" applyBorder="1" applyAlignment="1">
      <alignment horizontal="center" vertical="center"/>
    </xf>
    <xf numFmtId="172" fontId="9" fillId="12" borderId="31" xfId="0" applyNumberFormat="1" applyFont="1" applyFill="1" applyBorder="1" applyAlignment="1">
      <alignment horizontal="center" vertical="center"/>
    </xf>
    <xf numFmtId="172" fontId="9" fillId="12" borderId="21" xfId="0" applyNumberFormat="1" applyFont="1" applyFill="1" applyBorder="1" applyAlignment="1">
      <alignment horizontal="center" vertical="center"/>
    </xf>
    <xf numFmtId="172" fontId="9" fillId="12" borderId="20" xfId="0" applyNumberFormat="1" applyFont="1" applyFill="1" applyBorder="1" applyAlignment="1">
      <alignment horizontal="center" vertical="center"/>
    </xf>
    <xf numFmtId="166" fontId="9" fillId="12" borderId="43" xfId="0" applyNumberFormat="1" applyFont="1" applyFill="1" applyBorder="1" applyAlignment="1">
      <alignment horizontal="center" vertical="center"/>
    </xf>
    <xf numFmtId="0" fontId="6" fillId="17" borderId="23" xfId="0" applyFont="1" applyFill="1" applyBorder="1" applyAlignment="1">
      <alignment horizontal="center" vertical="center"/>
    </xf>
    <xf numFmtId="171" fontId="9" fillId="12" borderId="25" xfId="0" applyNumberFormat="1" applyFont="1" applyFill="1" applyBorder="1" applyAlignment="1">
      <alignment horizontal="center" vertical="center"/>
    </xf>
    <xf numFmtId="171" fontId="9" fillId="12" borderId="24" xfId="0" applyNumberFormat="1" applyFont="1" applyFill="1" applyBorder="1" applyAlignment="1">
      <alignment horizontal="center" vertical="center"/>
    </xf>
    <xf numFmtId="166" fontId="9" fillId="12" borderId="25" xfId="0" applyNumberFormat="1" applyFont="1" applyFill="1" applyBorder="1" applyAlignment="1">
      <alignment horizontal="center" vertical="center"/>
    </xf>
    <xf numFmtId="166" fontId="9" fillId="12" borderId="26" xfId="0" applyNumberFormat="1" applyFont="1" applyFill="1" applyBorder="1" applyAlignment="1">
      <alignment horizontal="center" vertical="center"/>
    </xf>
    <xf numFmtId="171" fontId="9" fillId="12" borderId="33" xfId="0" applyNumberFormat="1" applyFont="1" applyFill="1" applyBorder="1" applyAlignment="1">
      <alignment horizontal="center" vertical="center"/>
    </xf>
    <xf numFmtId="171" fontId="9" fillId="12" borderId="34" xfId="0" applyNumberFormat="1" applyFont="1" applyFill="1" applyBorder="1" applyAlignment="1">
      <alignment horizontal="center" vertical="center"/>
    </xf>
    <xf numFmtId="166" fontId="9" fillId="12" borderId="44" xfId="0" applyNumberFormat="1" applyFont="1" applyFill="1" applyBorder="1" applyAlignment="1">
      <alignment horizontal="center" vertical="center"/>
    </xf>
    <xf numFmtId="166" fontId="9" fillId="12" borderId="45" xfId="0" applyNumberFormat="1" applyFont="1" applyFill="1" applyBorder="1" applyAlignment="1">
      <alignment horizontal="center" vertical="center"/>
    </xf>
    <xf numFmtId="172" fontId="9" fillId="12" borderId="46" xfId="0" applyNumberFormat="1" applyFont="1" applyFill="1" applyBorder="1" applyAlignment="1">
      <alignment horizontal="center" vertical="center"/>
    </xf>
    <xf numFmtId="172" fontId="9" fillId="12" borderId="25" xfId="0" applyNumberFormat="1" applyFont="1" applyFill="1" applyBorder="1" applyAlignment="1">
      <alignment horizontal="center" vertical="center"/>
    </xf>
    <xf numFmtId="172" fontId="9" fillId="12" borderId="24" xfId="0" applyNumberFormat="1" applyFont="1" applyFill="1" applyBorder="1" applyAlignment="1">
      <alignment horizontal="center" vertical="center"/>
    </xf>
    <xf numFmtId="166" fontId="9" fillId="12" borderId="47" xfId="0" applyNumberFormat="1" applyFont="1" applyFill="1" applyBorder="1" applyAlignment="1">
      <alignment horizontal="center" vertical="center"/>
    </xf>
    <xf numFmtId="0" fontId="6" fillId="18" borderId="27" xfId="0" applyFont="1" applyFill="1" applyBorder="1" applyAlignment="1">
      <alignment horizontal="center" vertical="center"/>
    </xf>
    <xf numFmtId="171" fontId="9" fillId="12" borderId="29" xfId="0" applyNumberFormat="1" applyFont="1" applyFill="1" applyBorder="1" applyAlignment="1">
      <alignment horizontal="center" vertical="center"/>
    </xf>
    <xf numFmtId="171" fontId="9" fillId="12" borderId="48" xfId="0" applyNumberFormat="1" applyFont="1" applyFill="1" applyBorder="1" applyAlignment="1">
      <alignment horizontal="center" vertical="center"/>
    </xf>
    <xf numFmtId="166" fontId="9" fillId="12" borderId="38" xfId="0" applyNumberFormat="1" applyFont="1" applyFill="1" applyBorder="1" applyAlignment="1">
      <alignment horizontal="center" vertical="center"/>
    </xf>
    <xf numFmtId="0" fontId="6" fillId="17" borderId="27" xfId="0" applyFont="1" applyFill="1" applyBorder="1" applyAlignment="1">
      <alignment horizontal="center" vertical="center"/>
    </xf>
    <xf numFmtId="171" fontId="9" fillId="12" borderId="49" xfId="0" applyNumberFormat="1" applyFont="1" applyFill="1" applyBorder="1" applyAlignment="1">
      <alignment horizontal="center" vertical="center"/>
    </xf>
    <xf numFmtId="0" fontId="9" fillId="12" borderId="22" xfId="0" applyFont="1" applyFill="1" applyBorder="1" applyAlignment="1">
      <alignment horizontal="center" vertical="center"/>
    </xf>
    <xf numFmtId="0" fontId="9" fillId="12" borderId="20" xfId="0" applyFont="1" applyFill="1" applyBorder="1" applyAlignment="1">
      <alignment horizontal="center" vertical="center"/>
    </xf>
    <xf numFmtId="173" fontId="9" fillId="12" borderId="21" xfId="0" applyNumberFormat="1" applyFont="1" applyFill="1" applyBorder="1" applyAlignment="1">
      <alignment horizontal="center" vertical="center"/>
    </xf>
    <xf numFmtId="0" fontId="9" fillId="12" borderId="21" xfId="0" applyFont="1" applyFill="1" applyBorder="1" applyAlignment="1">
      <alignment horizontal="center" vertical="center"/>
    </xf>
    <xf numFmtId="0" fontId="9" fillId="12" borderId="50" xfId="0" applyFont="1" applyFill="1" applyBorder="1" applyAlignment="1">
      <alignment horizontal="center" vertical="center"/>
    </xf>
    <xf numFmtId="0" fontId="9" fillId="12" borderId="31" xfId="0" applyFont="1" applyFill="1" applyBorder="1" applyAlignment="1">
      <alignment horizontal="center" vertical="center"/>
    </xf>
    <xf numFmtId="0" fontId="9" fillId="12" borderId="43" xfId="0" applyFont="1" applyFill="1" applyBorder="1" applyAlignment="1">
      <alignment horizontal="center" vertical="center"/>
    </xf>
    <xf numFmtId="0" fontId="9" fillId="12" borderId="51" xfId="0" applyFont="1" applyFill="1" applyBorder="1" applyAlignment="1">
      <alignment horizontal="center" vertical="center"/>
    </xf>
    <xf numFmtId="0" fontId="6" fillId="17" borderId="32" xfId="0" applyFont="1" applyFill="1" applyBorder="1" applyAlignment="1">
      <alignment horizontal="center" vertical="center"/>
    </xf>
    <xf numFmtId="9" fontId="9" fillId="12" borderId="52" xfId="0" applyNumberFormat="1" applyFont="1" applyFill="1" applyBorder="1" applyAlignment="1">
      <alignment horizontal="center" vertical="center"/>
    </xf>
    <xf numFmtId="171" fontId="9" fillId="12" borderId="44" xfId="0" applyNumberFormat="1" applyFont="1" applyFill="1" applyBorder="1" applyAlignment="1">
      <alignment horizontal="center" vertical="center"/>
    </xf>
    <xf numFmtId="9" fontId="9" fillId="12" borderId="53" xfId="0" applyNumberFormat="1" applyFont="1" applyFill="1" applyBorder="1" applyAlignment="1">
      <alignment horizontal="center" vertical="center"/>
    </xf>
    <xf numFmtId="166" fontId="9" fillId="12" borderId="34" xfId="0" applyNumberFormat="1" applyFont="1" applyFill="1" applyBorder="1" applyAlignment="1">
      <alignment horizontal="center" vertical="center"/>
    </xf>
    <xf numFmtId="0" fontId="9" fillId="12" borderId="35" xfId="0" applyFont="1" applyFill="1" applyBorder="1" applyAlignment="1">
      <alignment horizontal="center" vertical="center"/>
    </xf>
    <xf numFmtId="0" fontId="9" fillId="12" borderId="54" xfId="0" applyFont="1" applyFill="1" applyBorder="1" applyAlignment="1">
      <alignment horizontal="center" vertical="center"/>
    </xf>
    <xf numFmtId="0" fontId="9" fillId="12" borderId="34" xfId="0" applyFont="1" applyFill="1" applyBorder="1" applyAlignment="1">
      <alignment horizontal="center" vertical="center"/>
    </xf>
    <xf numFmtId="0" fontId="9" fillId="12" borderId="55" xfId="0" applyFont="1" applyFill="1" applyBorder="1" applyAlignment="1">
      <alignment horizontal="center" vertical="center"/>
    </xf>
    <xf numFmtId="9" fontId="9" fillId="12" borderId="56" xfId="0" applyNumberFormat="1" applyFont="1" applyFill="1" applyBorder="1" applyAlignment="1">
      <alignment horizontal="center" vertical="center"/>
    </xf>
    <xf numFmtId="166" fontId="9" fillId="12" borderId="57" xfId="0" applyNumberFormat="1" applyFont="1" applyFill="1" applyBorder="1" applyAlignment="1">
      <alignment horizontal="center" vertical="center"/>
    </xf>
    <xf numFmtId="0" fontId="9" fillId="12" borderId="33" xfId="0" applyFont="1" applyFill="1" applyBorder="1" applyAlignment="1">
      <alignment horizontal="center" vertical="center"/>
    </xf>
    <xf numFmtId="0" fontId="9" fillId="12" borderId="57" xfId="0" applyFont="1" applyFill="1" applyBorder="1" applyAlignment="1">
      <alignment horizontal="center" vertical="center"/>
    </xf>
    <xf numFmtId="0" fontId="9" fillId="12" borderId="58" xfId="0" applyFont="1" applyFill="1" applyBorder="1" applyAlignment="1">
      <alignment horizontal="center" vertical="center"/>
    </xf>
    <xf numFmtId="0" fontId="10" fillId="19" borderId="13" xfId="0" applyFont="1" applyFill="1" applyBorder="1" applyAlignment="1">
      <alignment horizontal="center" vertical="center" wrapText="1"/>
    </xf>
    <xf numFmtId="0" fontId="6" fillId="17" borderId="59" xfId="0" applyFont="1" applyFill="1" applyBorder="1" applyAlignment="1">
      <alignment horizontal="center" vertical="center"/>
    </xf>
    <xf numFmtId="171" fontId="9" fillId="12" borderId="37" xfId="0" applyNumberFormat="1" applyFont="1" applyFill="1" applyBorder="1" applyAlignment="1">
      <alignment horizontal="center" vertical="center"/>
    </xf>
    <xf numFmtId="166" fontId="9" fillId="12" borderId="37" xfId="0" applyNumberFormat="1" applyFont="1" applyFill="1" applyBorder="1" applyAlignment="1">
      <alignment horizontal="center" vertical="center"/>
    </xf>
    <xf numFmtId="173" fontId="9" fillId="12" borderId="37" xfId="0" applyNumberFormat="1" applyFont="1" applyFill="1" applyBorder="1" applyAlignment="1">
      <alignment horizontal="center" vertical="center"/>
    </xf>
    <xf numFmtId="0" fontId="6" fillId="17" borderId="60" xfId="0" applyFont="1" applyFill="1" applyBorder="1" applyAlignment="1">
      <alignment horizontal="center" vertical="center"/>
    </xf>
    <xf numFmtId="171" fontId="9" fillId="12" borderId="0" xfId="0" applyNumberFormat="1" applyFont="1" applyFill="1" applyAlignment="1">
      <alignment horizontal="center" vertical="center"/>
    </xf>
    <xf numFmtId="166" fontId="9" fillId="12" borderId="0" xfId="0" applyNumberFormat="1" applyFont="1" applyFill="1" applyAlignment="1">
      <alignment horizontal="center" vertical="center"/>
    </xf>
    <xf numFmtId="166" fontId="9" fillId="12" borderId="61" xfId="0" applyNumberFormat="1" applyFont="1" applyFill="1" applyBorder="1" applyAlignment="1">
      <alignment horizontal="center" vertical="center"/>
    </xf>
    <xf numFmtId="173" fontId="9" fillId="12" borderId="0" xfId="0" applyNumberFormat="1" applyFont="1" applyFill="1" applyAlignment="1">
      <alignment horizontal="center" vertical="center"/>
    </xf>
    <xf numFmtId="10" fontId="0" fillId="0" borderId="0" xfId="0" applyNumberFormat="1"/>
    <xf numFmtId="0" fontId="6" fillId="17" borderId="62" xfId="0" applyFont="1" applyFill="1" applyBorder="1" applyAlignment="1">
      <alignment horizontal="center" vertical="center"/>
    </xf>
    <xf numFmtId="171" fontId="9" fillId="12" borderId="53" xfId="0" applyNumberFormat="1" applyFont="1" applyFill="1" applyBorder="1" applyAlignment="1">
      <alignment horizontal="center" vertical="center"/>
    </xf>
    <xf numFmtId="166" fontId="9" fillId="12" borderId="53" xfId="0" applyNumberFormat="1" applyFont="1" applyFill="1" applyBorder="1" applyAlignment="1">
      <alignment horizontal="center" vertical="center"/>
    </xf>
    <xf numFmtId="166" fontId="9" fillId="12" borderId="63" xfId="0" applyNumberFormat="1" applyFont="1" applyFill="1" applyBorder="1" applyAlignment="1">
      <alignment horizontal="center" vertical="center"/>
    </xf>
    <xf numFmtId="173" fontId="9" fillId="12" borderId="53" xfId="0" applyNumberFormat="1" applyFont="1" applyFill="1" applyBorder="1" applyAlignment="1">
      <alignment horizontal="center" vertical="center"/>
    </xf>
    <xf numFmtId="0" fontId="6" fillId="18" borderId="59" xfId="0" applyFont="1" applyFill="1" applyBorder="1" applyAlignment="1">
      <alignment horizontal="center" vertical="center"/>
    </xf>
    <xf numFmtId="0" fontId="9" fillId="12" borderId="61" xfId="0" applyFont="1" applyFill="1" applyBorder="1" applyAlignment="1">
      <alignment horizontal="center" vertical="center"/>
    </xf>
    <xf numFmtId="0" fontId="9" fillId="12" borderId="53" xfId="0" applyFont="1" applyFill="1" applyBorder="1" applyAlignment="1">
      <alignment horizontal="center" vertical="center"/>
    </xf>
    <xf numFmtId="0" fontId="9" fillId="12" borderId="63" xfId="0" applyFont="1" applyFill="1" applyBorder="1" applyAlignment="1">
      <alignment horizontal="center" vertical="center"/>
    </xf>
    <xf numFmtId="0" fontId="12" fillId="14" borderId="7" xfId="0" applyFont="1" applyFill="1" applyBorder="1" applyAlignment="1">
      <alignment horizontal="center" vertical="center"/>
    </xf>
    <xf numFmtId="0" fontId="12" fillId="15" borderId="13" xfId="0" applyFont="1" applyFill="1" applyBorder="1" applyAlignment="1">
      <alignment horizontal="center" vertical="center" wrapText="1"/>
    </xf>
    <xf numFmtId="0" fontId="12" fillId="15" borderId="13" xfId="0" applyFont="1" applyFill="1" applyBorder="1" applyAlignment="1">
      <alignment horizontal="center" vertical="center"/>
    </xf>
    <xf numFmtId="0" fontId="13" fillId="19" borderId="13" xfId="0" applyFont="1" applyFill="1" applyBorder="1" applyAlignment="1">
      <alignment horizontal="center" vertical="center"/>
    </xf>
    <xf numFmtId="0" fontId="11" fillId="10" borderId="13" xfId="0" applyFont="1" applyFill="1" applyBorder="1" applyAlignment="1">
      <alignment horizontal="center" vertical="center"/>
    </xf>
    <xf numFmtId="0" fontId="11" fillId="10" borderId="14" xfId="0" applyFont="1" applyFill="1" applyBorder="1" applyAlignment="1">
      <alignment horizontal="center" vertical="center"/>
    </xf>
    <xf numFmtId="0" fontId="12" fillId="15" borderId="36" xfId="0" applyFont="1" applyFill="1" applyBorder="1" applyAlignment="1">
      <alignment horizontal="center" vertical="center" wrapText="1"/>
    </xf>
    <xf numFmtId="0" fontId="13" fillId="20" borderId="13" xfId="0" applyFont="1" applyFill="1" applyBorder="1" applyAlignment="1">
      <alignment horizontal="center" vertical="center"/>
    </xf>
    <xf numFmtId="0" fontId="12" fillId="15" borderId="37" xfId="0" applyFont="1" applyFill="1" applyBorder="1" applyAlignment="1">
      <alignment horizontal="center" vertical="center" wrapText="1"/>
    </xf>
    <xf numFmtId="0" fontId="12" fillId="15" borderId="37" xfId="0" applyFont="1" applyFill="1" applyBorder="1" applyAlignment="1">
      <alignment horizontal="center" vertical="center"/>
    </xf>
    <xf numFmtId="0" fontId="13" fillId="20" borderId="37" xfId="0" applyFont="1" applyFill="1" applyBorder="1" applyAlignment="1">
      <alignment horizontal="center" vertical="center"/>
    </xf>
    <xf numFmtId="0" fontId="11" fillId="10" borderId="37" xfId="0" applyFont="1" applyFill="1" applyBorder="1" applyAlignment="1">
      <alignment horizontal="center" vertical="center"/>
    </xf>
    <xf numFmtId="0" fontId="11" fillId="10" borderId="38" xfId="0" applyFont="1" applyFill="1" applyBorder="1" applyAlignment="1">
      <alignment horizontal="center" vertical="center"/>
    </xf>
    <xf numFmtId="10" fontId="9" fillId="12" borderId="21" xfId="0" applyNumberFormat="1" applyFont="1" applyFill="1" applyBorder="1" applyAlignment="1">
      <alignment horizontal="center" vertical="center"/>
    </xf>
    <xf numFmtId="0" fontId="15" fillId="14" borderId="7" xfId="0" applyFont="1" applyFill="1" applyBorder="1" applyAlignment="1">
      <alignment horizontal="center" vertical="center"/>
    </xf>
    <xf numFmtId="0" fontId="15" fillId="15" borderId="13" xfId="0" applyFont="1" applyFill="1" applyBorder="1" applyAlignment="1">
      <alignment horizontal="center" vertical="center" wrapText="1"/>
    </xf>
    <xf numFmtId="0" fontId="15" fillId="15" borderId="13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 vertical="center"/>
    </xf>
    <xf numFmtId="0" fontId="14" fillId="10" borderId="14" xfId="0" applyFont="1" applyFill="1" applyBorder="1" applyAlignment="1">
      <alignment horizontal="center" vertical="center"/>
    </xf>
    <xf numFmtId="0" fontId="14" fillId="17" borderId="15" xfId="0" applyFont="1" applyFill="1" applyBorder="1" applyAlignment="1">
      <alignment horizontal="center" vertical="center"/>
    </xf>
    <xf numFmtId="171" fontId="16" fillId="12" borderId="17" xfId="0" applyNumberFormat="1" applyFont="1" applyFill="1" applyBorder="1" applyAlignment="1">
      <alignment horizontal="center" vertical="center"/>
    </xf>
    <xf numFmtId="171" fontId="16" fillId="12" borderId="16" xfId="0" applyNumberFormat="1" applyFont="1" applyFill="1" applyBorder="1" applyAlignment="1">
      <alignment horizontal="center" vertical="center"/>
    </xf>
    <xf numFmtId="166" fontId="16" fillId="12" borderId="17" xfId="0" applyNumberFormat="1" applyFont="1" applyFill="1" applyBorder="1" applyAlignment="1">
      <alignment horizontal="center" vertical="center"/>
    </xf>
    <xf numFmtId="166" fontId="16" fillId="12" borderId="18" xfId="0" applyNumberFormat="1" applyFont="1" applyFill="1" applyBorder="1" applyAlignment="1">
      <alignment horizontal="center" vertical="center"/>
    </xf>
    <xf numFmtId="171" fontId="16" fillId="12" borderId="28" xfId="0" applyNumberFormat="1" applyFont="1" applyFill="1" applyBorder="1" applyAlignment="1">
      <alignment horizontal="center" vertical="center"/>
    </xf>
    <xf numFmtId="171" fontId="16" fillId="12" borderId="39" xfId="0" applyNumberFormat="1" applyFont="1" applyFill="1" applyBorder="1" applyAlignment="1">
      <alignment horizontal="center" vertical="center"/>
    </xf>
    <xf numFmtId="166" fontId="16" fillId="12" borderId="16" xfId="0" applyNumberFormat="1" applyFont="1" applyFill="1" applyBorder="1" applyAlignment="1">
      <alignment horizontal="center" vertical="center"/>
    </xf>
    <xf numFmtId="171" fontId="16" fillId="12" borderId="40" xfId="0" applyNumberFormat="1" applyFont="1" applyFill="1" applyBorder="1" applyAlignment="1">
      <alignment horizontal="center" vertical="center"/>
    </xf>
    <xf numFmtId="0" fontId="14" fillId="17" borderId="19" xfId="0" applyFont="1" applyFill="1" applyBorder="1" applyAlignment="1">
      <alignment horizontal="center" vertical="center"/>
    </xf>
    <xf numFmtId="171" fontId="16" fillId="12" borderId="21" xfId="0" applyNumberFormat="1" applyFont="1" applyFill="1" applyBorder="1" applyAlignment="1">
      <alignment horizontal="center" vertical="center"/>
    </xf>
    <xf numFmtId="171" fontId="16" fillId="12" borderId="20" xfId="0" applyNumberFormat="1" applyFont="1" applyFill="1" applyBorder="1" applyAlignment="1">
      <alignment horizontal="center" vertical="center"/>
    </xf>
    <xf numFmtId="166" fontId="16" fillId="12" borderId="21" xfId="0" applyNumberFormat="1" applyFont="1" applyFill="1" applyBorder="1" applyAlignment="1">
      <alignment horizontal="center" vertical="center"/>
    </xf>
    <xf numFmtId="166" fontId="16" fillId="12" borderId="22" xfId="0" applyNumberFormat="1" applyFont="1" applyFill="1" applyBorder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0" fontId="14" fillId="17" borderId="23" xfId="0" applyFont="1" applyFill="1" applyBorder="1" applyAlignment="1">
      <alignment horizontal="center" vertical="center"/>
    </xf>
    <xf numFmtId="171" fontId="16" fillId="12" borderId="25" xfId="0" applyNumberFormat="1" applyFont="1" applyFill="1" applyBorder="1" applyAlignment="1">
      <alignment horizontal="center" vertical="center"/>
    </xf>
    <xf numFmtId="171" fontId="16" fillId="12" borderId="24" xfId="0" applyNumberFormat="1" applyFont="1" applyFill="1" applyBorder="1" applyAlignment="1">
      <alignment horizontal="center" vertical="center"/>
    </xf>
    <xf numFmtId="166" fontId="16" fillId="12" borderId="25" xfId="0" applyNumberFormat="1" applyFont="1" applyFill="1" applyBorder="1" applyAlignment="1">
      <alignment horizontal="center" vertical="center"/>
    </xf>
    <xf numFmtId="166" fontId="16" fillId="12" borderId="26" xfId="0" applyNumberFormat="1" applyFont="1" applyFill="1" applyBorder="1" applyAlignment="1">
      <alignment horizontal="center" vertical="center"/>
    </xf>
    <xf numFmtId="171" fontId="16" fillId="12" borderId="33" xfId="0" applyNumberFormat="1" applyFont="1" applyFill="1" applyBorder="1" applyAlignment="1">
      <alignment horizontal="center" vertical="center"/>
    </xf>
    <xf numFmtId="171" fontId="16" fillId="12" borderId="34" xfId="0" applyNumberFormat="1" applyFont="1" applyFill="1" applyBorder="1" applyAlignment="1">
      <alignment horizontal="center" vertical="center"/>
    </xf>
    <xf numFmtId="166" fontId="16" fillId="12" borderId="44" xfId="0" applyNumberFormat="1" applyFont="1" applyFill="1" applyBorder="1" applyAlignment="1">
      <alignment horizontal="center" vertical="center"/>
    </xf>
    <xf numFmtId="166" fontId="16" fillId="12" borderId="45" xfId="0" applyNumberFormat="1" applyFont="1" applyFill="1" applyBorder="1" applyAlignment="1">
      <alignment horizontal="center" vertical="center"/>
    </xf>
    <xf numFmtId="0" fontId="14" fillId="18" borderId="27" xfId="0" applyFont="1" applyFill="1" applyBorder="1" applyAlignment="1">
      <alignment horizontal="center" vertical="center"/>
    </xf>
    <xf numFmtId="171" fontId="16" fillId="12" borderId="29" xfId="0" applyNumberFormat="1" applyFont="1" applyFill="1" applyBorder="1" applyAlignment="1">
      <alignment horizontal="center" vertical="center"/>
    </xf>
    <xf numFmtId="171" fontId="16" fillId="12" borderId="48" xfId="0" applyNumberFormat="1" applyFont="1" applyFill="1" applyBorder="1" applyAlignment="1">
      <alignment horizontal="center" vertical="center"/>
    </xf>
    <xf numFmtId="166" fontId="16" fillId="12" borderId="29" xfId="0" applyNumberFormat="1" applyFont="1" applyFill="1" applyBorder="1" applyAlignment="1">
      <alignment horizontal="center" vertical="center"/>
    </xf>
    <xf numFmtId="166" fontId="16" fillId="12" borderId="38" xfId="0" applyNumberFormat="1" applyFont="1" applyFill="1" applyBorder="1" applyAlignment="1">
      <alignment horizontal="center" vertical="center"/>
    </xf>
    <xf numFmtId="166" fontId="16" fillId="12" borderId="30" xfId="0" applyNumberFormat="1" applyFont="1" applyFill="1" applyBorder="1" applyAlignment="1">
      <alignment horizontal="center" vertical="center"/>
    </xf>
    <xf numFmtId="0" fontId="14" fillId="17" borderId="27" xfId="0" applyFont="1" applyFill="1" applyBorder="1" applyAlignment="1">
      <alignment horizontal="center" vertical="center"/>
    </xf>
    <xf numFmtId="171" fontId="16" fillId="12" borderId="49" xfId="0" applyNumberFormat="1" applyFont="1" applyFill="1" applyBorder="1" applyAlignment="1">
      <alignment horizontal="center" vertical="center"/>
    </xf>
    <xf numFmtId="10" fontId="16" fillId="12" borderId="21" xfId="0" applyNumberFormat="1" applyFont="1" applyFill="1" applyBorder="1" applyAlignment="1">
      <alignment horizontal="center" vertical="center"/>
    </xf>
    <xf numFmtId="0" fontId="16" fillId="12" borderId="22" xfId="0" applyFont="1" applyFill="1" applyBorder="1" applyAlignment="1">
      <alignment horizontal="center" vertical="center"/>
    </xf>
    <xf numFmtId="0" fontId="16" fillId="12" borderId="20" xfId="0" applyFont="1" applyFill="1" applyBorder="1" applyAlignment="1">
      <alignment horizontal="center" vertical="center"/>
    </xf>
    <xf numFmtId="10" fontId="16" fillId="12" borderId="20" xfId="0" applyNumberFormat="1" applyFont="1" applyFill="1" applyBorder="1" applyAlignment="1">
      <alignment horizontal="center" vertical="center"/>
    </xf>
    <xf numFmtId="173" fontId="16" fillId="12" borderId="21" xfId="0" applyNumberFormat="1" applyFont="1" applyFill="1" applyBorder="1" applyAlignment="1">
      <alignment horizontal="center" vertical="center"/>
    </xf>
    <xf numFmtId="0" fontId="16" fillId="12" borderId="21" xfId="0" applyFont="1" applyFill="1" applyBorder="1" applyAlignment="1">
      <alignment horizontal="center" vertical="center"/>
    </xf>
    <xf numFmtId="0" fontId="16" fillId="12" borderId="50" xfId="0" applyFont="1" applyFill="1" applyBorder="1" applyAlignment="1">
      <alignment horizontal="center" vertical="center"/>
    </xf>
    <xf numFmtId="0" fontId="14" fillId="17" borderId="32" xfId="0" applyFont="1" applyFill="1" applyBorder="1" applyAlignment="1">
      <alignment horizontal="center" vertical="center"/>
    </xf>
    <xf numFmtId="9" fontId="16" fillId="12" borderId="52" xfId="0" applyNumberFormat="1" applyFont="1" applyFill="1" applyBorder="1" applyAlignment="1">
      <alignment horizontal="center" vertical="center"/>
    </xf>
    <xf numFmtId="171" fontId="16" fillId="12" borderId="44" xfId="0" applyNumberFormat="1" applyFont="1" applyFill="1" applyBorder="1" applyAlignment="1">
      <alignment horizontal="center" vertical="center"/>
    </xf>
    <xf numFmtId="166" fontId="16" fillId="12" borderId="53" xfId="0" applyNumberFormat="1" applyFont="1" applyFill="1" applyBorder="1" applyAlignment="1">
      <alignment horizontal="center" vertical="center"/>
    </xf>
    <xf numFmtId="166" fontId="16" fillId="12" borderId="34" xfId="0" applyNumberFormat="1" applyFont="1" applyFill="1" applyBorder="1" applyAlignment="1">
      <alignment horizontal="center" vertical="center"/>
    </xf>
    <xf numFmtId="0" fontId="16" fillId="12" borderId="35" xfId="0" applyFont="1" applyFill="1" applyBorder="1" applyAlignment="1">
      <alignment horizontal="center" vertical="center"/>
    </xf>
    <xf numFmtId="0" fontId="16" fillId="12" borderId="54" xfId="0" applyFont="1" applyFill="1" applyBorder="1" applyAlignment="1">
      <alignment horizontal="center" vertical="center"/>
    </xf>
    <xf numFmtId="0" fontId="16" fillId="12" borderId="34" xfId="0" applyFont="1" applyFill="1" applyBorder="1" applyAlignment="1">
      <alignment horizontal="center" vertical="center"/>
    </xf>
    <xf numFmtId="0" fontId="16" fillId="12" borderId="55" xfId="0" applyFont="1" applyFill="1" applyBorder="1" applyAlignment="1">
      <alignment horizontal="center" vertical="center"/>
    </xf>
    <xf numFmtId="173" fontId="0" fillId="0" borderId="0" xfId="0" applyNumberFormat="1"/>
    <xf numFmtId="0" fontId="0" fillId="4" borderId="0" xfId="0" applyFill="1"/>
    <xf numFmtId="0" fontId="0" fillId="9" borderId="0" xfId="0" applyFill="1"/>
    <xf numFmtId="0" fontId="2" fillId="21" borderId="0" xfId="0" applyFont="1" applyFill="1" applyAlignment="1">
      <alignment horizontal="center" vertical="center" wrapText="1"/>
    </xf>
    <xf numFmtId="0" fontId="2" fillId="22" borderId="0" xfId="0" applyFont="1" applyFill="1" applyAlignment="1">
      <alignment horizontal="center" vertical="center" wrapText="1"/>
    </xf>
    <xf numFmtId="0" fontId="3" fillId="15" borderId="37" xfId="0" applyFont="1" applyFill="1" applyBorder="1" applyAlignment="1">
      <alignment horizontal="center" vertical="center" wrapText="1"/>
    </xf>
    <xf numFmtId="172" fontId="16" fillId="12" borderId="40" xfId="0" applyNumberFormat="1" applyFont="1" applyFill="1" applyBorder="1" applyAlignment="1">
      <alignment horizontal="center" vertical="center"/>
    </xf>
    <xf numFmtId="172" fontId="16" fillId="12" borderId="17" xfId="0" applyNumberFormat="1" applyFont="1" applyFill="1" applyBorder="1" applyAlignment="1">
      <alignment horizontal="center" vertical="center"/>
    </xf>
    <xf numFmtId="172" fontId="16" fillId="12" borderId="16" xfId="0" applyNumberFormat="1" applyFont="1" applyFill="1" applyBorder="1" applyAlignment="1">
      <alignment horizontal="center" vertical="center"/>
    </xf>
    <xf numFmtId="166" fontId="16" fillId="12" borderId="41" xfId="0" applyNumberFormat="1" applyFont="1" applyFill="1" applyBorder="1" applyAlignment="1">
      <alignment horizontal="center" vertical="center"/>
    </xf>
    <xf numFmtId="172" fontId="16" fillId="12" borderId="28" xfId="0" applyNumberFormat="1" applyFont="1" applyFill="1" applyBorder="1" applyAlignment="1">
      <alignment horizontal="center" vertical="center"/>
    </xf>
    <xf numFmtId="172" fontId="16" fillId="12" borderId="29" xfId="0" applyNumberFormat="1" applyFont="1" applyFill="1" applyBorder="1" applyAlignment="1">
      <alignment horizontal="center" vertical="center"/>
    </xf>
    <xf numFmtId="172" fontId="16" fillId="12" borderId="39" xfId="0" applyNumberFormat="1" applyFont="1" applyFill="1" applyBorder="1" applyAlignment="1">
      <alignment horizontal="center" vertical="center"/>
    </xf>
    <xf numFmtId="166" fontId="16" fillId="12" borderId="42" xfId="0" applyNumberFormat="1" applyFont="1" applyFill="1" applyBorder="1" applyAlignment="1">
      <alignment horizontal="center" vertical="center"/>
    </xf>
    <xf numFmtId="0" fontId="6" fillId="19" borderId="0" xfId="0" applyFont="1" applyFill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172" fontId="16" fillId="12" borderId="31" xfId="0" applyNumberFormat="1" applyFont="1" applyFill="1" applyBorder="1" applyAlignment="1">
      <alignment horizontal="center" vertical="center"/>
    </xf>
    <xf numFmtId="172" fontId="16" fillId="12" borderId="21" xfId="0" applyNumberFormat="1" applyFont="1" applyFill="1" applyBorder="1" applyAlignment="1">
      <alignment horizontal="center" vertical="center"/>
    </xf>
    <xf numFmtId="172" fontId="16" fillId="12" borderId="2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6" fontId="16" fillId="12" borderId="43" xfId="0" applyNumberFormat="1" applyFont="1" applyFill="1" applyBorder="1" applyAlignment="1">
      <alignment horizontal="center" vertical="center"/>
    </xf>
    <xf numFmtId="172" fontId="16" fillId="12" borderId="46" xfId="0" applyNumberFormat="1" applyFont="1" applyFill="1" applyBorder="1" applyAlignment="1">
      <alignment horizontal="center" vertical="center"/>
    </xf>
    <xf numFmtId="172" fontId="16" fillId="12" borderId="25" xfId="0" applyNumberFormat="1" applyFont="1" applyFill="1" applyBorder="1" applyAlignment="1">
      <alignment horizontal="center" vertical="center"/>
    </xf>
    <xf numFmtId="172" fontId="16" fillId="12" borderId="24" xfId="0" applyNumberFormat="1" applyFont="1" applyFill="1" applyBorder="1" applyAlignment="1">
      <alignment horizontal="center" vertical="center"/>
    </xf>
    <xf numFmtId="166" fontId="16" fillId="12" borderId="47" xfId="0" applyNumberFormat="1" applyFont="1" applyFill="1" applyBorder="1" applyAlignment="1">
      <alignment horizontal="center" vertical="center"/>
    </xf>
    <xf numFmtId="0" fontId="16" fillId="12" borderId="31" xfId="0" applyFont="1" applyFill="1" applyBorder="1" applyAlignment="1">
      <alignment horizontal="center" vertical="center"/>
    </xf>
    <xf numFmtId="0" fontId="16" fillId="12" borderId="43" xfId="0" applyFont="1" applyFill="1" applyBorder="1" applyAlignment="1">
      <alignment horizontal="center" vertical="center"/>
    </xf>
    <xf numFmtId="165" fontId="16" fillId="12" borderId="31" xfId="0" applyNumberFormat="1" applyFont="1" applyFill="1" applyBorder="1" applyAlignment="1">
      <alignment horizontal="center" vertical="center"/>
    </xf>
    <xf numFmtId="166" fontId="16" fillId="12" borderId="52" xfId="0" applyNumberFormat="1" applyFont="1" applyFill="1" applyBorder="1" applyAlignment="1">
      <alignment horizontal="center" vertical="center"/>
    </xf>
    <xf numFmtId="166" fontId="16" fillId="12" borderId="56" xfId="0" applyNumberFormat="1" applyFont="1" applyFill="1" applyBorder="1" applyAlignment="1">
      <alignment horizontal="center" vertical="center"/>
    </xf>
    <xf numFmtId="174" fontId="16" fillId="12" borderId="64" xfId="0" applyNumberFormat="1" applyFont="1" applyFill="1" applyBorder="1" applyAlignment="1">
      <alignment horizontal="center" vertical="center"/>
    </xf>
    <xf numFmtId="166" fontId="16" fillId="12" borderId="57" xfId="0" applyNumberFormat="1" applyFont="1" applyFill="1" applyBorder="1" applyAlignment="1">
      <alignment horizontal="center" vertical="center"/>
    </xf>
    <xf numFmtId="0" fontId="16" fillId="12" borderId="33" xfId="0" applyFont="1" applyFill="1" applyBorder="1" applyAlignment="1">
      <alignment horizontal="center" vertical="center"/>
    </xf>
    <xf numFmtId="0" fontId="16" fillId="12" borderId="57" xfId="0" applyFont="1" applyFill="1" applyBorder="1" applyAlignment="1">
      <alignment horizontal="center" vertical="center"/>
    </xf>
    <xf numFmtId="166" fontId="16" fillId="12" borderId="33" xfId="0" applyNumberFormat="1" applyFont="1" applyFill="1" applyBorder="1" applyAlignment="1">
      <alignment horizontal="center" vertical="center"/>
    </xf>
    <xf numFmtId="0" fontId="0" fillId="5" borderId="0" xfId="0" applyFill="1"/>
    <xf numFmtId="165" fontId="0" fillId="5" borderId="0" xfId="0" applyNumberFormat="1" applyFill="1"/>
    <xf numFmtId="9" fontId="0" fillId="5" borderId="0" xfId="0" applyNumberFormat="1" applyFill="1"/>
    <xf numFmtId="166" fontId="2" fillId="6" borderId="0" xfId="0" applyNumberFormat="1" applyFont="1" applyFill="1"/>
    <xf numFmtId="0" fontId="2" fillId="23" borderId="0" xfId="0" applyFont="1" applyFill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23" borderId="0" xfId="0" applyFont="1" applyFill="1" applyAlignment="1">
      <alignment horizontal="center" vertical="center"/>
    </xf>
    <xf numFmtId="0" fontId="0" fillId="0" borderId="65" xfId="0" applyBorder="1" applyAlignment="1">
      <alignment horizontal="center" vertical="center"/>
    </xf>
    <xf numFmtId="9" fontId="0" fillId="0" borderId="37" xfId="0" applyNumberFormat="1" applyBorder="1" applyAlignment="1">
      <alignment horizontal="center" vertical="center"/>
    </xf>
    <xf numFmtId="9" fontId="0" fillId="0" borderId="38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9" fontId="0" fillId="0" borderId="53" xfId="0" applyNumberFormat="1" applyBorder="1" applyAlignment="1">
      <alignment horizontal="center" vertical="center"/>
    </xf>
    <xf numFmtId="9" fontId="0" fillId="0" borderId="63" xfId="0" applyNumberForma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9" fontId="0" fillId="0" borderId="61" xfId="0" applyNumberForma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5" borderId="36" xfId="0" applyFont="1" applyFill="1" applyBorder="1" applyAlignment="1">
      <alignment horizontal="center" vertical="center"/>
    </xf>
    <xf numFmtId="9" fontId="0" fillId="0" borderId="13" xfId="0" applyNumberFormat="1" applyBorder="1" applyAlignment="1">
      <alignment horizontal="center" vertical="center"/>
    </xf>
    <xf numFmtId="166" fontId="2" fillId="5" borderId="14" xfId="0" applyNumberFormat="1" applyFont="1" applyFill="1" applyBorder="1" applyAlignment="1">
      <alignment horizontal="center" vertical="center"/>
    </xf>
    <xf numFmtId="171" fontId="0" fillId="6" borderId="0" xfId="0" applyNumberFormat="1" applyFill="1"/>
    <xf numFmtId="0" fontId="2" fillId="23" borderId="37" xfId="0" applyFont="1" applyFill="1" applyBorder="1" applyAlignment="1">
      <alignment horizontal="center" vertical="center"/>
    </xf>
    <xf numFmtId="0" fontId="2" fillId="5" borderId="38" xfId="0" applyFont="1" applyFill="1" applyBorder="1" applyAlignment="1">
      <alignment horizontal="center" vertical="center"/>
    </xf>
    <xf numFmtId="166" fontId="0" fillId="0" borderId="38" xfId="0" applyNumberFormat="1" applyBorder="1" applyAlignment="1">
      <alignment horizontal="center" vertical="center"/>
    </xf>
    <xf numFmtId="166" fontId="0" fillId="0" borderId="63" xfId="0" applyNumberForma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0" fontId="0" fillId="5" borderId="60" xfId="0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165" fontId="0" fillId="5" borderId="60" xfId="0" applyNumberFormat="1" applyFill="1" applyBorder="1"/>
    <xf numFmtId="166" fontId="0" fillId="0" borderId="66" xfId="0" applyNumberFormat="1" applyBorder="1"/>
    <xf numFmtId="166" fontId="0" fillId="0" borderId="66" xfId="0" applyNumberFormat="1" applyBorder="1" applyAlignment="1">
      <alignment horizontal="center" vertical="center"/>
    </xf>
    <xf numFmtId="175" fontId="0" fillId="0" borderId="66" xfId="0" applyNumberFormat="1" applyBorder="1"/>
    <xf numFmtId="166" fontId="0" fillId="0" borderId="68" xfId="0" applyNumberFormat="1" applyBorder="1" applyAlignment="1">
      <alignment horizontal="center" vertical="center"/>
    </xf>
    <xf numFmtId="166" fontId="0" fillId="0" borderId="69" xfId="0" applyNumberFormat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1" fillId="0" borderId="0" xfId="0" applyFont="1"/>
    <xf numFmtId="166" fontId="1" fillId="0" borderId="0" xfId="0" applyNumberFormat="1" applyFont="1"/>
    <xf numFmtId="170" fontId="1" fillId="0" borderId="0" xfId="0" applyNumberFormat="1" applyFont="1"/>
    <xf numFmtId="170" fontId="0" fillId="0" borderId="66" xfId="0" applyNumberFormat="1" applyBorder="1"/>
    <xf numFmtId="0" fontId="2" fillId="5" borderId="36" xfId="0" applyFont="1" applyFill="1" applyBorder="1"/>
    <xf numFmtId="165" fontId="2" fillId="5" borderId="7" xfId="0" applyNumberFormat="1" applyFont="1" applyFill="1" applyBorder="1"/>
    <xf numFmtId="170" fontId="2" fillId="0" borderId="13" xfId="0" applyNumberFormat="1" applyFont="1" applyBorder="1"/>
    <xf numFmtId="166" fontId="2" fillId="0" borderId="70" xfId="0" applyNumberFormat="1" applyFont="1" applyBorder="1"/>
    <xf numFmtId="166" fontId="0" fillId="0" borderId="70" xfId="0" applyNumberFormat="1" applyBorder="1" applyAlignment="1">
      <alignment horizontal="center" vertical="center"/>
    </xf>
    <xf numFmtId="175" fontId="2" fillId="0" borderId="71" xfId="0" applyNumberFormat="1" applyFont="1" applyBorder="1"/>
    <xf numFmtId="166" fontId="2" fillId="0" borderId="13" xfId="0" applyNumberFormat="1" applyFont="1" applyBorder="1" applyAlignment="1">
      <alignment horizontal="center" vertical="center"/>
    </xf>
    <xf numFmtId="166" fontId="2" fillId="0" borderId="72" xfId="0" applyNumberFormat="1" applyFont="1" applyBorder="1" applyAlignment="1">
      <alignment horizontal="center" vertical="center"/>
    </xf>
    <xf numFmtId="175" fontId="2" fillId="0" borderId="70" xfId="0" applyNumberFormat="1" applyFont="1" applyBorder="1"/>
    <xf numFmtId="166" fontId="2" fillId="0" borderId="14" xfId="0" applyNumberFormat="1" applyFont="1" applyBorder="1" applyAlignment="1">
      <alignment horizontal="center" vertical="center"/>
    </xf>
    <xf numFmtId="175" fontId="0" fillId="0" borderId="0" xfId="0" applyNumberFormat="1"/>
    <xf numFmtId="0" fontId="0" fillId="6" borderId="5" xfId="0" applyFill="1" applyBorder="1" applyAlignment="1">
      <alignment horizontal="center" vertical="center"/>
    </xf>
    <xf numFmtId="165" fontId="2" fillId="5" borderId="8" xfId="0" applyNumberFormat="1" applyFont="1" applyFill="1" applyBorder="1" applyAlignment="1">
      <alignment horizontal="center" vertical="center"/>
    </xf>
    <xf numFmtId="165" fontId="0" fillId="6" borderId="8" xfId="0" applyNumberFormat="1" applyFill="1" applyBorder="1" applyAlignment="1">
      <alignment horizontal="center" vertical="center"/>
    </xf>
    <xf numFmtId="166" fontId="0" fillId="6" borderId="4" xfId="0" applyNumberFormat="1" applyFill="1" applyBorder="1" applyAlignment="1">
      <alignment horizontal="center" vertical="center"/>
    </xf>
    <xf numFmtId="175" fontId="0" fillId="6" borderId="5" xfId="0" applyNumberFormat="1" applyFill="1" applyBorder="1"/>
    <xf numFmtId="166" fontId="0" fillId="0" borderId="8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5" fontId="0" fillId="6" borderId="4" xfId="0" applyNumberFormat="1" applyFill="1" applyBorder="1"/>
    <xf numFmtId="0" fontId="0" fillId="8" borderId="0" xfId="0" applyFill="1" applyAlignment="1">
      <alignment horizontal="center" vertical="center"/>
    </xf>
    <xf numFmtId="165" fontId="2" fillId="5" borderId="0" xfId="0" applyNumberFormat="1" applyFont="1" applyFill="1"/>
    <xf numFmtId="165" fontId="0" fillId="8" borderId="0" xfId="0" applyNumberFormat="1" applyFill="1"/>
    <xf numFmtId="166" fontId="0" fillId="8" borderId="1" xfId="0" applyNumberFormat="1" applyFill="1" applyBorder="1" applyAlignment="1">
      <alignment horizontal="center" vertical="center"/>
    </xf>
    <xf numFmtId="166" fontId="0" fillId="0" borderId="73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175" fontId="0" fillId="17" borderId="73" xfId="0" applyNumberFormat="1" applyFill="1" applyBorder="1"/>
    <xf numFmtId="166" fontId="0" fillId="17" borderId="73" xfId="0" applyNumberFormat="1" applyFill="1" applyBorder="1" applyAlignment="1">
      <alignment horizontal="center" vertical="center"/>
    </xf>
    <xf numFmtId="166" fontId="0" fillId="17" borderId="2" xfId="0" applyNumberFormat="1" applyFill="1" applyBorder="1" applyAlignment="1">
      <alignment horizontal="center" vertical="center"/>
    </xf>
    <xf numFmtId="9" fontId="1" fillId="0" borderId="0" xfId="0" applyNumberFormat="1" applyFont="1"/>
    <xf numFmtId="0" fontId="0" fillId="21" borderId="59" xfId="0" applyFill="1" applyBorder="1" applyAlignment="1">
      <alignment horizontal="center" vertical="center"/>
    </xf>
    <xf numFmtId="17" fontId="0" fillId="0" borderId="10" xfId="0" applyNumberFormat="1" applyBorder="1" applyAlignment="1">
      <alignment horizontal="center" vertical="center"/>
    </xf>
    <xf numFmtId="17" fontId="0" fillId="0" borderId="67" xfId="0" applyNumberFormat="1" applyBorder="1" applyAlignment="1">
      <alignment horizontal="center" vertical="center"/>
    </xf>
    <xf numFmtId="0" fontId="0" fillId="24" borderId="12" xfId="0" applyFill="1" applyBorder="1" applyAlignment="1">
      <alignment horizontal="center" vertical="center"/>
    </xf>
    <xf numFmtId="0" fontId="18" fillId="15" borderId="0" xfId="0" applyFont="1" applyFill="1"/>
    <xf numFmtId="165" fontId="18" fillId="15" borderId="0" xfId="0" applyNumberFormat="1" applyFont="1" applyFill="1"/>
    <xf numFmtId="166" fontId="18" fillId="15" borderId="0" xfId="0" applyNumberFormat="1" applyFont="1" applyFill="1"/>
    <xf numFmtId="170" fontId="18" fillId="15" borderId="0" xfId="0" applyNumberFormat="1" applyFont="1" applyFill="1"/>
    <xf numFmtId="0" fontId="0" fillId="8" borderId="0" xfId="0" applyFill="1"/>
    <xf numFmtId="165" fontId="0" fillId="0" borderId="60" xfId="0" applyNumberFormat="1" applyBorder="1" applyAlignment="1">
      <alignment horizontal="center" vertical="center"/>
    </xf>
    <xf numFmtId="170" fontId="0" fillId="0" borderId="66" xfId="0" applyNumberFormat="1" applyBorder="1" applyAlignment="1">
      <alignment horizontal="center" vertical="center"/>
    </xf>
    <xf numFmtId="9" fontId="0" fillId="0" borderId="69" xfId="0" applyNumberFormat="1" applyBorder="1" applyAlignment="1">
      <alignment horizontal="center" vertical="center"/>
    </xf>
    <xf numFmtId="175" fontId="0" fillId="0" borderId="68" xfId="0" applyNumberFormat="1" applyBorder="1"/>
    <xf numFmtId="175" fontId="0" fillId="0" borderId="60" xfId="0" applyNumberFormat="1" applyBorder="1"/>
    <xf numFmtId="0" fontId="0" fillId="6" borderId="0" xfId="0" applyFill="1"/>
    <xf numFmtId="170" fontId="0" fillId="9" borderId="66" xfId="0" applyNumberFormat="1" applyFill="1" applyBorder="1" applyAlignment="1">
      <alignment horizontal="center" vertical="center"/>
    </xf>
    <xf numFmtId="170" fontId="0" fillId="0" borderId="60" xfId="0" applyNumberFormat="1" applyBorder="1"/>
    <xf numFmtId="0" fontId="0" fillId="0" borderId="6" xfId="0" applyBorder="1"/>
    <xf numFmtId="165" fontId="0" fillId="0" borderId="74" xfId="0" applyNumberForma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0" fontId="0" fillId="0" borderId="73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75" fontId="0" fillId="0" borderId="6" xfId="0" applyNumberFormat="1" applyBorder="1"/>
    <xf numFmtId="175" fontId="0" fillId="0" borderId="74" xfId="0" applyNumberFormat="1" applyBorder="1"/>
    <xf numFmtId="0" fontId="2" fillId="19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9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8" fontId="0" fillId="6" borderId="1" xfId="0" applyNumberFormat="1" applyFill="1" applyBorder="1" applyAlignment="1">
      <alignment horizontal="center" vertical="center"/>
    </xf>
    <xf numFmtId="171" fontId="0" fillId="6" borderId="1" xfId="0" applyNumberFormat="1" applyFill="1" applyBorder="1" applyAlignment="1">
      <alignment horizontal="center" vertical="center"/>
    </xf>
    <xf numFmtId="171" fontId="2" fillId="19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0" fontId="0" fillId="6" borderId="1" xfId="0" applyNumberFormat="1" applyFill="1" applyBorder="1" applyAlignment="1">
      <alignment horizontal="center" vertical="center"/>
    </xf>
    <xf numFmtId="9" fontId="2" fillId="19" borderId="1" xfId="0" applyNumberFormat="1" applyFont="1" applyFill="1" applyBorder="1" applyAlignment="1">
      <alignment horizontal="center" vertical="center"/>
    </xf>
    <xf numFmtId="171" fontId="2" fillId="5" borderId="1" xfId="0" applyNumberFormat="1" applyFont="1" applyFill="1" applyBorder="1" applyAlignment="1">
      <alignment horizontal="center" vertical="center"/>
    </xf>
    <xf numFmtId="9" fontId="2" fillId="5" borderId="1" xfId="0" applyNumberFormat="1" applyFont="1" applyFill="1" applyBorder="1" applyAlignment="1">
      <alignment horizontal="center" vertical="center"/>
    </xf>
    <xf numFmtId="0" fontId="6" fillId="18" borderId="36" xfId="0" applyFont="1" applyFill="1" applyBorder="1" applyAlignment="1">
      <alignment horizontal="center" vertical="center"/>
    </xf>
    <xf numFmtId="171" fontId="9" fillId="12" borderId="75" xfId="0" applyNumberFormat="1" applyFont="1" applyFill="1" applyBorder="1" applyAlignment="1">
      <alignment horizontal="center" vertical="center"/>
    </xf>
    <xf numFmtId="171" fontId="9" fillId="12" borderId="76" xfId="0" applyNumberFormat="1" applyFont="1" applyFill="1" applyBorder="1" applyAlignment="1">
      <alignment horizontal="center" vertical="center"/>
    </xf>
    <xf numFmtId="171" fontId="9" fillId="12" borderId="77" xfId="0" applyNumberFormat="1" applyFont="1" applyFill="1" applyBorder="1" applyAlignment="1">
      <alignment horizontal="center" vertical="center"/>
    </xf>
    <xf numFmtId="166" fontId="9" fillId="12" borderId="76" xfId="0" applyNumberFormat="1" applyFont="1" applyFill="1" applyBorder="1" applyAlignment="1">
      <alignment horizontal="center" vertical="center"/>
    </xf>
    <xf numFmtId="166" fontId="9" fillId="12" borderId="78" xfId="0" applyNumberFormat="1" applyFont="1" applyFill="1" applyBorder="1" applyAlignment="1">
      <alignment horizontal="center" vertical="center"/>
    </xf>
    <xf numFmtId="172" fontId="9" fillId="12" borderId="75" xfId="0" applyNumberFormat="1" applyFont="1" applyFill="1" applyBorder="1" applyAlignment="1">
      <alignment horizontal="center" vertical="center"/>
    </xf>
    <xf numFmtId="172" fontId="9" fillId="12" borderId="76" xfId="0" applyNumberFormat="1" applyFont="1" applyFill="1" applyBorder="1" applyAlignment="1">
      <alignment horizontal="center" vertical="center"/>
    </xf>
    <xf numFmtId="172" fontId="9" fillId="12" borderId="77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173" fontId="0" fillId="0" borderId="1" xfId="0" applyNumberFormat="1" applyBorder="1" applyAlignment="1">
      <alignment horizontal="center" vertical="center"/>
    </xf>
    <xf numFmtId="173" fontId="2" fillId="0" borderId="1" xfId="0" applyNumberFormat="1" applyFont="1" applyBorder="1" applyAlignment="1">
      <alignment horizontal="center" vertical="center"/>
    </xf>
    <xf numFmtId="171" fontId="2" fillId="0" borderId="1" xfId="0" applyNumberFormat="1" applyFont="1" applyBorder="1" applyAlignment="1">
      <alignment horizontal="center" vertical="center"/>
    </xf>
    <xf numFmtId="171" fontId="2" fillId="0" borderId="0" xfId="0" applyNumberFormat="1" applyFont="1" applyAlignment="1">
      <alignment horizontal="center" vertical="center"/>
    </xf>
    <xf numFmtId="171" fontId="0" fillId="11" borderId="0" xfId="0" applyNumberFormat="1" applyFill="1"/>
    <xf numFmtId="171" fontId="2" fillId="0" borderId="0" xfId="0" applyNumberFormat="1" applyFont="1"/>
    <xf numFmtId="0" fontId="0" fillId="0" borderId="12" xfId="0" applyBorder="1"/>
    <xf numFmtId="0" fontId="2" fillId="0" borderId="6" xfId="0" applyFont="1" applyBorder="1" applyAlignment="1">
      <alignment horizontal="center" vertical="center"/>
    </xf>
    <xf numFmtId="0" fontId="2" fillId="19" borderId="73" xfId="0" applyFont="1" applyFill="1" applyBorder="1" applyAlignment="1">
      <alignment horizontal="center" vertical="center"/>
    </xf>
    <xf numFmtId="0" fontId="2" fillId="23" borderId="73" xfId="0" applyFont="1" applyFill="1" applyBorder="1" applyAlignment="1">
      <alignment horizontal="center" vertical="center"/>
    </xf>
    <xf numFmtId="0" fontId="2" fillId="5" borderId="7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68" fontId="0" fillId="0" borderId="68" xfId="0" applyNumberFormat="1" applyBorder="1" applyAlignment="1">
      <alignment horizontal="center" vertical="center"/>
    </xf>
    <xf numFmtId="171" fontId="0" fillId="0" borderId="67" xfId="0" applyNumberFormat="1" applyBorder="1" applyAlignment="1">
      <alignment horizontal="center" vertical="center"/>
    </xf>
    <xf numFmtId="9" fontId="0" fillId="0" borderId="67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0" fontId="2" fillId="23" borderId="6" xfId="0" applyFont="1" applyFill="1" applyBorder="1" applyAlignment="1">
      <alignment horizontal="center" vertical="center"/>
    </xf>
    <xf numFmtId="171" fontId="2" fillId="23" borderId="73" xfId="0" applyNumberFormat="1" applyFont="1" applyFill="1" applyBorder="1" applyAlignment="1">
      <alignment horizontal="center" vertical="center"/>
    </xf>
    <xf numFmtId="9" fontId="2" fillId="23" borderId="73" xfId="0" applyNumberFormat="1" applyFont="1" applyFill="1" applyBorder="1" applyAlignment="1">
      <alignment horizontal="center" vertical="center"/>
    </xf>
    <xf numFmtId="166" fontId="2" fillId="23" borderId="2" xfId="0" applyNumberFormat="1" applyFont="1" applyFill="1" applyBorder="1" applyAlignment="1">
      <alignment horizontal="center" vertical="center"/>
    </xf>
    <xf numFmtId="176" fontId="0" fillId="0" borderId="0" xfId="0" applyNumberFormat="1"/>
    <xf numFmtId="0" fontId="20" fillId="3" borderId="3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166" fontId="0" fillId="0" borderId="0" xfId="3" applyNumberFormat="1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3" applyFont="1"/>
    <xf numFmtId="14" fontId="0" fillId="0" borderId="0" xfId="0" applyNumberFormat="1" applyAlignment="1">
      <alignment horizontal="center" vertical="center"/>
    </xf>
    <xf numFmtId="0" fontId="20" fillId="26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27" borderId="3" xfId="0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 wrapText="1"/>
    </xf>
    <xf numFmtId="0" fontId="2" fillId="30" borderId="1" xfId="0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166" fontId="0" fillId="0" borderId="4" xfId="3" applyNumberFormat="1" applyFont="1" applyBorder="1" applyAlignment="1">
      <alignment horizontal="center" vertical="center"/>
    </xf>
    <xf numFmtId="166" fontId="0" fillId="0" borderId="0" xfId="3" applyNumberFormat="1" applyFont="1" applyAlignment="1">
      <alignment horizontal="center" vertical="center"/>
    </xf>
    <xf numFmtId="166" fontId="0" fillId="0" borderId="1" xfId="3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2" borderId="0" xfId="0" applyFill="1" applyAlignment="1">
      <alignment horizontal="center" vertical="center" wrapText="1"/>
    </xf>
    <xf numFmtId="0" fontId="22" fillId="34" borderId="0" xfId="0" applyFont="1" applyFill="1" applyAlignment="1">
      <alignment horizontal="center" vertical="center" wrapText="1"/>
    </xf>
    <xf numFmtId="3" fontId="2" fillId="0" borderId="80" xfId="0" applyNumberFormat="1" applyFont="1" applyBorder="1" applyAlignment="1">
      <alignment horizontal="center" vertical="center"/>
    </xf>
    <xf numFmtId="3" fontId="2" fillId="31" borderId="79" xfId="0" applyNumberFormat="1" applyFont="1" applyFill="1" applyBorder="1" applyAlignment="1">
      <alignment horizontal="center" vertical="center"/>
    </xf>
    <xf numFmtId="0" fontId="0" fillId="33" borderId="69" xfId="0" applyFill="1" applyBorder="1" applyAlignment="1">
      <alignment horizontal="center" vertical="center" wrapText="1"/>
    </xf>
    <xf numFmtId="3" fontId="0" fillId="0" borderId="69" xfId="0" applyNumberFormat="1" applyBorder="1" applyAlignment="1">
      <alignment horizontal="center" vertical="center"/>
    </xf>
    <xf numFmtId="0" fontId="22" fillId="34" borderId="66" xfId="0" applyFont="1" applyFill="1" applyBorder="1" applyAlignment="1">
      <alignment horizontal="center" vertical="center" wrapText="1"/>
    </xf>
    <xf numFmtId="3" fontId="0" fillId="0" borderId="66" xfId="0" applyNumberFormat="1" applyBorder="1" applyAlignment="1">
      <alignment horizontal="center" vertical="center"/>
    </xf>
    <xf numFmtId="3" fontId="2" fillId="0" borderId="81" xfId="0" applyNumberFormat="1" applyFont="1" applyBorder="1" applyAlignment="1">
      <alignment horizontal="center" vertical="center"/>
    </xf>
    <xf numFmtId="3" fontId="2" fillId="31" borderId="82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" fillId="0" borderId="83" xfId="0" applyFont="1" applyBorder="1" applyAlignment="1">
      <alignment horizontal="right"/>
    </xf>
    <xf numFmtId="165" fontId="24" fillId="0" borderId="0" xfId="0" applyNumberFormat="1" applyFont="1"/>
    <xf numFmtId="3" fontId="0" fillId="0" borderId="0" xfId="3" applyNumberFormat="1" applyFont="1"/>
    <xf numFmtId="6" fontId="0" fillId="0" borderId="0" xfId="0" applyNumberFormat="1"/>
    <xf numFmtId="166" fontId="0" fillId="0" borderId="1" xfId="0" applyNumberFormat="1" applyBorder="1" applyAlignment="1">
      <alignment horizontal="center" vertical="center"/>
    </xf>
    <xf numFmtId="2" fontId="0" fillId="0" borderId="0" xfId="3" applyNumberFormat="1" applyFont="1"/>
    <xf numFmtId="43" fontId="0" fillId="0" borderId="0" xfId="0" applyNumberFormat="1"/>
    <xf numFmtId="3" fontId="0" fillId="0" borderId="1" xfId="0" applyNumberFormat="1" applyBorder="1" applyAlignment="1">
      <alignment horizontal="center" vertical="center"/>
    </xf>
    <xf numFmtId="0" fontId="2" fillId="12" borderId="0" xfId="0" applyFont="1" applyFill="1" applyAlignment="1">
      <alignment horizontal="center" vertical="center" wrapText="1"/>
    </xf>
    <xf numFmtId="0" fontId="6" fillId="12" borderId="7" xfId="0" applyFont="1" applyFill="1" applyBorder="1" applyAlignment="1">
      <alignment horizontal="center" vertical="center" wrapText="1"/>
    </xf>
    <xf numFmtId="0" fontId="11" fillId="12" borderId="7" xfId="0" applyFont="1" applyFill="1" applyBorder="1" applyAlignment="1">
      <alignment horizontal="center" vertical="center" wrapText="1"/>
    </xf>
    <xf numFmtId="0" fontId="14" fillId="1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/>
    </xf>
    <xf numFmtId="9" fontId="0" fillId="0" borderId="0" xfId="0" applyNumberFormat="1" applyAlignment="1">
      <alignment horizontal="center" vertical="center"/>
    </xf>
    <xf numFmtId="0" fontId="0" fillId="0" borderId="0" xfId="0" applyNumberFormat="1"/>
  </cellXfs>
  <cellStyles count="4">
    <cellStyle name="Normal" xfId="0" builtinId="0"/>
    <cellStyle name="Normal 3" xfId="1" xr:uid="{00000000-0005-0000-0000-000006000000}"/>
    <cellStyle name="Porcentaje" xfId="3" builtinId="5"/>
    <cellStyle name="Porcentaje 2" xfId="2" xr:uid="{00000000-0005-0000-0000-000007000000}"/>
  </cellStyles>
  <dxfs count="223"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numFmt numFmtId="165" formatCode="_-\$* #,##0_-;&quot;-$&quot;* #,##0_-;_-\$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_-\$* #,##0_-;&quot;-$&quot;* #,##0_-;_-\$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_-\$* #,##0_-;&quot;-$&quot;* #,##0_-;_-\$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_-\$* #,##0_-;&quot;-$&quot;* #,##0_-;_-\$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_-\$* #,##0_-;&quot;-$&quot;* #,##0_-;_-\$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_-\$* #,##0_-;&quot;-$&quot;* #,##0_-;_-\$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_-\$* #,##0_-;&quot;-$&quot;* #,##0_-;_-\$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_-\$* #,##0_-;&quot;-$&quot;* #,##0_-;_-\$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_-\$* #,##0_-;&quot;-$&quot;* #,##0_-;_-\$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_-\$* #,##0_-;&quot;-$&quot;* #,##0_-;_-\$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_-\$* #,##0_-;&quot;-$&quot;* #,##0_-;_-\$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_-\$* #,##0_-;&quot;-$&quot;* #,##0_-;_-\$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_-\$* #,##0_-;&quot;-$&quot;* #,##0_-;_-\$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_-\$* #,##0_-;&quot;-$&quot;* #,##0_-;_-\$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_-\$* #,##0_-;&quot;-$&quot;* #,##0_-;_-\$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_-\$* #,##0_-;&quot;-$&quot;* #,##0_-;_-\$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_-\$* #,##0_-;&quot;-$&quot;* #,##0_-;_-\$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_-\$* #,##0_-;&quot;-$&quot;* #,##0_-;_-\$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_-\$* #,##0_-;&quot;-$&quot;* #,##0_-;_-\$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_-\$* #,##0_-;&quot;-$&quot;* #,##0_-;_-\$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_-\$* #,##0_-;&quot;-$&quot;* #,##0_-;_-\$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_-\$* #,##0_-;&quot;-$&quot;* #,##0_-;_-\$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_-\$* #,##0_-;&quot;-$&quot;* #,##0_-;_-\$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_-\$* #,##0_-;&quot;-$&quot;* #,##0_-;_-\$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_-\$* #,##0_-;&quot;-$&quot;* #,##0_-;_-\$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_-\$* #,##0_-;&quot;-$&quot;* #,##0_-;_-\$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8" formatCode="[$-F800]dddd&quot;, &quot;mmmm\ dd&quot;, &quot;yyyy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numFmt numFmtId="165" formatCode="_-\$* #,##0_-;&quot;-$&quot;* #,##0_-;_-\$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8" formatCode="[$-F800]dddd&quot;, &quot;mmmm\ dd&quot;, &quot;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_-\$* #,##0_-;&quot;-$&quot;* #,##0_-;_-\$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_-\$* #,##0_-;&quot;-$&quot;* #,##0_-;_-\$* \-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</dxf>
    <dxf>
      <font>
        <color theme="5"/>
      </font>
    </dxf>
    <dxf>
      <font>
        <color rgb="FFFFC000"/>
      </font>
    </dxf>
    <dxf>
      <font>
        <color theme="9"/>
      </font>
    </dxf>
    <dxf>
      <numFmt numFmtId="166" formatCode="0.0%"/>
    </dxf>
    <dxf>
      <numFmt numFmtId="3" formatCode="#,##0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fill>
        <patternFill patternType="solid">
          <bgColor theme="3" tint="0.749992370372631"/>
        </patternFill>
      </fill>
    </dxf>
    <dxf>
      <fill>
        <patternFill patternType="solid">
          <bgColor theme="9" tint="0.79998168889431442"/>
        </patternFill>
      </fill>
    </dxf>
    <dxf>
      <alignment wrapText="1"/>
    </dxf>
    <dxf>
      <alignment horizontal="center"/>
    </dxf>
    <dxf>
      <alignment vertical="center"/>
    </dxf>
    <dxf>
      <alignment horizontal="center"/>
    </dxf>
    <dxf>
      <alignment vertical="center"/>
    </dxf>
    <dxf>
      <numFmt numFmtId="3" formatCode="#,##0"/>
    </dxf>
    <dxf>
      <numFmt numFmtId="165" formatCode="_-\$* #,##0_-;&quot;-$&quot;* #,##0_-;_-\$* \-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156082"/>
      <rgbColor rgb="FFAEAEAE"/>
      <rgbColor rgb="FF808080"/>
      <rgbColor rgb="FFD9D9D9"/>
      <rgbColor rgb="FFCC3300"/>
      <rgbColor rgb="FFF3FCFF"/>
      <rgbColor rgb="FFCAEEFB"/>
      <rgbColor rgb="FF660066"/>
      <rgbColor rgb="FFFBE3D6"/>
      <rgbColor rgb="FF0066CC"/>
      <rgbColor rgb="FFD1D1D1"/>
      <rgbColor rgb="FF000080"/>
      <rgbColor rgb="FFFF00FF"/>
      <rgbColor rgb="FFD9F2D0"/>
      <rgbColor rgb="FF00FFFF"/>
      <rgbColor rgb="FF800080"/>
      <rgbColor rgb="FF800000"/>
      <rgbColor rgb="FF008080"/>
      <rgbColor rgb="FF0000FF"/>
      <rgbColor rgb="FF00CCFF"/>
      <rgbColor rgb="FFDCEAF7"/>
      <rgbColor rgb="FFC2F1C8"/>
      <rgbColor rgb="FFFFEB9C"/>
      <rgbColor rgb="FFA6CAEC"/>
      <rgbColor rgb="FFFFC7CE"/>
      <rgbColor rgb="FFF2CFEE"/>
      <rgbColor rgb="FFF6C6AD"/>
      <rgbColor rgb="FF3366FF"/>
      <rgbColor rgb="FFC6EFCE"/>
      <rgbColor rgb="FF8ED973"/>
      <rgbColor rgb="FFFFC000"/>
      <rgbColor rgb="FFE8E8E8"/>
      <rgbColor rgb="FFE97132"/>
      <rgbColor rgb="FF666699"/>
      <rgbColor rgb="FFC1E5F5"/>
      <rgbColor rgb="FF0B3041"/>
      <rgbColor rgb="FF4E95D9"/>
      <rgbColor rgb="FF003300"/>
      <rgbColor rgb="FF333300"/>
      <rgbColor rgb="FF9C5700"/>
      <rgbColor rgb="FF993366"/>
      <rgbColor rgb="FF333399"/>
      <rgbColor rgb="FF0E28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crecimientos!$AS$2</c:f>
              <c:strCache>
                <c:ptCount val="1"/>
                <c:pt idx="0">
                  <c:v>Web + APP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crecimientos!$AN$3:$AN$226</c:f>
              <c:numCache>
                <c:formatCode>[$-F800]dddd", "mmmm\ dd", "yyyy</c:formatCode>
                <c:ptCount val="73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  <c:pt idx="31">
                  <c:v>46205</c:v>
                </c:pt>
                <c:pt idx="32">
                  <c:v>46206</c:v>
                </c:pt>
                <c:pt idx="33">
                  <c:v>46207</c:v>
                </c:pt>
                <c:pt idx="34">
                  <c:v>46208</c:v>
                </c:pt>
                <c:pt idx="35">
                  <c:v>46209</c:v>
                </c:pt>
                <c:pt idx="36">
                  <c:v>46210</c:v>
                </c:pt>
                <c:pt idx="37">
                  <c:v>46211</c:v>
                </c:pt>
                <c:pt idx="38">
                  <c:v>46212</c:v>
                </c:pt>
                <c:pt idx="39">
                  <c:v>46213</c:v>
                </c:pt>
                <c:pt idx="40">
                  <c:v>46214</c:v>
                </c:pt>
                <c:pt idx="41">
                  <c:v>46215</c:v>
                </c:pt>
                <c:pt idx="42">
                  <c:v>46216</c:v>
                </c:pt>
                <c:pt idx="43">
                  <c:v>46217</c:v>
                </c:pt>
                <c:pt idx="44">
                  <c:v>46218</c:v>
                </c:pt>
                <c:pt idx="45">
                  <c:v>46219</c:v>
                </c:pt>
                <c:pt idx="46">
                  <c:v>46220</c:v>
                </c:pt>
                <c:pt idx="47">
                  <c:v>46221</c:v>
                </c:pt>
                <c:pt idx="48">
                  <c:v>46222</c:v>
                </c:pt>
                <c:pt idx="49">
                  <c:v>46223</c:v>
                </c:pt>
                <c:pt idx="50">
                  <c:v>46224</c:v>
                </c:pt>
                <c:pt idx="51">
                  <c:v>46225</c:v>
                </c:pt>
                <c:pt idx="52">
                  <c:v>46226</c:v>
                </c:pt>
                <c:pt idx="53">
                  <c:v>46227</c:v>
                </c:pt>
                <c:pt idx="54">
                  <c:v>46228</c:v>
                </c:pt>
                <c:pt idx="55">
                  <c:v>46229</c:v>
                </c:pt>
                <c:pt idx="56">
                  <c:v>46230</c:v>
                </c:pt>
                <c:pt idx="57">
                  <c:v>46231</c:v>
                </c:pt>
                <c:pt idx="58">
                  <c:v>46232</c:v>
                </c:pt>
                <c:pt idx="59">
                  <c:v>46233</c:v>
                </c:pt>
                <c:pt idx="60">
                  <c:v>46234</c:v>
                </c:pt>
                <c:pt idx="61">
                  <c:v>46235</c:v>
                </c:pt>
                <c:pt idx="62">
                  <c:v>46236</c:v>
                </c:pt>
                <c:pt idx="63">
                  <c:v>46237</c:v>
                </c:pt>
                <c:pt idx="64">
                  <c:v>46238</c:v>
                </c:pt>
                <c:pt idx="65">
                  <c:v>46239</c:v>
                </c:pt>
                <c:pt idx="66">
                  <c:v>46240</c:v>
                </c:pt>
                <c:pt idx="67">
                  <c:v>46241</c:v>
                </c:pt>
                <c:pt idx="68">
                  <c:v>46242</c:v>
                </c:pt>
                <c:pt idx="69">
                  <c:v>46243</c:v>
                </c:pt>
                <c:pt idx="70">
                  <c:v>46244</c:v>
                </c:pt>
                <c:pt idx="71">
                  <c:v>46245</c:v>
                </c:pt>
                <c:pt idx="72">
                  <c:v>46246</c:v>
                </c:pt>
              </c:numCache>
            </c:numRef>
          </c:cat>
          <c:val>
            <c:numRef>
              <c:f>crecimientos!$AS$3:$AS$226</c:f>
              <c:numCache>
                <c:formatCode>0.0%</c:formatCode>
                <c:ptCount val="73"/>
                <c:pt idx="0">
                  <c:v>0.13189254246057613</c:v>
                </c:pt>
                <c:pt idx="1">
                  <c:v>-2.1158192350433813E-2</c:v>
                </c:pt>
                <c:pt idx="2">
                  <c:v>7.4978130143123156E-2</c:v>
                </c:pt>
                <c:pt idx="3">
                  <c:v>0.16323029698532721</c:v>
                </c:pt>
                <c:pt idx="4">
                  <c:v>0.13200996448677693</c:v>
                </c:pt>
                <c:pt idx="5">
                  <c:v>0.19151383108232656</c:v>
                </c:pt>
                <c:pt idx="6">
                  <c:v>0.24783348338556555</c:v>
                </c:pt>
                <c:pt idx="7">
                  <c:v>0.18205540954242938</c:v>
                </c:pt>
                <c:pt idx="8">
                  <c:v>0.16881079265738319</c:v>
                </c:pt>
                <c:pt idx="9">
                  <c:v>0.31030058767521895</c:v>
                </c:pt>
                <c:pt idx="10">
                  <c:v>0.17102296401931949</c:v>
                </c:pt>
                <c:pt idx="11">
                  <c:v>0.59008712643498917</c:v>
                </c:pt>
                <c:pt idx="12">
                  <c:v>0.45921973189368726</c:v>
                </c:pt>
                <c:pt idx="13">
                  <c:v>0.78187145990308049</c:v>
                </c:pt>
                <c:pt idx="14">
                  <c:v>0.63343525416155244</c:v>
                </c:pt>
                <c:pt idx="15">
                  <c:v>0.53221428310591223</c:v>
                </c:pt>
                <c:pt idx="16">
                  <c:v>0.58643071566898053</c:v>
                </c:pt>
                <c:pt idx="17">
                  <c:v>0.36288224346642428</c:v>
                </c:pt>
                <c:pt idx="18">
                  <c:v>0.16936405779673169</c:v>
                </c:pt>
                <c:pt idx="19">
                  <c:v>-0.26370948097273694</c:v>
                </c:pt>
                <c:pt idx="20">
                  <c:v>-0.21522960678509995</c:v>
                </c:pt>
                <c:pt idx="21">
                  <c:v>-3.3030135425657692E-2</c:v>
                </c:pt>
                <c:pt idx="22">
                  <c:v>4.793772058503154E-2</c:v>
                </c:pt>
                <c:pt idx="23">
                  <c:v>-7.9525781050604483E-3</c:v>
                </c:pt>
                <c:pt idx="24">
                  <c:v>1.8136967275703242E-2</c:v>
                </c:pt>
                <c:pt idx="25">
                  <c:v>2.299690291613854E-2</c:v>
                </c:pt>
                <c:pt idx="26">
                  <c:v>2.0170614237721818E-2</c:v>
                </c:pt>
                <c:pt idx="27">
                  <c:v>0.10354566186331549</c:v>
                </c:pt>
                <c:pt idx="28">
                  <c:v>2.1501386219573426E-3</c:v>
                </c:pt>
                <c:pt idx="29">
                  <c:v>8.7834512520398533E-2</c:v>
                </c:pt>
                <c:pt idx="30">
                  <c:v>4.6118038210669843E-2</c:v>
                </c:pt>
                <c:pt idx="31">
                  <c:v>8.3703386051869444E-2</c:v>
                </c:pt>
                <c:pt idx="32">
                  <c:v>0.24110517972705447</c:v>
                </c:pt>
                <c:pt idx="33">
                  <c:v>0.26901595069689122</c:v>
                </c:pt>
                <c:pt idx="34">
                  <c:v>-1.8371882110220672E-2</c:v>
                </c:pt>
                <c:pt idx="35">
                  <c:v>3.1099701138841196E-2</c:v>
                </c:pt>
                <c:pt idx="36">
                  <c:v>9.5069162856888045E-2</c:v>
                </c:pt>
                <c:pt idx="37">
                  <c:v>2.832281912480461E-2</c:v>
                </c:pt>
                <c:pt idx="38">
                  <c:v>0.22509663518809186</c:v>
                </c:pt>
                <c:pt idx="39">
                  <c:v>0.33939099280618557</c:v>
                </c:pt>
                <c:pt idx="40">
                  <c:v>6.7804636440295996E-2</c:v>
                </c:pt>
                <c:pt idx="41">
                  <c:v>-0.98948199796442671</c:v>
                </c:pt>
                <c:pt idx="42">
                  <c:v>-1.0015629665308974</c:v>
                </c:pt>
                <c:pt idx="43">
                  <c:v>-1</c:v>
                </c:pt>
                <c:pt idx="44">
                  <c:v>-1</c:v>
                </c:pt>
                <c:pt idx="45">
                  <c:v>-1.0893690230611466</c:v>
                </c:pt>
                <c:pt idx="46">
                  <c:v>1.1006680823978656</c:v>
                </c:pt>
                <c:pt idx="47">
                  <c:v>1.1224814991193655</c:v>
                </c:pt>
                <c:pt idx="48">
                  <c:v>0.40386244687683615</c:v>
                </c:pt>
                <c:pt idx="49">
                  <c:v>0.17101014043959428</c:v>
                </c:pt>
                <c:pt idx="50">
                  <c:v>0.34010512377245838</c:v>
                </c:pt>
                <c:pt idx="51">
                  <c:v>-0.29165159008666364</c:v>
                </c:pt>
                <c:pt idx="52">
                  <c:v>0.16487832596046581</c:v>
                </c:pt>
                <c:pt idx="53">
                  <c:v>1.6049602918028594E-2</c:v>
                </c:pt>
                <c:pt idx="54">
                  <c:v>0.2657707209267719</c:v>
                </c:pt>
                <c:pt idx="55">
                  <c:v>0.21421149882338408</c:v>
                </c:pt>
                <c:pt idx="56">
                  <c:v>0.26792087101691053</c:v>
                </c:pt>
                <c:pt idx="57">
                  <c:v>-3.2552016444891474E-2</c:v>
                </c:pt>
                <c:pt idx="58">
                  <c:v>0.11721858639125915</c:v>
                </c:pt>
                <c:pt idx="59">
                  <c:v>-5.5385247074255073E-2</c:v>
                </c:pt>
                <c:pt idx="60">
                  <c:v>5.7579303896618583E-2</c:v>
                </c:pt>
                <c:pt idx="61">
                  <c:v>0.14067277574437198</c:v>
                </c:pt>
                <c:pt idx="62">
                  <c:v>0.15180558051631077</c:v>
                </c:pt>
                <c:pt idx="63">
                  <c:v>9.9974024397265771E-2</c:v>
                </c:pt>
                <c:pt idx="64">
                  <c:v>0.1528506956853295</c:v>
                </c:pt>
                <c:pt idx="65">
                  <c:v>4.7000447150131519E-2</c:v>
                </c:pt>
                <c:pt idx="66">
                  <c:v>0.1233644883575471</c:v>
                </c:pt>
                <c:pt idx="67">
                  <c:v>8.9137750373153413E-2</c:v>
                </c:pt>
                <c:pt idx="68">
                  <c:v>0.43505545604326556</c:v>
                </c:pt>
                <c:pt idx="69">
                  <c:v>0.42430837364454543</c:v>
                </c:pt>
                <c:pt idx="70">
                  <c:v>0.14558110963966309</c:v>
                </c:pt>
                <c:pt idx="71">
                  <c:v>0.12218995713442782</c:v>
                </c:pt>
                <c:pt idx="72">
                  <c:v>9.9184352320278446E-2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9-4681-8688-796994F29DC6}"/>
            </c:ext>
          </c:extLst>
        </c:ser>
        <c:ser>
          <c:idx val="1"/>
          <c:order val="1"/>
          <c:tx>
            <c:strRef>
              <c:f>crecimientos!$AT$2</c:f>
              <c:strCache>
                <c:ptCount val="1"/>
                <c:pt idx="0">
                  <c:v>Afiliados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crecimientos!$AN$3:$AN$226</c:f>
              <c:numCache>
                <c:formatCode>[$-F800]dddd", "mmmm\ dd", "yyyy</c:formatCode>
                <c:ptCount val="73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  <c:pt idx="31">
                  <c:v>46205</c:v>
                </c:pt>
                <c:pt idx="32">
                  <c:v>46206</c:v>
                </c:pt>
                <c:pt idx="33">
                  <c:v>46207</c:v>
                </c:pt>
                <c:pt idx="34">
                  <c:v>46208</c:v>
                </c:pt>
                <c:pt idx="35">
                  <c:v>46209</c:v>
                </c:pt>
                <c:pt idx="36">
                  <c:v>46210</c:v>
                </c:pt>
                <c:pt idx="37">
                  <c:v>46211</c:v>
                </c:pt>
                <c:pt idx="38">
                  <c:v>46212</c:v>
                </c:pt>
                <c:pt idx="39">
                  <c:v>46213</c:v>
                </c:pt>
                <c:pt idx="40">
                  <c:v>46214</c:v>
                </c:pt>
                <c:pt idx="41">
                  <c:v>46215</c:v>
                </c:pt>
                <c:pt idx="42">
                  <c:v>46216</c:v>
                </c:pt>
                <c:pt idx="43">
                  <c:v>46217</c:v>
                </c:pt>
                <c:pt idx="44">
                  <c:v>46218</c:v>
                </c:pt>
                <c:pt idx="45">
                  <c:v>46219</c:v>
                </c:pt>
                <c:pt idx="46">
                  <c:v>46220</c:v>
                </c:pt>
                <c:pt idx="47">
                  <c:v>46221</c:v>
                </c:pt>
                <c:pt idx="48">
                  <c:v>46222</c:v>
                </c:pt>
                <c:pt idx="49">
                  <c:v>46223</c:v>
                </c:pt>
                <c:pt idx="50">
                  <c:v>46224</c:v>
                </c:pt>
                <c:pt idx="51">
                  <c:v>46225</c:v>
                </c:pt>
                <c:pt idx="52">
                  <c:v>46226</c:v>
                </c:pt>
                <c:pt idx="53">
                  <c:v>46227</c:v>
                </c:pt>
                <c:pt idx="54">
                  <c:v>46228</c:v>
                </c:pt>
                <c:pt idx="55">
                  <c:v>46229</c:v>
                </c:pt>
                <c:pt idx="56">
                  <c:v>46230</c:v>
                </c:pt>
                <c:pt idx="57">
                  <c:v>46231</c:v>
                </c:pt>
                <c:pt idx="58">
                  <c:v>46232</c:v>
                </c:pt>
                <c:pt idx="59">
                  <c:v>46233</c:v>
                </c:pt>
                <c:pt idx="60">
                  <c:v>46234</c:v>
                </c:pt>
                <c:pt idx="61">
                  <c:v>46235</c:v>
                </c:pt>
                <c:pt idx="62">
                  <c:v>46236</c:v>
                </c:pt>
                <c:pt idx="63">
                  <c:v>46237</c:v>
                </c:pt>
                <c:pt idx="64">
                  <c:v>46238</c:v>
                </c:pt>
                <c:pt idx="65">
                  <c:v>46239</c:v>
                </c:pt>
                <c:pt idx="66">
                  <c:v>46240</c:v>
                </c:pt>
                <c:pt idx="67">
                  <c:v>46241</c:v>
                </c:pt>
                <c:pt idx="68">
                  <c:v>46242</c:v>
                </c:pt>
                <c:pt idx="69">
                  <c:v>46243</c:v>
                </c:pt>
                <c:pt idx="70">
                  <c:v>46244</c:v>
                </c:pt>
                <c:pt idx="71">
                  <c:v>46245</c:v>
                </c:pt>
                <c:pt idx="72">
                  <c:v>46246</c:v>
                </c:pt>
              </c:numCache>
            </c:numRef>
          </c:cat>
          <c:val>
            <c:numRef>
              <c:f>crecimientos!$AT$3:$AT$226</c:f>
              <c:numCache>
                <c:formatCode>0.0%</c:formatCode>
                <c:ptCount val="73"/>
                <c:pt idx="0">
                  <c:v>-9.1725770837213449E-2</c:v>
                </c:pt>
                <c:pt idx="1">
                  <c:v>-0.27808316748716844</c:v>
                </c:pt>
                <c:pt idx="2">
                  <c:v>-0.12127926832797875</c:v>
                </c:pt>
                <c:pt idx="3">
                  <c:v>-0.15145317167457384</c:v>
                </c:pt>
                <c:pt idx="4">
                  <c:v>0.34459098438656421</c:v>
                </c:pt>
                <c:pt idx="5">
                  <c:v>0.38135757826221917</c:v>
                </c:pt>
                <c:pt idx="6">
                  <c:v>0.2991037183306029</c:v>
                </c:pt>
                <c:pt idx="7">
                  <c:v>0.17221182914251054</c:v>
                </c:pt>
                <c:pt idx="8">
                  <c:v>0.45606694560669681</c:v>
                </c:pt>
                <c:pt idx="9">
                  <c:v>0.44277777777777771</c:v>
                </c:pt>
                <c:pt idx="10">
                  <c:v>-3.0632572507292566E-2</c:v>
                </c:pt>
                <c:pt idx="11">
                  <c:v>8.3539360019468045E-2</c:v>
                </c:pt>
                <c:pt idx="12">
                  <c:v>0.24097261932359926</c:v>
                </c:pt>
                <c:pt idx="13">
                  <c:v>0.53575971013511547</c:v>
                </c:pt>
                <c:pt idx="14">
                  <c:v>0.48216549295774902</c:v>
                </c:pt>
                <c:pt idx="15">
                  <c:v>-0.49577700670830382</c:v>
                </c:pt>
                <c:pt idx="16">
                  <c:v>-0.18473207983058426</c:v>
                </c:pt>
                <c:pt idx="17">
                  <c:v>-0.2479784206278397</c:v>
                </c:pt>
                <c:pt idx="18">
                  <c:v>-0.26717794696281738</c:v>
                </c:pt>
                <c:pt idx="19">
                  <c:v>-3.2029445472979479E-2</c:v>
                </c:pt>
                <c:pt idx="20">
                  <c:v>-0.39554531596452314</c:v>
                </c:pt>
                <c:pt idx="21">
                  <c:v>-0.32866295908032817</c:v>
                </c:pt>
                <c:pt idx="22">
                  <c:v>-0.34451195308169502</c:v>
                </c:pt>
                <c:pt idx="23">
                  <c:v>-0.34602556653108607</c:v>
                </c:pt>
                <c:pt idx="24">
                  <c:v>-0.32130649844798154</c:v>
                </c:pt>
                <c:pt idx="25">
                  <c:v>-0.28240024744819092</c:v>
                </c:pt>
                <c:pt idx="26">
                  <c:v>-0.1908308616482064</c:v>
                </c:pt>
                <c:pt idx="27">
                  <c:v>-0.21549330533915223</c:v>
                </c:pt>
                <c:pt idx="28">
                  <c:v>-0.29252607775913564</c:v>
                </c:pt>
                <c:pt idx="29">
                  <c:v>-0.21679797938648215</c:v>
                </c:pt>
                <c:pt idx="30">
                  <c:v>-8.5179091849206023E-2</c:v>
                </c:pt>
                <c:pt idx="31">
                  <c:v>-4.9350863975501591E-2</c:v>
                </c:pt>
                <c:pt idx="32">
                  <c:v>0.3304828236279842</c:v>
                </c:pt>
                <c:pt idx="33">
                  <c:v>0.17456126211932443</c:v>
                </c:pt>
                <c:pt idx="34">
                  <c:v>-0.12136821279402032</c:v>
                </c:pt>
                <c:pt idx="35">
                  <c:v>4.3049318655738356E-2</c:v>
                </c:pt>
                <c:pt idx="36">
                  <c:v>0.11555706245337971</c:v>
                </c:pt>
                <c:pt idx="37">
                  <c:v>8.5341557911909227E-2</c:v>
                </c:pt>
                <c:pt idx="38">
                  <c:v>0.21120667847204833</c:v>
                </c:pt>
                <c:pt idx="39">
                  <c:v>0.18221051854403947</c:v>
                </c:pt>
                <c:pt idx="40">
                  <c:v>6.3100740000909372E-2</c:v>
                </c:pt>
                <c:pt idx="41">
                  <c:v>-0.96720757388072909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0.87754861111111104</c:v>
                </c:pt>
                <c:pt idx="47">
                  <c:v>0.39854240821222908</c:v>
                </c:pt>
                <c:pt idx="48">
                  <c:v>-0.12674548892777038</c:v>
                </c:pt>
                <c:pt idx="49">
                  <c:v>-2.6964418866987083E-2</c:v>
                </c:pt>
                <c:pt idx="50">
                  <c:v>0.11683126252505138</c:v>
                </c:pt>
                <c:pt idx="51">
                  <c:v>-6.784515195369023E-2</c:v>
                </c:pt>
                <c:pt idx="52">
                  <c:v>-5.3810637726732335E-2</c:v>
                </c:pt>
                <c:pt idx="53">
                  <c:v>-4.722824725983743E-2</c:v>
                </c:pt>
                <c:pt idx="54">
                  <c:v>-0.169219752561239</c:v>
                </c:pt>
                <c:pt idx="55">
                  <c:v>-9.6236859364752458E-2</c:v>
                </c:pt>
                <c:pt idx="56">
                  <c:v>5.4296388542967033E-3</c:v>
                </c:pt>
                <c:pt idx="57">
                  <c:v>-0.11582994874341523</c:v>
                </c:pt>
                <c:pt idx="58">
                  <c:v>4.851251558453562E-3</c:v>
                </c:pt>
                <c:pt idx="59">
                  <c:v>-8.6751228946731596E-2</c:v>
                </c:pt>
                <c:pt idx="60">
                  <c:v>0.13736574201949248</c:v>
                </c:pt>
                <c:pt idx="61">
                  <c:v>0.1353016823034614</c:v>
                </c:pt>
                <c:pt idx="62">
                  <c:v>0.19894097058879012</c:v>
                </c:pt>
                <c:pt idx="63">
                  <c:v>2.1533149430463583E-2</c:v>
                </c:pt>
                <c:pt idx="64">
                  <c:v>0.17640921305182289</c:v>
                </c:pt>
                <c:pt idx="65">
                  <c:v>0.22947337721856664</c:v>
                </c:pt>
                <c:pt idx="66">
                  <c:v>0.30380437153701778</c:v>
                </c:pt>
                <c:pt idx="67">
                  <c:v>0.35494969533796361</c:v>
                </c:pt>
                <c:pt idx="68">
                  <c:v>0.36965281568143649</c:v>
                </c:pt>
                <c:pt idx="69">
                  <c:v>0.57988945558059601</c:v>
                </c:pt>
                <c:pt idx="70">
                  <c:v>0.4531088218375785</c:v>
                </c:pt>
                <c:pt idx="71">
                  <c:v>0.66968958453700389</c:v>
                </c:pt>
                <c:pt idx="72">
                  <c:v>0.6814830349786567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89-4681-8688-796994F29DC6}"/>
            </c:ext>
          </c:extLst>
        </c:ser>
        <c:ser>
          <c:idx val="2"/>
          <c:order val="2"/>
          <c:tx>
            <c:strRef>
              <c:f>crecimientos!$AU$2</c:f>
              <c:strCache>
                <c:ptCount val="1"/>
                <c:pt idx="0">
                  <c:v>TMK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crecimientos!$AN$3:$AN$226</c:f>
              <c:numCache>
                <c:formatCode>[$-F800]dddd", "mmmm\ dd", "yyyy</c:formatCode>
                <c:ptCount val="73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  <c:pt idx="31">
                  <c:v>46205</c:v>
                </c:pt>
                <c:pt idx="32">
                  <c:v>46206</c:v>
                </c:pt>
                <c:pt idx="33">
                  <c:v>46207</c:v>
                </c:pt>
                <c:pt idx="34">
                  <c:v>46208</c:v>
                </c:pt>
                <c:pt idx="35">
                  <c:v>46209</c:v>
                </c:pt>
                <c:pt idx="36">
                  <c:v>46210</c:v>
                </c:pt>
                <c:pt idx="37">
                  <c:v>46211</c:v>
                </c:pt>
                <c:pt idx="38">
                  <c:v>46212</c:v>
                </c:pt>
                <c:pt idx="39">
                  <c:v>46213</c:v>
                </c:pt>
                <c:pt idx="40">
                  <c:v>46214</c:v>
                </c:pt>
                <c:pt idx="41">
                  <c:v>46215</c:v>
                </c:pt>
                <c:pt idx="42">
                  <c:v>46216</c:v>
                </c:pt>
                <c:pt idx="43">
                  <c:v>46217</c:v>
                </c:pt>
                <c:pt idx="44">
                  <c:v>46218</c:v>
                </c:pt>
                <c:pt idx="45">
                  <c:v>46219</c:v>
                </c:pt>
                <c:pt idx="46">
                  <c:v>46220</c:v>
                </c:pt>
                <c:pt idx="47">
                  <c:v>46221</c:v>
                </c:pt>
                <c:pt idx="48">
                  <c:v>46222</c:v>
                </c:pt>
                <c:pt idx="49">
                  <c:v>46223</c:v>
                </c:pt>
                <c:pt idx="50">
                  <c:v>46224</c:v>
                </c:pt>
                <c:pt idx="51">
                  <c:v>46225</c:v>
                </c:pt>
                <c:pt idx="52">
                  <c:v>46226</c:v>
                </c:pt>
                <c:pt idx="53">
                  <c:v>46227</c:v>
                </c:pt>
                <c:pt idx="54">
                  <c:v>46228</c:v>
                </c:pt>
                <c:pt idx="55">
                  <c:v>46229</c:v>
                </c:pt>
                <c:pt idx="56">
                  <c:v>46230</c:v>
                </c:pt>
                <c:pt idx="57">
                  <c:v>46231</c:v>
                </c:pt>
                <c:pt idx="58">
                  <c:v>46232</c:v>
                </c:pt>
                <c:pt idx="59">
                  <c:v>46233</c:v>
                </c:pt>
                <c:pt idx="60">
                  <c:v>46234</c:v>
                </c:pt>
                <c:pt idx="61">
                  <c:v>46235</c:v>
                </c:pt>
                <c:pt idx="62">
                  <c:v>46236</c:v>
                </c:pt>
                <c:pt idx="63">
                  <c:v>46237</c:v>
                </c:pt>
                <c:pt idx="64">
                  <c:v>46238</c:v>
                </c:pt>
                <c:pt idx="65">
                  <c:v>46239</c:v>
                </c:pt>
                <c:pt idx="66">
                  <c:v>46240</c:v>
                </c:pt>
                <c:pt idx="67">
                  <c:v>46241</c:v>
                </c:pt>
                <c:pt idx="68">
                  <c:v>46242</c:v>
                </c:pt>
                <c:pt idx="69">
                  <c:v>46243</c:v>
                </c:pt>
                <c:pt idx="70">
                  <c:v>46244</c:v>
                </c:pt>
                <c:pt idx="71">
                  <c:v>46245</c:v>
                </c:pt>
                <c:pt idx="72">
                  <c:v>46246</c:v>
                </c:pt>
              </c:numCache>
            </c:numRef>
          </c:cat>
          <c:val>
            <c:numRef>
              <c:f>crecimientos!$AU$3:$AU$226</c:f>
              <c:numCache>
                <c:formatCode>0.0%</c:formatCode>
                <c:ptCount val="73"/>
                <c:pt idx="0">
                  <c:v>-0.44231773826190524</c:v>
                </c:pt>
                <c:pt idx="1">
                  <c:v>-7.4341406928495557E-2</c:v>
                </c:pt>
                <c:pt idx="2">
                  <c:v>-0.22628674721720099</c:v>
                </c:pt>
                <c:pt idx="3">
                  <c:v>1.5986849082617458</c:v>
                </c:pt>
                <c:pt idx="4">
                  <c:v>-0.81821675106701253</c:v>
                </c:pt>
                <c:pt idx="5">
                  <c:v>-0.13816599938404683</c:v>
                </c:pt>
                <c:pt idx="6">
                  <c:v>-0.92093023255813955</c:v>
                </c:pt>
                <c:pt idx="7">
                  <c:v>-0.2521782616222038</c:v>
                </c:pt>
                <c:pt idx="8">
                  <c:v>-1.065692319403011E-4</c:v>
                </c:pt>
                <c:pt idx="9">
                  <c:v>-0.38950316968892817</c:v>
                </c:pt>
                <c:pt idx="10">
                  <c:v>-0.61104679310417409</c:v>
                </c:pt>
                <c:pt idx="11">
                  <c:v>-0.72885189330348821</c:v>
                </c:pt>
                <c:pt idx="12">
                  <c:v>1.0697302558398221</c:v>
                </c:pt>
                <c:pt idx="13">
                  <c:v>-1.0561582641991065</c:v>
                </c:pt>
                <c:pt idx="14">
                  <c:v>-0.13165803671651521</c:v>
                </c:pt>
                <c:pt idx="15">
                  <c:v>-0.2130780869679626</c:v>
                </c:pt>
                <c:pt idx="16">
                  <c:v>-0.46275590371871655</c:v>
                </c:pt>
                <c:pt idx="17">
                  <c:v>0.2426920891470421</c:v>
                </c:pt>
                <c:pt idx="18">
                  <c:v>-0.79587020648967555</c:v>
                </c:pt>
                <c:pt idx="19">
                  <c:v>-0.99112547217039093</c:v>
                </c:pt>
                <c:pt idx="20">
                  <c:v>-2.1270317579394851</c:v>
                </c:pt>
                <c:pt idx="21">
                  <c:v>0.4611473869358842</c:v>
                </c:pt>
                <c:pt idx="22">
                  <c:v>-0.51795876481015024</c:v>
                </c:pt>
                <c:pt idx="23">
                  <c:v>1.363240592473979</c:v>
                </c:pt>
                <c:pt idx="24">
                  <c:v>-0.38319649497441188</c:v>
                </c:pt>
                <c:pt idx="25">
                  <c:v>-0.59497668822379302</c:v>
                </c:pt>
                <c:pt idx="26">
                  <c:v>-0.63588547610777546</c:v>
                </c:pt>
                <c:pt idx="27">
                  <c:v>-1</c:v>
                </c:pt>
                <c:pt idx="28">
                  <c:v>-0.56954783143648102</c:v>
                </c:pt>
                <c:pt idx="29">
                  <c:v>-0.91053540587219339</c:v>
                </c:pt>
                <c:pt idx="30">
                  <c:v>-0.30688248695524367</c:v>
                </c:pt>
                <c:pt idx="31">
                  <c:v>-0.71759425924592601</c:v>
                </c:pt>
                <c:pt idx="32">
                  <c:v>0.39043114143920588</c:v>
                </c:pt>
                <c:pt idx="33">
                  <c:v>-0.61759393063583823</c:v>
                </c:pt>
                <c:pt idx="34">
                  <c:v>-1.2326560647561424</c:v>
                </c:pt>
                <c:pt idx="35">
                  <c:v>-0.79153140884546569</c:v>
                </c:pt>
                <c:pt idx="36">
                  <c:v>-0.63510915650593835</c:v>
                </c:pt>
                <c:pt idx="37">
                  <c:v>0.22612648816999048</c:v>
                </c:pt>
                <c:pt idx="38">
                  <c:v>-0.48642470282056693</c:v>
                </c:pt>
                <c:pt idx="39">
                  <c:v>9.9120703437250102E-2</c:v>
                </c:pt>
                <c:pt idx="40">
                  <c:v>-0.97411313518696074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-1.1170578071345771</c:v>
                </c:pt>
                <c:pt idx="51">
                  <c:v>-1.1532126304558035</c:v>
                </c:pt>
                <c:pt idx="52">
                  <c:v>-7.633566035047723E-2</c:v>
                </c:pt>
                <c:pt idx="53">
                  <c:v>-24.965039180229052</c:v>
                </c:pt>
                <c:pt idx="54">
                  <c:v>-1.0497289129855123</c:v>
                </c:pt>
                <c:pt idx="55">
                  <c:v>-13.962765957446809</c:v>
                </c:pt>
                <c:pt idx="56">
                  <c:v>0.45768267969960652</c:v>
                </c:pt>
                <c:pt idx="57">
                  <c:v>-0.52577566776962548</c:v>
                </c:pt>
                <c:pt idx="58">
                  <c:v>-0.72203217324927205</c:v>
                </c:pt>
                <c:pt idx="59">
                  <c:v>-0.85797801855171874</c:v>
                </c:pt>
                <c:pt idx="60">
                  <c:v>1.342267027292845</c:v>
                </c:pt>
                <c:pt idx="61">
                  <c:v>-0.42622324159021407</c:v>
                </c:pt>
                <c:pt idx="62">
                  <c:v>-1</c:v>
                </c:pt>
                <c:pt idx="63">
                  <c:v>-6.0420643273810581E-2</c:v>
                </c:pt>
                <c:pt idx="64">
                  <c:v>-0.24106022584692599</c:v>
                </c:pt>
                <c:pt idx="65">
                  <c:v>-0.33753547260423489</c:v>
                </c:pt>
                <c:pt idx="66">
                  <c:v>-0.36230694158288534</c:v>
                </c:pt>
                <c:pt idx="67">
                  <c:v>-0.3245079559900057</c:v>
                </c:pt>
                <c:pt idx="68">
                  <c:v>-1.3057497503210158</c:v>
                </c:pt>
                <c:pt idx="69">
                  <c:v>1.0162266226622663</c:v>
                </c:pt>
                <c:pt idx="70">
                  <c:v>-0.59679307531306536</c:v>
                </c:pt>
                <c:pt idx="71">
                  <c:v>-0.38740752050858518</c:v>
                </c:pt>
                <c:pt idx="72">
                  <c:v>0.15430483169849118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89-4681-8688-796994F29DC6}"/>
            </c:ext>
          </c:extLst>
        </c:ser>
        <c:ser>
          <c:idx val="3"/>
          <c:order val="3"/>
          <c:tx>
            <c:strRef>
              <c:f>crecimientos!$AV$2</c:f>
              <c:strCache>
                <c:ptCount val="1"/>
                <c:pt idx="0">
                  <c:v>WA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crecimientos!$AN$3:$AN$226</c:f>
              <c:numCache>
                <c:formatCode>[$-F800]dddd", "mmmm\ dd", "yyyy</c:formatCode>
                <c:ptCount val="73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  <c:pt idx="31">
                  <c:v>46205</c:v>
                </c:pt>
                <c:pt idx="32">
                  <c:v>46206</c:v>
                </c:pt>
                <c:pt idx="33">
                  <c:v>46207</c:v>
                </c:pt>
                <c:pt idx="34">
                  <c:v>46208</c:v>
                </c:pt>
                <c:pt idx="35">
                  <c:v>46209</c:v>
                </c:pt>
                <c:pt idx="36">
                  <c:v>46210</c:v>
                </c:pt>
                <c:pt idx="37">
                  <c:v>46211</c:v>
                </c:pt>
                <c:pt idx="38">
                  <c:v>46212</c:v>
                </c:pt>
                <c:pt idx="39">
                  <c:v>46213</c:v>
                </c:pt>
                <c:pt idx="40">
                  <c:v>46214</c:v>
                </c:pt>
                <c:pt idx="41">
                  <c:v>46215</c:v>
                </c:pt>
                <c:pt idx="42">
                  <c:v>46216</c:v>
                </c:pt>
                <c:pt idx="43">
                  <c:v>46217</c:v>
                </c:pt>
                <c:pt idx="44">
                  <c:v>46218</c:v>
                </c:pt>
                <c:pt idx="45">
                  <c:v>46219</c:v>
                </c:pt>
                <c:pt idx="46">
                  <c:v>46220</c:v>
                </c:pt>
                <c:pt idx="47">
                  <c:v>46221</c:v>
                </c:pt>
                <c:pt idx="48">
                  <c:v>46222</c:v>
                </c:pt>
                <c:pt idx="49">
                  <c:v>46223</c:v>
                </c:pt>
                <c:pt idx="50">
                  <c:v>46224</c:v>
                </c:pt>
                <c:pt idx="51">
                  <c:v>46225</c:v>
                </c:pt>
                <c:pt idx="52">
                  <c:v>46226</c:v>
                </c:pt>
                <c:pt idx="53">
                  <c:v>46227</c:v>
                </c:pt>
                <c:pt idx="54">
                  <c:v>46228</c:v>
                </c:pt>
                <c:pt idx="55">
                  <c:v>46229</c:v>
                </c:pt>
                <c:pt idx="56">
                  <c:v>46230</c:v>
                </c:pt>
                <c:pt idx="57">
                  <c:v>46231</c:v>
                </c:pt>
                <c:pt idx="58">
                  <c:v>46232</c:v>
                </c:pt>
                <c:pt idx="59">
                  <c:v>46233</c:v>
                </c:pt>
                <c:pt idx="60">
                  <c:v>46234</c:v>
                </c:pt>
                <c:pt idx="61">
                  <c:v>46235</c:v>
                </c:pt>
                <c:pt idx="62">
                  <c:v>46236</c:v>
                </c:pt>
                <c:pt idx="63">
                  <c:v>46237</c:v>
                </c:pt>
                <c:pt idx="64">
                  <c:v>46238</c:v>
                </c:pt>
                <c:pt idx="65">
                  <c:v>46239</c:v>
                </c:pt>
                <c:pt idx="66">
                  <c:v>46240</c:v>
                </c:pt>
                <c:pt idx="67">
                  <c:v>46241</c:v>
                </c:pt>
                <c:pt idx="68">
                  <c:v>46242</c:v>
                </c:pt>
                <c:pt idx="69">
                  <c:v>46243</c:v>
                </c:pt>
                <c:pt idx="70">
                  <c:v>46244</c:v>
                </c:pt>
                <c:pt idx="71">
                  <c:v>46245</c:v>
                </c:pt>
                <c:pt idx="72">
                  <c:v>46246</c:v>
                </c:pt>
              </c:numCache>
            </c:numRef>
          </c:cat>
          <c:val>
            <c:numRef>
              <c:f>crecimientos!$AV$3:$AV$226</c:f>
              <c:numCache>
                <c:formatCode>0.0%</c:formatCode>
                <c:ptCount val="73"/>
                <c:pt idx="0">
                  <c:v>0.31517509727626458</c:v>
                </c:pt>
                <c:pt idx="1">
                  <c:v>0.50838206627680305</c:v>
                </c:pt>
                <c:pt idx="2">
                  <c:v>0.36734258271077902</c:v>
                </c:pt>
                <c:pt idx="3">
                  <c:v>-0.43139060649914485</c:v>
                </c:pt>
                <c:pt idx="4">
                  <c:v>-0.11653623681524328</c:v>
                </c:pt>
                <c:pt idx="5">
                  <c:v>-0.80523028883684622</c:v>
                </c:pt>
                <c:pt idx="6">
                  <c:v>-0.53967551622418886</c:v>
                </c:pt>
                <c:pt idx="7">
                  <c:v>-0.36475373596250771</c:v>
                </c:pt>
                <c:pt idx="8">
                  <c:v>-0.8650073206442167</c:v>
                </c:pt>
                <c:pt idx="9">
                  <c:v>2.5617647058823527</c:v>
                </c:pt>
                <c:pt idx="10">
                  <c:v>-0.81976466846875495</c:v>
                </c:pt>
                <c:pt idx="11">
                  <c:v>-0.58272532188841208</c:v>
                </c:pt>
                <c:pt idx="12">
                  <c:v>-0.62337662337662336</c:v>
                </c:pt>
                <c:pt idx="13">
                  <c:v>-0.82389347336834207</c:v>
                </c:pt>
                <c:pt idx="14">
                  <c:v>-0.82475195822454306</c:v>
                </c:pt>
                <c:pt idx="15">
                  <c:v>-0.46514701024116289</c:v>
                </c:pt>
                <c:pt idx="16">
                  <c:v>-0.44565073480736128</c:v>
                </c:pt>
                <c:pt idx="17">
                  <c:v>-0.48498056308163506</c:v>
                </c:pt>
                <c:pt idx="18">
                  <c:v>-0.8270484831301389</c:v>
                </c:pt>
                <c:pt idx="19">
                  <c:v>-0.11087113030957518</c:v>
                </c:pt>
                <c:pt idx="20">
                  <c:v>-1.0119945830915071</c:v>
                </c:pt>
                <c:pt idx="21">
                  <c:v>-1</c:v>
                </c:pt>
                <c:pt idx="22">
                  <c:v>-1</c:v>
                </c:pt>
                <c:pt idx="23">
                  <c:v>-0.68757259001161442</c:v>
                </c:pt>
                <c:pt idx="24">
                  <c:v>-0.75736543909348442</c:v>
                </c:pt>
                <c:pt idx="25">
                  <c:v>-0.86883731670707776</c:v>
                </c:pt>
                <c:pt idx="26">
                  <c:v>-1</c:v>
                </c:pt>
                <c:pt idx="27">
                  <c:v>-0.30878186968838528</c:v>
                </c:pt>
                <c:pt idx="28">
                  <c:v>-0.91686809392265189</c:v>
                </c:pt>
                <c:pt idx="29">
                  <c:v>-0.54301020923885579</c:v>
                </c:pt>
                <c:pt idx="30">
                  <c:v>-0.64887063655030808</c:v>
                </c:pt>
                <c:pt idx="31">
                  <c:v>-0.55460932510112837</c:v>
                </c:pt>
                <c:pt idx="32">
                  <c:v>-1.5742630385487528</c:v>
                </c:pt>
                <c:pt idx="33">
                  <c:v>-0.95766871165644174</c:v>
                </c:pt>
                <c:pt idx="34">
                  <c:v>-0.35517621145374445</c:v>
                </c:pt>
                <c:pt idx="35">
                  <c:v>-0.28121946452999802</c:v>
                </c:pt>
                <c:pt idx="36">
                  <c:v>-0.5394402035623409</c:v>
                </c:pt>
                <c:pt idx="37">
                  <c:v>-0.26389866291344122</c:v>
                </c:pt>
                <c:pt idx="38">
                  <c:v>-5.3702010968921354E-2</c:v>
                </c:pt>
                <c:pt idx="39">
                  <c:v>1.2858192505511568E-3</c:v>
                </c:pt>
                <c:pt idx="40">
                  <c:v>-1.0027493508477165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-0.42272620996025256</c:v>
                </c:pt>
                <c:pt idx="47">
                  <c:v>0.72721382289416847</c:v>
                </c:pt>
                <c:pt idx="48">
                  <c:v>0.29986149584487531</c:v>
                </c:pt>
                <c:pt idx="49">
                  <c:v>2.4046184738955825</c:v>
                </c:pt>
                <c:pt idx="50">
                  <c:v>2.7091946734305643</c:v>
                </c:pt>
                <c:pt idx="51">
                  <c:v>1.8703643985811027</c:v>
                </c:pt>
                <c:pt idx="52">
                  <c:v>-0.28776157260621438</c:v>
                </c:pt>
                <c:pt idx="53">
                  <c:v>1.2608173076923075</c:v>
                </c:pt>
                <c:pt idx="54">
                  <c:v>-0.68060656320341195</c:v>
                </c:pt>
                <c:pt idx="55">
                  <c:v>-1.4026615969581748</c:v>
                </c:pt>
                <c:pt idx="56">
                  <c:v>-0.53064775160599575</c:v>
                </c:pt>
                <c:pt idx="57">
                  <c:v>-0.45226308345120225</c:v>
                </c:pt>
                <c:pt idx="58">
                  <c:v>-5.6114269056988797E-2</c:v>
                </c:pt>
                <c:pt idx="59">
                  <c:v>-1</c:v>
                </c:pt>
                <c:pt idx="60">
                  <c:v>2.918938053097345</c:v>
                </c:pt>
                <c:pt idx="61">
                  <c:v>-0.57936881771078663</c:v>
                </c:pt>
                <c:pt idx="62">
                  <c:v>7.3913043478260887E-2</c:v>
                </c:pt>
                <c:pt idx="63">
                  <c:v>0.22185970636215324</c:v>
                </c:pt>
                <c:pt idx="64">
                  <c:v>0.18517959553274976</c:v>
                </c:pt>
                <c:pt idx="65">
                  <c:v>1.5743738285909012</c:v>
                </c:pt>
                <c:pt idx="66">
                  <c:v>0.22682651376943785</c:v>
                </c:pt>
                <c:pt idx="67">
                  <c:v>-0.25445544554455446</c:v>
                </c:pt>
                <c:pt idx="68">
                  <c:v>0.473295505719175</c:v>
                </c:pt>
                <c:pt idx="69">
                  <c:v>0.36412502488552656</c:v>
                </c:pt>
                <c:pt idx="70">
                  <c:v>0.87627017334130297</c:v>
                </c:pt>
                <c:pt idx="71">
                  <c:v>-0.69256240448293427</c:v>
                </c:pt>
                <c:pt idx="72">
                  <c:v>0.51277533039647571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89-4681-8688-796994F29DC6}"/>
            </c:ext>
          </c:extLst>
        </c:ser>
        <c:ser>
          <c:idx val="4"/>
          <c:order val="4"/>
          <c:tx>
            <c:strRef>
              <c:f>crecimientos!$AW$2</c:f>
              <c:strCache>
                <c:ptCount val="1"/>
                <c:pt idx="0">
                  <c:v>Ent. en Tienda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crecimientos!$AN$3:$AN$226</c:f>
              <c:numCache>
                <c:formatCode>[$-F800]dddd", "mmmm\ dd", "yyyy</c:formatCode>
                <c:ptCount val="73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  <c:pt idx="31">
                  <c:v>46205</c:v>
                </c:pt>
                <c:pt idx="32">
                  <c:v>46206</c:v>
                </c:pt>
                <c:pt idx="33">
                  <c:v>46207</c:v>
                </c:pt>
                <c:pt idx="34">
                  <c:v>46208</c:v>
                </c:pt>
                <c:pt idx="35">
                  <c:v>46209</c:v>
                </c:pt>
                <c:pt idx="36">
                  <c:v>46210</c:v>
                </c:pt>
                <c:pt idx="37">
                  <c:v>46211</c:v>
                </c:pt>
                <c:pt idx="38">
                  <c:v>46212</c:v>
                </c:pt>
                <c:pt idx="39">
                  <c:v>46213</c:v>
                </c:pt>
                <c:pt idx="40">
                  <c:v>46214</c:v>
                </c:pt>
                <c:pt idx="41">
                  <c:v>46215</c:v>
                </c:pt>
                <c:pt idx="42">
                  <c:v>46216</c:v>
                </c:pt>
                <c:pt idx="43">
                  <c:v>46217</c:v>
                </c:pt>
                <c:pt idx="44">
                  <c:v>46218</c:v>
                </c:pt>
                <c:pt idx="45">
                  <c:v>46219</c:v>
                </c:pt>
                <c:pt idx="46">
                  <c:v>46220</c:v>
                </c:pt>
                <c:pt idx="47">
                  <c:v>46221</c:v>
                </c:pt>
                <c:pt idx="48">
                  <c:v>46222</c:v>
                </c:pt>
                <c:pt idx="49">
                  <c:v>46223</c:v>
                </c:pt>
                <c:pt idx="50">
                  <c:v>46224</c:v>
                </c:pt>
                <c:pt idx="51">
                  <c:v>46225</c:v>
                </c:pt>
                <c:pt idx="52">
                  <c:v>46226</c:v>
                </c:pt>
                <c:pt idx="53">
                  <c:v>46227</c:v>
                </c:pt>
                <c:pt idx="54">
                  <c:v>46228</c:v>
                </c:pt>
                <c:pt idx="55">
                  <c:v>46229</c:v>
                </c:pt>
                <c:pt idx="56">
                  <c:v>46230</c:v>
                </c:pt>
                <c:pt idx="57">
                  <c:v>46231</c:v>
                </c:pt>
                <c:pt idx="58">
                  <c:v>46232</c:v>
                </c:pt>
                <c:pt idx="59">
                  <c:v>46233</c:v>
                </c:pt>
                <c:pt idx="60">
                  <c:v>46234</c:v>
                </c:pt>
                <c:pt idx="61">
                  <c:v>46235</c:v>
                </c:pt>
                <c:pt idx="62">
                  <c:v>46236</c:v>
                </c:pt>
                <c:pt idx="63">
                  <c:v>46237</c:v>
                </c:pt>
                <c:pt idx="64">
                  <c:v>46238</c:v>
                </c:pt>
                <c:pt idx="65">
                  <c:v>46239</c:v>
                </c:pt>
                <c:pt idx="66">
                  <c:v>46240</c:v>
                </c:pt>
                <c:pt idx="67">
                  <c:v>46241</c:v>
                </c:pt>
                <c:pt idx="68">
                  <c:v>46242</c:v>
                </c:pt>
                <c:pt idx="69">
                  <c:v>46243</c:v>
                </c:pt>
                <c:pt idx="70">
                  <c:v>46244</c:v>
                </c:pt>
                <c:pt idx="71">
                  <c:v>46245</c:v>
                </c:pt>
                <c:pt idx="72">
                  <c:v>46246</c:v>
                </c:pt>
              </c:numCache>
            </c:numRef>
          </c:cat>
          <c:val>
            <c:numRef>
              <c:f>crecimientos!$AW$3:$AW$226</c:f>
              <c:numCache>
                <c:formatCode>0.0%</c:formatCode>
                <c:ptCount val="73"/>
                <c:pt idx="0">
                  <c:v>-0.30741276347042912</c:v>
                </c:pt>
                <c:pt idx="1">
                  <c:v>-0.15268029701963182</c:v>
                </c:pt>
                <c:pt idx="2">
                  <c:v>-0.17399300960331199</c:v>
                </c:pt>
                <c:pt idx="3">
                  <c:v>-0.4907342436128973</c:v>
                </c:pt>
                <c:pt idx="4">
                  <c:v>-0.22909935379644586</c:v>
                </c:pt>
                <c:pt idx="5">
                  <c:v>-0.37634744670808407</c:v>
                </c:pt>
                <c:pt idx="6">
                  <c:v>-3.7037903056094668E-2</c:v>
                </c:pt>
                <c:pt idx="7">
                  <c:v>0.70213270766878444</c:v>
                </c:pt>
                <c:pt idx="8">
                  <c:v>0.3013837135326729</c:v>
                </c:pt>
                <c:pt idx="9">
                  <c:v>0.10440237948444508</c:v>
                </c:pt>
                <c:pt idx="10">
                  <c:v>0.24665266006694675</c:v>
                </c:pt>
                <c:pt idx="11">
                  <c:v>-0.15210136024189824</c:v>
                </c:pt>
                <c:pt idx="12">
                  <c:v>-0.44245699497640434</c:v>
                </c:pt>
                <c:pt idx="13">
                  <c:v>-0.39074183715983601</c:v>
                </c:pt>
                <c:pt idx="14">
                  <c:v>0.31988192435193108</c:v>
                </c:pt>
                <c:pt idx="15">
                  <c:v>0.13087874823780443</c:v>
                </c:pt>
                <c:pt idx="16">
                  <c:v>0.19072435841289304</c:v>
                </c:pt>
                <c:pt idx="17">
                  <c:v>0.71193267404545146</c:v>
                </c:pt>
                <c:pt idx="18">
                  <c:v>-0.25054917239945396</c:v>
                </c:pt>
                <c:pt idx="19">
                  <c:v>0.49071828303025278</c:v>
                </c:pt>
                <c:pt idx="20">
                  <c:v>-0.27524826270907776</c:v>
                </c:pt>
                <c:pt idx="21">
                  <c:v>-0.43523906156171699</c:v>
                </c:pt>
                <c:pt idx="22">
                  <c:v>-0.54757084049015003</c:v>
                </c:pt>
                <c:pt idx="23">
                  <c:v>-0.47476939317521094</c:v>
                </c:pt>
                <c:pt idx="24">
                  <c:v>-0.33730681123215822</c:v>
                </c:pt>
                <c:pt idx="25">
                  <c:v>0.40078164179362585</c:v>
                </c:pt>
                <c:pt idx="26">
                  <c:v>0.24280288435074593</c:v>
                </c:pt>
                <c:pt idx="27">
                  <c:v>-0.52550835402080831</c:v>
                </c:pt>
                <c:pt idx="28">
                  <c:v>3.0939445317623715E-4</c:v>
                </c:pt>
                <c:pt idx="29">
                  <c:v>0.12767276943403338</c:v>
                </c:pt>
                <c:pt idx="30">
                  <c:v>4.9826859270635682E-2</c:v>
                </c:pt>
                <c:pt idx="31">
                  <c:v>-6.8993102851830246E-2</c:v>
                </c:pt>
                <c:pt idx="32">
                  <c:v>-0.21038685744568097</c:v>
                </c:pt>
                <c:pt idx="33">
                  <c:v>0.1500288697117711</c:v>
                </c:pt>
                <c:pt idx="34">
                  <c:v>-0.46448357340239488</c:v>
                </c:pt>
                <c:pt idx="35">
                  <c:v>-0.47268538832821416</c:v>
                </c:pt>
                <c:pt idx="36">
                  <c:v>2.5395119165589009E-2</c:v>
                </c:pt>
                <c:pt idx="37">
                  <c:v>-3.9235584421133618E-2</c:v>
                </c:pt>
                <c:pt idx="38">
                  <c:v>-0.70137419489850483</c:v>
                </c:pt>
                <c:pt idx="39">
                  <c:v>0.89221774382528007</c:v>
                </c:pt>
                <c:pt idx="40">
                  <c:v>0.48577606784801586</c:v>
                </c:pt>
                <c:pt idx="41">
                  <c:v>-0.34711915769843427</c:v>
                </c:pt>
                <c:pt idx="42">
                  <c:v>-1.1170851871402359</c:v>
                </c:pt>
                <c:pt idx="43">
                  <c:v>-0.99605561033874535</c:v>
                </c:pt>
                <c:pt idx="44">
                  <c:v>-1.0328715178234897</c:v>
                </c:pt>
                <c:pt idx="45">
                  <c:v>-0.94456126572337007</c:v>
                </c:pt>
                <c:pt idx="46">
                  <c:v>-1.0090527279991426</c:v>
                </c:pt>
                <c:pt idx="47">
                  <c:v>-1.0193878052979806</c:v>
                </c:pt>
                <c:pt idx="48">
                  <c:v>-1.0589650428005306</c:v>
                </c:pt>
                <c:pt idx="49">
                  <c:v>-0.96844324484013478</c:v>
                </c:pt>
                <c:pt idx="50">
                  <c:v>-0.97556035224375515</c:v>
                </c:pt>
                <c:pt idx="51">
                  <c:v>-0.18249198530717536</c:v>
                </c:pt>
                <c:pt idx="52">
                  <c:v>-0.26361897522039257</c:v>
                </c:pt>
                <c:pt idx="53">
                  <c:v>-1.8284296968781311E-3</c:v>
                </c:pt>
                <c:pt idx="54">
                  <c:v>-0.18648295781941782</c:v>
                </c:pt>
                <c:pt idx="55">
                  <c:v>-0.20043750580417485</c:v>
                </c:pt>
                <c:pt idx="56">
                  <c:v>-5.226933316018445E-2</c:v>
                </c:pt>
                <c:pt idx="57">
                  <c:v>-5.0510986000492308E-2</c:v>
                </c:pt>
                <c:pt idx="58">
                  <c:v>-0.49976146663940568</c:v>
                </c:pt>
                <c:pt idx="59">
                  <c:v>-0.24487856789935769</c:v>
                </c:pt>
                <c:pt idx="60">
                  <c:v>-0.57069273127100506</c:v>
                </c:pt>
                <c:pt idx="61">
                  <c:v>-2.4490121823242283E-2</c:v>
                </c:pt>
                <c:pt idx="62">
                  <c:v>-0.45340356870243426</c:v>
                </c:pt>
                <c:pt idx="63">
                  <c:v>-0.10429631239979342</c:v>
                </c:pt>
                <c:pt idx="64">
                  <c:v>-0.22535455861070908</c:v>
                </c:pt>
                <c:pt idx="65">
                  <c:v>-0.15116155157715261</c:v>
                </c:pt>
                <c:pt idx="66">
                  <c:v>-0.36220625509357218</c:v>
                </c:pt>
                <c:pt idx="67">
                  <c:v>0.13765464985496956</c:v>
                </c:pt>
                <c:pt idx="68">
                  <c:v>0.17356354434797794</c:v>
                </c:pt>
                <c:pt idx="69">
                  <c:v>-0.61803672123470754</c:v>
                </c:pt>
                <c:pt idx="70">
                  <c:v>-0.10643133712881181</c:v>
                </c:pt>
                <c:pt idx="71">
                  <c:v>0.39840001636811895</c:v>
                </c:pt>
                <c:pt idx="72">
                  <c:v>-0.22912417260873275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89-4681-8688-796994F29DC6}"/>
            </c:ext>
          </c:extLst>
        </c:ser>
        <c:ser>
          <c:idx val="5"/>
          <c:order val="5"/>
          <c:tx>
            <c:strRef>
              <c:f>crecimientos!$AX$2</c:f>
              <c:strCache>
                <c:ptCount val="1"/>
                <c:pt idx="0">
                  <c:v>Meli Drop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crecimientos!$AN$3:$AN$226</c:f>
              <c:numCache>
                <c:formatCode>[$-F800]dddd", "mmmm\ dd", "yyyy</c:formatCode>
                <c:ptCount val="73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  <c:pt idx="31">
                  <c:v>46205</c:v>
                </c:pt>
                <c:pt idx="32">
                  <c:v>46206</c:v>
                </c:pt>
                <c:pt idx="33">
                  <c:v>46207</c:v>
                </c:pt>
                <c:pt idx="34">
                  <c:v>46208</c:v>
                </c:pt>
                <c:pt idx="35">
                  <c:v>46209</c:v>
                </c:pt>
                <c:pt idx="36">
                  <c:v>46210</c:v>
                </c:pt>
                <c:pt idx="37">
                  <c:v>46211</c:v>
                </c:pt>
                <c:pt idx="38">
                  <c:v>46212</c:v>
                </c:pt>
                <c:pt idx="39">
                  <c:v>46213</c:v>
                </c:pt>
                <c:pt idx="40">
                  <c:v>46214</c:v>
                </c:pt>
                <c:pt idx="41">
                  <c:v>46215</c:v>
                </c:pt>
                <c:pt idx="42">
                  <c:v>46216</c:v>
                </c:pt>
                <c:pt idx="43">
                  <c:v>46217</c:v>
                </c:pt>
                <c:pt idx="44">
                  <c:v>46218</c:v>
                </c:pt>
                <c:pt idx="45">
                  <c:v>46219</c:v>
                </c:pt>
                <c:pt idx="46">
                  <c:v>46220</c:v>
                </c:pt>
                <c:pt idx="47">
                  <c:v>46221</c:v>
                </c:pt>
                <c:pt idx="48">
                  <c:v>46222</c:v>
                </c:pt>
                <c:pt idx="49">
                  <c:v>46223</c:v>
                </c:pt>
                <c:pt idx="50">
                  <c:v>46224</c:v>
                </c:pt>
                <c:pt idx="51">
                  <c:v>46225</c:v>
                </c:pt>
                <c:pt idx="52">
                  <c:v>46226</c:v>
                </c:pt>
                <c:pt idx="53">
                  <c:v>46227</c:v>
                </c:pt>
                <c:pt idx="54">
                  <c:v>46228</c:v>
                </c:pt>
                <c:pt idx="55">
                  <c:v>46229</c:v>
                </c:pt>
                <c:pt idx="56">
                  <c:v>46230</c:v>
                </c:pt>
                <c:pt idx="57">
                  <c:v>46231</c:v>
                </c:pt>
                <c:pt idx="58">
                  <c:v>46232</c:v>
                </c:pt>
                <c:pt idx="59">
                  <c:v>46233</c:v>
                </c:pt>
                <c:pt idx="60">
                  <c:v>46234</c:v>
                </c:pt>
                <c:pt idx="61">
                  <c:v>46235</c:v>
                </c:pt>
                <c:pt idx="62">
                  <c:v>46236</c:v>
                </c:pt>
                <c:pt idx="63">
                  <c:v>46237</c:v>
                </c:pt>
                <c:pt idx="64">
                  <c:v>46238</c:v>
                </c:pt>
                <c:pt idx="65">
                  <c:v>46239</c:v>
                </c:pt>
                <c:pt idx="66">
                  <c:v>46240</c:v>
                </c:pt>
                <c:pt idx="67">
                  <c:v>46241</c:v>
                </c:pt>
                <c:pt idx="68">
                  <c:v>46242</c:v>
                </c:pt>
                <c:pt idx="69">
                  <c:v>46243</c:v>
                </c:pt>
                <c:pt idx="70">
                  <c:v>46244</c:v>
                </c:pt>
                <c:pt idx="71">
                  <c:v>46245</c:v>
                </c:pt>
                <c:pt idx="72">
                  <c:v>46246</c:v>
                </c:pt>
              </c:numCache>
            </c:numRef>
          </c:cat>
          <c:val>
            <c:numRef>
              <c:f>crecimientos!$AX$3:$AX$226</c:f>
              <c:numCache>
                <c:formatCode>0.0%</c:formatCode>
                <c:ptCount val="73"/>
                <c:pt idx="0">
                  <c:v>-0.18723500180968899</c:v>
                </c:pt>
                <c:pt idx="1">
                  <c:v>-0.33021818291771599</c:v>
                </c:pt>
                <c:pt idx="2">
                  <c:v>-0.31822916600905793</c:v>
                </c:pt>
                <c:pt idx="3">
                  <c:v>-0.49149598588361376</c:v>
                </c:pt>
                <c:pt idx="4">
                  <c:v>-0.4136668334167084</c:v>
                </c:pt>
                <c:pt idx="5">
                  <c:v>-0.30475226197343319</c:v>
                </c:pt>
                <c:pt idx="6">
                  <c:v>-0.18072135472570416</c:v>
                </c:pt>
                <c:pt idx="7">
                  <c:v>-8.3650792602813939E-2</c:v>
                </c:pt>
                <c:pt idx="8">
                  <c:v>-0.42078698403133474</c:v>
                </c:pt>
                <c:pt idx="9">
                  <c:v>-0.56129775242980562</c:v>
                </c:pt>
                <c:pt idx="10">
                  <c:v>-0.56483405882266058</c:v>
                </c:pt>
                <c:pt idx="11">
                  <c:v>-0.26031200319521342</c:v>
                </c:pt>
                <c:pt idx="12">
                  <c:v>-0.36351180877461275</c:v>
                </c:pt>
                <c:pt idx="13">
                  <c:v>-0.32101062297997962</c:v>
                </c:pt>
                <c:pt idx="14">
                  <c:v>-0.14688503402734299</c:v>
                </c:pt>
                <c:pt idx="15">
                  <c:v>-2.8299179449754797E-2</c:v>
                </c:pt>
                <c:pt idx="16">
                  <c:v>0.2065680741824345</c:v>
                </c:pt>
                <c:pt idx="17">
                  <c:v>0.24112391899168162</c:v>
                </c:pt>
                <c:pt idx="18">
                  <c:v>-0.38293155156435843</c:v>
                </c:pt>
                <c:pt idx="19">
                  <c:v>0.21378672693651124</c:v>
                </c:pt>
                <c:pt idx="20">
                  <c:v>3.3380292940084066</c:v>
                </c:pt>
                <c:pt idx="21">
                  <c:v>-0.5216699798063742</c:v>
                </c:pt>
                <c:pt idx="22">
                  <c:v>3.5578389246574194E-2</c:v>
                </c:pt>
                <c:pt idx="23">
                  <c:v>-0.44088716389906968</c:v>
                </c:pt>
                <c:pt idx="24">
                  <c:v>-1.3851511793572246E-4</c:v>
                </c:pt>
                <c:pt idx="25">
                  <c:v>-0.17899402445474133</c:v>
                </c:pt>
                <c:pt idx="26">
                  <c:v>-0.16465393329112765</c:v>
                </c:pt>
                <c:pt idx="27">
                  <c:v>0.33335435131290114</c:v>
                </c:pt>
                <c:pt idx="28">
                  <c:v>-0.45112134106970891</c:v>
                </c:pt>
                <c:pt idx="29">
                  <c:v>0.23922907955837291</c:v>
                </c:pt>
                <c:pt idx="30">
                  <c:v>0.20094646611056177</c:v>
                </c:pt>
                <c:pt idx="31">
                  <c:v>-4.2600406200434371E-2</c:v>
                </c:pt>
                <c:pt idx="32">
                  <c:v>-0.19036991708961759</c:v>
                </c:pt>
                <c:pt idx="33">
                  <c:v>0.17914638943662498</c:v>
                </c:pt>
                <c:pt idx="34">
                  <c:v>0.83188968343905634</c:v>
                </c:pt>
                <c:pt idx="35">
                  <c:v>-0.40414620060334783</c:v>
                </c:pt>
                <c:pt idx="36">
                  <c:v>8.9771463321643319E-2</c:v>
                </c:pt>
                <c:pt idx="37">
                  <c:v>8.3327590365597226E-2</c:v>
                </c:pt>
                <c:pt idx="38">
                  <c:v>-0.4026283250432019</c:v>
                </c:pt>
                <c:pt idx="39">
                  <c:v>-0.31219464141263931</c:v>
                </c:pt>
                <c:pt idx="40">
                  <c:v>-0.51679129956175018</c:v>
                </c:pt>
                <c:pt idx="41">
                  <c:v>-0.91440323036686222</c:v>
                </c:pt>
                <c:pt idx="42">
                  <c:v>-1</c:v>
                </c:pt>
                <c:pt idx="43">
                  <c:v>-1</c:v>
                </c:pt>
                <c:pt idx="44">
                  <c:v>4.3865144893371344E-2</c:v>
                </c:pt>
                <c:pt idx="45">
                  <c:v>-0.86539239014032776</c:v>
                </c:pt>
                <c:pt idx="46">
                  <c:v>-0.75640687527949457</c:v>
                </c:pt>
                <c:pt idx="47">
                  <c:v>-0.98450960852413771</c:v>
                </c:pt>
                <c:pt idx="48">
                  <c:v>-0.61663807172448426</c:v>
                </c:pt>
                <c:pt idx="49">
                  <c:v>-0.6452589854362446</c:v>
                </c:pt>
                <c:pt idx="50">
                  <c:v>-0.51762479922662286</c:v>
                </c:pt>
                <c:pt idx="51">
                  <c:v>-1.2068950244268295</c:v>
                </c:pt>
                <c:pt idx="52">
                  <c:v>-0.64947679374726519</c:v>
                </c:pt>
                <c:pt idx="53">
                  <c:v>-1.1364626398424138</c:v>
                </c:pt>
                <c:pt idx="54">
                  <c:v>-0.48948206904470304</c:v>
                </c:pt>
                <c:pt idx="55">
                  <c:v>-0.37388820800140066</c:v>
                </c:pt>
                <c:pt idx="56">
                  <c:v>-0.55739217324526924</c:v>
                </c:pt>
                <c:pt idx="57">
                  <c:v>-0.50276826460352875</c:v>
                </c:pt>
                <c:pt idx="58">
                  <c:v>-0.40995337061637038</c:v>
                </c:pt>
                <c:pt idx="59">
                  <c:v>-0.3087738226026091</c:v>
                </c:pt>
                <c:pt idx="60">
                  <c:v>-0.38369321198759854</c:v>
                </c:pt>
                <c:pt idx="61">
                  <c:v>-0.5188378308474868</c:v>
                </c:pt>
                <c:pt idx="62">
                  <c:v>-0.45392442658330612</c:v>
                </c:pt>
                <c:pt idx="63">
                  <c:v>-0.367240985356175</c:v>
                </c:pt>
                <c:pt idx="64">
                  <c:v>-0.43363935249373409</c:v>
                </c:pt>
                <c:pt idx="65">
                  <c:v>-0.48029102336384755</c:v>
                </c:pt>
                <c:pt idx="66">
                  <c:v>-0.41290497034020046</c:v>
                </c:pt>
                <c:pt idx="67">
                  <c:v>-0.50773472581036994</c:v>
                </c:pt>
                <c:pt idx="68">
                  <c:v>-0.21582194467362381</c:v>
                </c:pt>
                <c:pt idx="69">
                  <c:v>-0.27533734036571977</c:v>
                </c:pt>
                <c:pt idx="70">
                  <c:v>-0.30201680336523917</c:v>
                </c:pt>
                <c:pt idx="71">
                  <c:v>-0.34678539171894296</c:v>
                </c:pt>
                <c:pt idx="72">
                  <c:v>-0.32317177188860791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89-4681-8688-796994F29DC6}"/>
            </c:ext>
          </c:extLst>
        </c:ser>
        <c:ser>
          <c:idx val="6"/>
          <c:order val="6"/>
          <c:tx>
            <c:strRef>
              <c:f>crecimientos!$AY$2</c:f>
              <c:strCache>
                <c:ptCount val="1"/>
                <c:pt idx="0">
                  <c:v>Meli Full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crecimientos!$AN$3:$AN$226</c:f>
              <c:numCache>
                <c:formatCode>[$-F800]dddd", "mmmm\ dd", "yyyy</c:formatCode>
                <c:ptCount val="73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  <c:pt idx="31">
                  <c:v>46205</c:v>
                </c:pt>
                <c:pt idx="32">
                  <c:v>46206</c:v>
                </c:pt>
                <c:pt idx="33">
                  <c:v>46207</c:v>
                </c:pt>
                <c:pt idx="34">
                  <c:v>46208</c:v>
                </c:pt>
                <c:pt idx="35">
                  <c:v>46209</c:v>
                </c:pt>
                <c:pt idx="36">
                  <c:v>46210</c:v>
                </c:pt>
                <c:pt idx="37">
                  <c:v>46211</c:v>
                </c:pt>
                <c:pt idx="38">
                  <c:v>46212</c:v>
                </c:pt>
                <c:pt idx="39">
                  <c:v>46213</c:v>
                </c:pt>
                <c:pt idx="40">
                  <c:v>46214</c:v>
                </c:pt>
                <c:pt idx="41">
                  <c:v>46215</c:v>
                </c:pt>
                <c:pt idx="42">
                  <c:v>46216</c:v>
                </c:pt>
                <c:pt idx="43">
                  <c:v>46217</c:v>
                </c:pt>
                <c:pt idx="44">
                  <c:v>46218</c:v>
                </c:pt>
                <c:pt idx="45">
                  <c:v>46219</c:v>
                </c:pt>
                <c:pt idx="46">
                  <c:v>46220</c:v>
                </c:pt>
                <c:pt idx="47">
                  <c:v>46221</c:v>
                </c:pt>
                <c:pt idx="48">
                  <c:v>46222</c:v>
                </c:pt>
                <c:pt idx="49">
                  <c:v>46223</c:v>
                </c:pt>
                <c:pt idx="50">
                  <c:v>46224</c:v>
                </c:pt>
                <c:pt idx="51">
                  <c:v>46225</c:v>
                </c:pt>
                <c:pt idx="52">
                  <c:v>46226</c:v>
                </c:pt>
                <c:pt idx="53">
                  <c:v>46227</c:v>
                </c:pt>
                <c:pt idx="54">
                  <c:v>46228</c:v>
                </c:pt>
                <c:pt idx="55">
                  <c:v>46229</c:v>
                </c:pt>
                <c:pt idx="56">
                  <c:v>46230</c:v>
                </c:pt>
                <c:pt idx="57">
                  <c:v>46231</c:v>
                </c:pt>
                <c:pt idx="58">
                  <c:v>46232</c:v>
                </c:pt>
                <c:pt idx="59">
                  <c:v>46233</c:v>
                </c:pt>
                <c:pt idx="60">
                  <c:v>46234</c:v>
                </c:pt>
                <c:pt idx="61">
                  <c:v>46235</c:v>
                </c:pt>
                <c:pt idx="62">
                  <c:v>46236</c:v>
                </c:pt>
                <c:pt idx="63">
                  <c:v>46237</c:v>
                </c:pt>
                <c:pt idx="64">
                  <c:v>46238</c:v>
                </c:pt>
                <c:pt idx="65">
                  <c:v>46239</c:v>
                </c:pt>
                <c:pt idx="66">
                  <c:v>46240</c:v>
                </c:pt>
                <c:pt idx="67">
                  <c:v>46241</c:v>
                </c:pt>
                <c:pt idx="68">
                  <c:v>46242</c:v>
                </c:pt>
                <c:pt idx="69">
                  <c:v>46243</c:v>
                </c:pt>
                <c:pt idx="70">
                  <c:v>46244</c:v>
                </c:pt>
                <c:pt idx="71">
                  <c:v>46245</c:v>
                </c:pt>
                <c:pt idx="72">
                  <c:v>46246</c:v>
                </c:pt>
              </c:numCache>
            </c:numRef>
          </c:cat>
          <c:val>
            <c:numRef>
              <c:f>crecimientos!$AY$3:$AY$226</c:f>
              <c:numCache>
                <c:formatCode>0.0%</c:formatCode>
                <c:ptCount val="73"/>
                <c:pt idx="0">
                  <c:v>-0.5188095339494343</c:v>
                </c:pt>
                <c:pt idx="1">
                  <c:v>-0.57502165566185193</c:v>
                </c:pt>
                <c:pt idx="2">
                  <c:v>-0.54804047398740408</c:v>
                </c:pt>
                <c:pt idx="3">
                  <c:v>-0.29965354982160397</c:v>
                </c:pt>
                <c:pt idx="4">
                  <c:v>-8.0461857667266656E-3</c:v>
                </c:pt>
                <c:pt idx="5">
                  <c:v>0.62623581026918473</c:v>
                </c:pt>
                <c:pt idx="6">
                  <c:v>0.44150276274728739</c:v>
                </c:pt>
                <c:pt idx="7">
                  <c:v>0.34970295366916937</c:v>
                </c:pt>
                <c:pt idx="8">
                  <c:v>0.14271433611666473</c:v>
                </c:pt>
                <c:pt idx="9">
                  <c:v>1.5155979389592789E-2</c:v>
                </c:pt>
                <c:pt idx="10">
                  <c:v>0.64173432635370253</c:v>
                </c:pt>
                <c:pt idx="11">
                  <c:v>0.53400509004398455</c:v>
                </c:pt>
                <c:pt idx="12">
                  <c:v>0.45526794591706299</c:v>
                </c:pt>
                <c:pt idx="13">
                  <c:v>0.41941166983039913</c:v>
                </c:pt>
                <c:pt idx="14">
                  <c:v>0.55570049005477085</c:v>
                </c:pt>
                <c:pt idx="15">
                  <c:v>0.17013718845292436</c:v>
                </c:pt>
                <c:pt idx="16">
                  <c:v>0.28773254332313969</c:v>
                </c:pt>
                <c:pt idx="17">
                  <c:v>0.29863381041541048</c:v>
                </c:pt>
                <c:pt idx="18">
                  <c:v>0.58277187152802545</c:v>
                </c:pt>
                <c:pt idx="19">
                  <c:v>0.86408555734743131</c:v>
                </c:pt>
                <c:pt idx="20">
                  <c:v>0.27541015291065474</c:v>
                </c:pt>
                <c:pt idx="21">
                  <c:v>0.45295820209415161</c:v>
                </c:pt>
                <c:pt idx="22">
                  <c:v>0.21130610523866999</c:v>
                </c:pt>
                <c:pt idx="23">
                  <c:v>0.31684483471731739</c:v>
                </c:pt>
                <c:pt idx="24">
                  <c:v>-0.14140468054595601</c:v>
                </c:pt>
                <c:pt idx="25">
                  <c:v>0.11068980886371116</c:v>
                </c:pt>
                <c:pt idx="26">
                  <c:v>0.14406321110641662</c:v>
                </c:pt>
                <c:pt idx="27">
                  <c:v>0.19820026804518487</c:v>
                </c:pt>
                <c:pt idx="28">
                  <c:v>0.23297267713551983</c:v>
                </c:pt>
                <c:pt idx="29">
                  <c:v>0.51421724772787059</c:v>
                </c:pt>
                <c:pt idx="30">
                  <c:v>0.51486851806340628</c:v>
                </c:pt>
                <c:pt idx="31">
                  <c:v>0.65689906213866633</c:v>
                </c:pt>
                <c:pt idx="32">
                  <c:v>1.8785378986607704E-2</c:v>
                </c:pt>
                <c:pt idx="33">
                  <c:v>-2.3077207104083008E-4</c:v>
                </c:pt>
                <c:pt idx="34">
                  <c:v>-0.16427822439706397</c:v>
                </c:pt>
                <c:pt idx="35">
                  <c:v>-0.25122341109675206</c:v>
                </c:pt>
                <c:pt idx="36">
                  <c:v>-0.10623785729987933</c:v>
                </c:pt>
                <c:pt idx="37">
                  <c:v>0.11444357343142286</c:v>
                </c:pt>
                <c:pt idx="38">
                  <c:v>-0.47878101820131669</c:v>
                </c:pt>
                <c:pt idx="39">
                  <c:v>-0.37503259452411997</c:v>
                </c:pt>
                <c:pt idx="40">
                  <c:v>-0.46354594194860421</c:v>
                </c:pt>
                <c:pt idx="41">
                  <c:v>-0.95250554292110157</c:v>
                </c:pt>
                <c:pt idx="42">
                  <c:v>0.2365357789927689</c:v>
                </c:pt>
                <c:pt idx="43">
                  <c:v>-0.48892220798882036</c:v>
                </c:pt>
                <c:pt idx="44">
                  <c:v>0.30680245487778102</c:v>
                </c:pt>
                <c:pt idx="45">
                  <c:v>-0.12633166099747806</c:v>
                </c:pt>
                <c:pt idx="46">
                  <c:v>0.28990007907411397</c:v>
                </c:pt>
                <c:pt idx="47">
                  <c:v>0.60606931226432037</c:v>
                </c:pt>
                <c:pt idx="48">
                  <c:v>0.35167545348941109</c:v>
                </c:pt>
                <c:pt idx="49">
                  <c:v>-4.2805846928100855E-2</c:v>
                </c:pt>
                <c:pt idx="50">
                  <c:v>-2.0120616244241218E-2</c:v>
                </c:pt>
                <c:pt idx="51">
                  <c:v>-0.23565036608514867</c:v>
                </c:pt>
                <c:pt idx="52">
                  <c:v>0.15967573641544264</c:v>
                </c:pt>
                <c:pt idx="53">
                  <c:v>1.3202622313950307E-3</c:v>
                </c:pt>
                <c:pt idx="54">
                  <c:v>-0.19787265634491047</c:v>
                </c:pt>
                <c:pt idx="55">
                  <c:v>-1.6445540597186614E-2</c:v>
                </c:pt>
                <c:pt idx="56">
                  <c:v>-0.30337791688850879</c:v>
                </c:pt>
                <c:pt idx="57">
                  <c:v>-0.30313229222760729</c:v>
                </c:pt>
                <c:pt idx="58">
                  <c:v>-0.24543980543169841</c:v>
                </c:pt>
                <c:pt idx="59">
                  <c:v>0.1391088614595255</c:v>
                </c:pt>
                <c:pt idx="60">
                  <c:v>0.269141249793172</c:v>
                </c:pt>
                <c:pt idx="61">
                  <c:v>0.69744834063869754</c:v>
                </c:pt>
                <c:pt idx="62">
                  <c:v>0.58180112570356468</c:v>
                </c:pt>
                <c:pt idx="63">
                  <c:v>0.22475425865884402</c:v>
                </c:pt>
                <c:pt idx="64">
                  <c:v>0.20878476254324752</c:v>
                </c:pt>
                <c:pt idx="65">
                  <c:v>0.30394916410781314</c:v>
                </c:pt>
                <c:pt idx="66">
                  <c:v>1.5056525380056685</c:v>
                </c:pt>
                <c:pt idx="67">
                  <c:v>2.5822903813385039</c:v>
                </c:pt>
                <c:pt idx="68">
                  <c:v>1.3997279207705282</c:v>
                </c:pt>
                <c:pt idx="69">
                  <c:v>0.52474281532921063</c:v>
                </c:pt>
                <c:pt idx="70">
                  <c:v>-0.42176313026094869</c:v>
                </c:pt>
                <c:pt idx="71">
                  <c:v>-0.65085073692596596</c:v>
                </c:pt>
                <c:pt idx="72">
                  <c:v>-0.61310054544995107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89-4681-8688-796994F29DC6}"/>
            </c:ext>
          </c:extLst>
        </c:ser>
        <c:ser>
          <c:idx val="7"/>
          <c:order val="7"/>
          <c:tx>
            <c:strRef>
              <c:f>crecimientos!$BA$2</c:f>
              <c:strCache>
                <c:ptCount val="1"/>
                <c:pt idx="0">
                  <c:v>Amazon Drop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crecimientos!$AN$3:$AN$226</c:f>
              <c:numCache>
                <c:formatCode>[$-F800]dddd", "mmmm\ dd", "yyyy</c:formatCode>
                <c:ptCount val="73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  <c:pt idx="31">
                  <c:v>46205</c:v>
                </c:pt>
                <c:pt idx="32">
                  <c:v>46206</c:v>
                </c:pt>
                <c:pt idx="33">
                  <c:v>46207</c:v>
                </c:pt>
                <c:pt idx="34">
                  <c:v>46208</c:v>
                </c:pt>
                <c:pt idx="35">
                  <c:v>46209</c:v>
                </c:pt>
                <c:pt idx="36">
                  <c:v>46210</c:v>
                </c:pt>
                <c:pt idx="37">
                  <c:v>46211</c:v>
                </c:pt>
                <c:pt idx="38">
                  <c:v>46212</c:v>
                </c:pt>
                <c:pt idx="39">
                  <c:v>46213</c:v>
                </c:pt>
                <c:pt idx="40">
                  <c:v>46214</c:v>
                </c:pt>
                <c:pt idx="41">
                  <c:v>46215</c:v>
                </c:pt>
                <c:pt idx="42">
                  <c:v>46216</c:v>
                </c:pt>
                <c:pt idx="43">
                  <c:v>46217</c:v>
                </c:pt>
                <c:pt idx="44">
                  <c:v>46218</c:v>
                </c:pt>
                <c:pt idx="45">
                  <c:v>46219</c:v>
                </c:pt>
                <c:pt idx="46">
                  <c:v>46220</c:v>
                </c:pt>
                <c:pt idx="47">
                  <c:v>46221</c:v>
                </c:pt>
                <c:pt idx="48">
                  <c:v>46222</c:v>
                </c:pt>
                <c:pt idx="49">
                  <c:v>46223</c:v>
                </c:pt>
                <c:pt idx="50">
                  <c:v>46224</c:v>
                </c:pt>
                <c:pt idx="51">
                  <c:v>46225</c:v>
                </c:pt>
                <c:pt idx="52">
                  <c:v>46226</c:v>
                </c:pt>
                <c:pt idx="53">
                  <c:v>46227</c:v>
                </c:pt>
                <c:pt idx="54">
                  <c:v>46228</c:v>
                </c:pt>
                <c:pt idx="55">
                  <c:v>46229</c:v>
                </c:pt>
                <c:pt idx="56">
                  <c:v>46230</c:v>
                </c:pt>
                <c:pt idx="57">
                  <c:v>46231</c:v>
                </c:pt>
                <c:pt idx="58">
                  <c:v>46232</c:v>
                </c:pt>
                <c:pt idx="59">
                  <c:v>46233</c:v>
                </c:pt>
                <c:pt idx="60">
                  <c:v>46234</c:v>
                </c:pt>
                <c:pt idx="61">
                  <c:v>46235</c:v>
                </c:pt>
                <c:pt idx="62">
                  <c:v>46236</c:v>
                </c:pt>
                <c:pt idx="63">
                  <c:v>46237</c:v>
                </c:pt>
                <c:pt idx="64">
                  <c:v>46238</c:v>
                </c:pt>
                <c:pt idx="65">
                  <c:v>46239</c:v>
                </c:pt>
                <c:pt idx="66">
                  <c:v>46240</c:v>
                </c:pt>
                <c:pt idx="67">
                  <c:v>46241</c:v>
                </c:pt>
                <c:pt idx="68">
                  <c:v>46242</c:v>
                </c:pt>
                <c:pt idx="69">
                  <c:v>46243</c:v>
                </c:pt>
                <c:pt idx="70">
                  <c:v>46244</c:v>
                </c:pt>
                <c:pt idx="71">
                  <c:v>46245</c:v>
                </c:pt>
                <c:pt idx="72">
                  <c:v>46246</c:v>
                </c:pt>
              </c:numCache>
            </c:numRef>
          </c:cat>
          <c:val>
            <c:numRef>
              <c:f>crecimientos!$BA$3:$BA$226</c:f>
              <c:numCache>
                <c:formatCode>0.0%</c:formatCode>
                <c:ptCount val="73"/>
                <c:pt idx="0">
                  <c:v>-0.56560242025494922</c:v>
                </c:pt>
                <c:pt idx="1">
                  <c:v>-0.56210849622135706</c:v>
                </c:pt>
                <c:pt idx="2">
                  <c:v>-7.8022209357402228E-2</c:v>
                </c:pt>
                <c:pt idx="3">
                  <c:v>-8.7372165406847446E-2</c:v>
                </c:pt>
                <c:pt idx="4">
                  <c:v>-0.39342057621683135</c:v>
                </c:pt>
                <c:pt idx="5">
                  <c:v>-0.49297423887587821</c:v>
                </c:pt>
                <c:pt idx="6">
                  <c:v>-0.24072398190045252</c:v>
                </c:pt>
                <c:pt idx="7">
                  <c:v>-0.15932350122128436</c:v>
                </c:pt>
                <c:pt idx="8">
                  <c:v>-0.57529314006093624</c:v>
                </c:pt>
                <c:pt idx="9">
                  <c:v>-9.1061405713328325E-2</c:v>
                </c:pt>
                <c:pt idx="10">
                  <c:v>-0.36575932634877117</c:v>
                </c:pt>
                <c:pt idx="11">
                  <c:v>0.89079108268272034</c:v>
                </c:pt>
                <c:pt idx="12">
                  <c:v>0.40572751436165655</c:v>
                </c:pt>
                <c:pt idx="13">
                  <c:v>-0.13776939655172415</c:v>
                </c:pt>
                <c:pt idx="14">
                  <c:v>-0.45971627769253542</c:v>
                </c:pt>
                <c:pt idx="15">
                  <c:v>-0.65417315291581846</c:v>
                </c:pt>
                <c:pt idx="16">
                  <c:v>-0.49342368616686683</c:v>
                </c:pt>
                <c:pt idx="17">
                  <c:v>-0.49895846097291996</c:v>
                </c:pt>
                <c:pt idx="18">
                  <c:v>-0.76677248677248677</c:v>
                </c:pt>
                <c:pt idx="19">
                  <c:v>-0.42317490645649236</c:v>
                </c:pt>
                <c:pt idx="20">
                  <c:v>-0.60408102985699164</c:v>
                </c:pt>
                <c:pt idx="21">
                  <c:v>-0.65051173571259024</c:v>
                </c:pt>
                <c:pt idx="22">
                  <c:v>-0.4032563863757318</c:v>
                </c:pt>
                <c:pt idx="23">
                  <c:v>-0.39420677766184276</c:v>
                </c:pt>
                <c:pt idx="24">
                  <c:v>1.3543583379691082E-2</c:v>
                </c:pt>
                <c:pt idx="25">
                  <c:v>0.46318484383000502</c:v>
                </c:pt>
                <c:pt idx="26">
                  <c:v>0.2322389666307858</c:v>
                </c:pt>
                <c:pt idx="27">
                  <c:v>0.17989588611968488</c:v>
                </c:pt>
                <c:pt idx="28">
                  <c:v>-0.10712212776127561</c:v>
                </c:pt>
                <c:pt idx="29">
                  <c:v>4.7323457621412324E-2</c:v>
                </c:pt>
                <c:pt idx="30">
                  <c:v>0.29148946337267634</c:v>
                </c:pt>
                <c:pt idx="31">
                  <c:v>-5.5791805658119253E-2</c:v>
                </c:pt>
                <c:pt idx="32">
                  <c:v>0.54552015299678858</c:v>
                </c:pt>
                <c:pt idx="33">
                  <c:v>1.2022245888060583</c:v>
                </c:pt>
                <c:pt idx="34">
                  <c:v>0.34875493731753382</c:v>
                </c:pt>
                <c:pt idx="35">
                  <c:v>-0.48156156994047616</c:v>
                </c:pt>
                <c:pt idx="36">
                  <c:v>-0.49297083769025207</c:v>
                </c:pt>
                <c:pt idx="37">
                  <c:v>-0.32192231731402243</c:v>
                </c:pt>
                <c:pt idx="38">
                  <c:v>-0.59649322231379132</c:v>
                </c:pt>
                <c:pt idx="39">
                  <c:v>-0.30146280434991823</c:v>
                </c:pt>
                <c:pt idx="40">
                  <c:v>0.46158660616491942</c:v>
                </c:pt>
                <c:pt idx="41">
                  <c:v>-0.9412062047831169</c:v>
                </c:pt>
                <c:pt idx="42">
                  <c:v>-1</c:v>
                </c:pt>
                <c:pt idx="43">
                  <c:v>-1</c:v>
                </c:pt>
                <c:pt idx="44">
                  <c:v>0.33191157512771952</c:v>
                </c:pt>
                <c:pt idx="45">
                  <c:v>-1</c:v>
                </c:pt>
                <c:pt idx="46">
                  <c:v>-0.84086028297119753</c:v>
                </c:pt>
                <c:pt idx="47">
                  <c:v>-0.64324230802502957</c:v>
                </c:pt>
                <c:pt idx="48">
                  <c:v>-0.22794717887154858</c:v>
                </c:pt>
                <c:pt idx="49">
                  <c:v>-0.67294072981615871</c:v>
                </c:pt>
                <c:pt idx="50">
                  <c:v>-0.36156975352955256</c:v>
                </c:pt>
                <c:pt idx="51">
                  <c:v>-0.12380614237528853</c:v>
                </c:pt>
                <c:pt idx="52">
                  <c:v>-0.70270169969568763</c:v>
                </c:pt>
                <c:pt idx="53">
                  <c:v>0.31476997578692489</c:v>
                </c:pt>
                <c:pt idx="54">
                  <c:v>-0.27059605583868829</c:v>
                </c:pt>
                <c:pt idx="55">
                  <c:v>-0.94758253794398373</c:v>
                </c:pt>
                <c:pt idx="56">
                  <c:v>-0.60530787280524312</c:v>
                </c:pt>
                <c:pt idx="57">
                  <c:v>-0.81774302538855104</c:v>
                </c:pt>
                <c:pt idx="58">
                  <c:v>-0.36641148780371835</c:v>
                </c:pt>
                <c:pt idx="59">
                  <c:v>-0.41957962935061022</c:v>
                </c:pt>
                <c:pt idx="60">
                  <c:v>-0.34778952426717924</c:v>
                </c:pt>
                <c:pt idx="61">
                  <c:v>0.23039909425417493</c:v>
                </c:pt>
                <c:pt idx="62">
                  <c:v>-0.23697441847615885</c:v>
                </c:pt>
                <c:pt idx="63">
                  <c:v>-0.21039615090606589</c:v>
                </c:pt>
                <c:pt idx="64">
                  <c:v>-0.2499157004642959</c:v>
                </c:pt>
                <c:pt idx="65">
                  <c:v>-0.1748805497396253</c:v>
                </c:pt>
                <c:pt idx="66">
                  <c:v>-0.20941364180295174</c:v>
                </c:pt>
                <c:pt idx="67">
                  <c:v>-0.59780826196735815</c:v>
                </c:pt>
                <c:pt idx="68">
                  <c:v>0.28110726098598215</c:v>
                </c:pt>
                <c:pt idx="69">
                  <c:v>-9.715737434770666E-2</c:v>
                </c:pt>
                <c:pt idx="70">
                  <c:v>0.11776869924849942</c:v>
                </c:pt>
                <c:pt idx="71">
                  <c:v>-0.17424087441914837</c:v>
                </c:pt>
                <c:pt idx="72">
                  <c:v>-5.5200222469410476E-2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689-4681-8688-796994F29DC6}"/>
            </c:ext>
          </c:extLst>
        </c:ser>
        <c:ser>
          <c:idx val="8"/>
          <c:order val="8"/>
          <c:tx>
            <c:strRef>
              <c:f>crecimientos!$BB$2</c:f>
              <c:strCache>
                <c:ptCount val="1"/>
                <c:pt idx="0">
                  <c:v>Amazon Full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crecimientos!$AN$3:$AN$226</c:f>
              <c:numCache>
                <c:formatCode>[$-F800]dddd", "mmmm\ dd", "yyyy</c:formatCode>
                <c:ptCount val="73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  <c:pt idx="31">
                  <c:v>46205</c:v>
                </c:pt>
                <c:pt idx="32">
                  <c:v>46206</c:v>
                </c:pt>
                <c:pt idx="33">
                  <c:v>46207</c:v>
                </c:pt>
                <c:pt idx="34">
                  <c:v>46208</c:v>
                </c:pt>
                <c:pt idx="35">
                  <c:v>46209</c:v>
                </c:pt>
                <c:pt idx="36">
                  <c:v>46210</c:v>
                </c:pt>
                <c:pt idx="37">
                  <c:v>46211</c:v>
                </c:pt>
                <c:pt idx="38">
                  <c:v>46212</c:v>
                </c:pt>
                <c:pt idx="39">
                  <c:v>46213</c:v>
                </c:pt>
                <c:pt idx="40">
                  <c:v>46214</c:v>
                </c:pt>
                <c:pt idx="41">
                  <c:v>46215</c:v>
                </c:pt>
                <c:pt idx="42">
                  <c:v>46216</c:v>
                </c:pt>
                <c:pt idx="43">
                  <c:v>46217</c:v>
                </c:pt>
                <c:pt idx="44">
                  <c:v>46218</c:v>
                </c:pt>
                <c:pt idx="45">
                  <c:v>46219</c:v>
                </c:pt>
                <c:pt idx="46">
                  <c:v>46220</c:v>
                </c:pt>
                <c:pt idx="47">
                  <c:v>46221</c:v>
                </c:pt>
                <c:pt idx="48">
                  <c:v>46222</c:v>
                </c:pt>
                <c:pt idx="49">
                  <c:v>46223</c:v>
                </c:pt>
                <c:pt idx="50">
                  <c:v>46224</c:v>
                </c:pt>
                <c:pt idx="51">
                  <c:v>46225</c:v>
                </c:pt>
                <c:pt idx="52">
                  <c:v>46226</c:v>
                </c:pt>
                <c:pt idx="53">
                  <c:v>46227</c:v>
                </c:pt>
                <c:pt idx="54">
                  <c:v>46228</c:v>
                </c:pt>
                <c:pt idx="55">
                  <c:v>46229</c:v>
                </c:pt>
                <c:pt idx="56">
                  <c:v>46230</c:v>
                </c:pt>
                <c:pt idx="57">
                  <c:v>46231</c:v>
                </c:pt>
                <c:pt idx="58">
                  <c:v>46232</c:v>
                </c:pt>
                <c:pt idx="59">
                  <c:v>46233</c:v>
                </c:pt>
                <c:pt idx="60">
                  <c:v>46234</c:v>
                </c:pt>
                <c:pt idx="61">
                  <c:v>46235</c:v>
                </c:pt>
                <c:pt idx="62">
                  <c:v>46236</c:v>
                </c:pt>
                <c:pt idx="63">
                  <c:v>46237</c:v>
                </c:pt>
                <c:pt idx="64">
                  <c:v>46238</c:v>
                </c:pt>
                <c:pt idx="65">
                  <c:v>46239</c:v>
                </c:pt>
                <c:pt idx="66">
                  <c:v>46240</c:v>
                </c:pt>
                <c:pt idx="67">
                  <c:v>46241</c:v>
                </c:pt>
                <c:pt idx="68">
                  <c:v>46242</c:v>
                </c:pt>
                <c:pt idx="69">
                  <c:v>46243</c:v>
                </c:pt>
                <c:pt idx="70">
                  <c:v>46244</c:v>
                </c:pt>
                <c:pt idx="71">
                  <c:v>46245</c:v>
                </c:pt>
                <c:pt idx="72">
                  <c:v>46246</c:v>
                </c:pt>
              </c:numCache>
            </c:numRef>
          </c:cat>
          <c:val>
            <c:numRef>
              <c:f>crecimientos!$BB$3:$BB$226</c:f>
              <c:numCache>
                <c:formatCode>0.0%</c:formatCode>
                <c:ptCount val="73"/>
                <c:pt idx="0">
                  <c:v>-0.43473937617751723</c:v>
                </c:pt>
                <c:pt idx="1">
                  <c:v>-2.8460440780085583E-2</c:v>
                </c:pt>
                <c:pt idx="2">
                  <c:v>-0.43406272793581324</c:v>
                </c:pt>
                <c:pt idx="3">
                  <c:v>-0.57627118644067798</c:v>
                </c:pt>
                <c:pt idx="4">
                  <c:v>-0.32809157038938808</c:v>
                </c:pt>
                <c:pt idx="5">
                  <c:v>-0.46209030806020535</c:v>
                </c:pt>
                <c:pt idx="6">
                  <c:v>-0.28574532811820952</c:v>
                </c:pt>
                <c:pt idx="7">
                  <c:v>-0.30842163970998326</c:v>
                </c:pt>
                <c:pt idx="8">
                  <c:v>-0.25065989847715731</c:v>
                </c:pt>
                <c:pt idx="9">
                  <c:v>-0.80792620430474893</c:v>
                </c:pt>
                <c:pt idx="10">
                  <c:v>-0.98421013797683166</c:v>
                </c:pt>
                <c:pt idx="11">
                  <c:v>-0.74129812575016163</c:v>
                </c:pt>
                <c:pt idx="12">
                  <c:v>-0.74250814332247561</c:v>
                </c:pt>
                <c:pt idx="13">
                  <c:v>-0.74978161700475587</c:v>
                </c:pt>
                <c:pt idx="14">
                  <c:v>-0.49296641462985757</c:v>
                </c:pt>
                <c:pt idx="15">
                  <c:v>-0.6080320280245215</c:v>
                </c:pt>
                <c:pt idx="16">
                  <c:v>-0.60062276554030669</c:v>
                </c:pt>
                <c:pt idx="17">
                  <c:v>-0.44269094587759228</c:v>
                </c:pt>
                <c:pt idx="18">
                  <c:v>-0.27254161135504951</c:v>
                </c:pt>
                <c:pt idx="19">
                  <c:v>-0.512665752171925</c:v>
                </c:pt>
                <c:pt idx="20">
                  <c:v>-0.31872597473915432</c:v>
                </c:pt>
                <c:pt idx="21">
                  <c:v>-0.69157599843638029</c:v>
                </c:pt>
                <c:pt idx="22">
                  <c:v>-8.6135001303101366E-2</c:v>
                </c:pt>
                <c:pt idx="23">
                  <c:v>1.1722895905871051</c:v>
                </c:pt>
                <c:pt idx="24">
                  <c:v>-0.10564971751412433</c:v>
                </c:pt>
                <c:pt idx="25">
                  <c:v>0.10495442649580355</c:v>
                </c:pt>
                <c:pt idx="26">
                  <c:v>0.12183319100483914</c:v>
                </c:pt>
                <c:pt idx="27">
                  <c:v>0.68948630821507106</c:v>
                </c:pt>
                <c:pt idx="28">
                  <c:v>0.69500379939209722</c:v>
                </c:pt>
                <c:pt idx="29">
                  <c:v>-3.9228435197225853E-2</c:v>
                </c:pt>
                <c:pt idx="30">
                  <c:v>1.1138338966682761</c:v>
                </c:pt>
                <c:pt idx="31">
                  <c:v>0.88559099042206091</c:v>
                </c:pt>
                <c:pt idx="32">
                  <c:v>0.89002795899347631</c:v>
                </c:pt>
                <c:pt idx="33">
                  <c:v>0.81060086817454868</c:v>
                </c:pt>
                <c:pt idx="34">
                  <c:v>-0.38511482505711192</c:v>
                </c:pt>
                <c:pt idx="35">
                  <c:v>-0.44788196097096622</c:v>
                </c:pt>
                <c:pt idx="36">
                  <c:v>-0.53578583136040792</c:v>
                </c:pt>
                <c:pt idx="37">
                  <c:v>1.0623015873015871</c:v>
                </c:pt>
                <c:pt idx="38">
                  <c:v>0.14032258064516134</c:v>
                </c:pt>
                <c:pt idx="39">
                  <c:v>0.42168955084942983</c:v>
                </c:pt>
                <c:pt idx="40">
                  <c:v>-0.28006668254346267</c:v>
                </c:pt>
                <c:pt idx="41">
                  <c:v>-0.93989856937400651</c:v>
                </c:pt>
                <c:pt idx="42">
                  <c:v>0.39744952178533466</c:v>
                </c:pt>
                <c:pt idx="43">
                  <c:v>-0.63222814288533646</c:v>
                </c:pt>
                <c:pt idx="44">
                  <c:v>-0.56809583858764179</c:v>
                </c:pt>
                <c:pt idx="45">
                  <c:v>-0.32224201552360354</c:v>
                </c:pt>
                <c:pt idx="46">
                  <c:v>-0.5102919817699203</c:v>
                </c:pt>
                <c:pt idx="47">
                  <c:v>-0.54605879846612693</c:v>
                </c:pt>
                <c:pt idx="48">
                  <c:v>-0.82586936994738869</c:v>
                </c:pt>
                <c:pt idx="49">
                  <c:v>-0.61537954665260941</c:v>
                </c:pt>
                <c:pt idx="50">
                  <c:v>-0.65458772825223999</c:v>
                </c:pt>
                <c:pt idx="51">
                  <c:v>-0.80199365654734933</c:v>
                </c:pt>
                <c:pt idx="52">
                  <c:v>-0.64902382896592681</c:v>
                </c:pt>
                <c:pt idx="53">
                  <c:v>-0.66891371340523875</c:v>
                </c:pt>
                <c:pt idx="54">
                  <c:v>-0.64146948941469484</c:v>
                </c:pt>
                <c:pt idx="55">
                  <c:v>-0.57536264732547604</c:v>
                </c:pt>
                <c:pt idx="56">
                  <c:v>1.5214303208425179</c:v>
                </c:pt>
                <c:pt idx="57">
                  <c:v>-4.0236594287493155E-2</c:v>
                </c:pt>
                <c:pt idx="58">
                  <c:v>0.44926363489237731</c:v>
                </c:pt>
                <c:pt idx="59">
                  <c:v>0.54994409243384279</c:v>
                </c:pt>
                <c:pt idx="60">
                  <c:v>-0.23736244072649193</c:v>
                </c:pt>
                <c:pt idx="61">
                  <c:v>0.92584341183959262</c:v>
                </c:pt>
                <c:pt idx="62">
                  <c:v>0.61377565911080834</c:v>
                </c:pt>
                <c:pt idx="63">
                  <c:v>-0.17525773195876293</c:v>
                </c:pt>
                <c:pt idx="64">
                  <c:v>0.42731115603749315</c:v>
                </c:pt>
                <c:pt idx="65">
                  <c:v>2.1027837259100641</c:v>
                </c:pt>
                <c:pt idx="66">
                  <c:v>0.88745589487772225</c:v>
                </c:pt>
                <c:pt idx="67">
                  <c:v>0.97699083228473849</c:v>
                </c:pt>
                <c:pt idx="68">
                  <c:v>1.1840964763519879</c:v>
                </c:pt>
                <c:pt idx="69">
                  <c:v>1.0081286446368618</c:v>
                </c:pt>
                <c:pt idx="70">
                  <c:v>0.3294436906377205</c:v>
                </c:pt>
                <c:pt idx="71">
                  <c:v>1.2592859718716194</c:v>
                </c:pt>
                <c:pt idx="72">
                  <c:v>0.2938484318212411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689-4681-8688-796994F29DC6}"/>
            </c:ext>
          </c:extLst>
        </c:ser>
        <c:ser>
          <c:idx val="9"/>
          <c:order val="9"/>
          <c:tx>
            <c:strRef>
              <c:f>crecimientos!$BD$2</c:f>
              <c:strCache>
                <c:ptCount val="1"/>
                <c:pt idx="0">
                  <c:v>TikTok 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crecimientos!$AN$3:$AN$226</c:f>
              <c:numCache>
                <c:formatCode>[$-F800]dddd", "mmmm\ dd", "yyyy</c:formatCode>
                <c:ptCount val="73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  <c:pt idx="31">
                  <c:v>46205</c:v>
                </c:pt>
                <c:pt idx="32">
                  <c:v>46206</c:v>
                </c:pt>
                <c:pt idx="33">
                  <c:v>46207</c:v>
                </c:pt>
                <c:pt idx="34">
                  <c:v>46208</c:v>
                </c:pt>
                <c:pt idx="35">
                  <c:v>46209</c:v>
                </c:pt>
                <c:pt idx="36">
                  <c:v>46210</c:v>
                </c:pt>
                <c:pt idx="37">
                  <c:v>46211</c:v>
                </c:pt>
                <c:pt idx="38">
                  <c:v>46212</c:v>
                </c:pt>
                <c:pt idx="39">
                  <c:v>46213</c:v>
                </c:pt>
                <c:pt idx="40">
                  <c:v>46214</c:v>
                </c:pt>
                <c:pt idx="41">
                  <c:v>46215</c:v>
                </c:pt>
                <c:pt idx="42">
                  <c:v>46216</c:v>
                </c:pt>
                <c:pt idx="43">
                  <c:v>46217</c:v>
                </c:pt>
                <c:pt idx="44">
                  <c:v>46218</c:v>
                </c:pt>
                <c:pt idx="45">
                  <c:v>46219</c:v>
                </c:pt>
                <c:pt idx="46">
                  <c:v>46220</c:v>
                </c:pt>
                <c:pt idx="47">
                  <c:v>46221</c:v>
                </c:pt>
                <c:pt idx="48">
                  <c:v>46222</c:v>
                </c:pt>
                <c:pt idx="49">
                  <c:v>46223</c:v>
                </c:pt>
                <c:pt idx="50">
                  <c:v>46224</c:v>
                </c:pt>
                <c:pt idx="51">
                  <c:v>46225</c:v>
                </c:pt>
                <c:pt idx="52">
                  <c:v>46226</c:v>
                </c:pt>
                <c:pt idx="53">
                  <c:v>46227</c:v>
                </c:pt>
                <c:pt idx="54">
                  <c:v>46228</c:v>
                </c:pt>
                <c:pt idx="55">
                  <c:v>46229</c:v>
                </c:pt>
                <c:pt idx="56">
                  <c:v>46230</c:v>
                </c:pt>
                <c:pt idx="57">
                  <c:v>46231</c:v>
                </c:pt>
                <c:pt idx="58">
                  <c:v>46232</c:v>
                </c:pt>
                <c:pt idx="59">
                  <c:v>46233</c:v>
                </c:pt>
                <c:pt idx="60">
                  <c:v>46234</c:v>
                </c:pt>
                <c:pt idx="61">
                  <c:v>46235</c:v>
                </c:pt>
                <c:pt idx="62">
                  <c:v>46236</c:v>
                </c:pt>
                <c:pt idx="63">
                  <c:v>46237</c:v>
                </c:pt>
                <c:pt idx="64">
                  <c:v>46238</c:v>
                </c:pt>
                <c:pt idx="65">
                  <c:v>46239</c:v>
                </c:pt>
                <c:pt idx="66">
                  <c:v>46240</c:v>
                </c:pt>
                <c:pt idx="67">
                  <c:v>46241</c:v>
                </c:pt>
                <c:pt idx="68">
                  <c:v>46242</c:v>
                </c:pt>
                <c:pt idx="69">
                  <c:v>46243</c:v>
                </c:pt>
                <c:pt idx="70">
                  <c:v>46244</c:v>
                </c:pt>
                <c:pt idx="71">
                  <c:v>46245</c:v>
                </c:pt>
                <c:pt idx="72">
                  <c:v>46246</c:v>
                </c:pt>
              </c:numCache>
            </c:numRef>
          </c:cat>
          <c:val>
            <c:numRef>
              <c:f>crecimientos!$BD$3:$BD$226</c:f>
              <c:numCache>
                <c:formatCode>0.0%</c:formatCode>
                <c:ptCount val="7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689-4681-8688-796994F29DC6}"/>
            </c:ext>
          </c:extLst>
        </c:ser>
        <c:ser>
          <c:idx val="10"/>
          <c:order val="10"/>
          <c:tx>
            <c:strRef>
              <c:f>crecimientos!$BE$2</c:f>
              <c:strCache>
                <c:ptCount val="1"/>
                <c:pt idx="0">
                  <c:v>Shein 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crecimientos!$AN$3:$AN$226</c:f>
              <c:numCache>
                <c:formatCode>[$-F800]dddd", "mmmm\ dd", "yyyy</c:formatCode>
                <c:ptCount val="73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  <c:pt idx="31">
                  <c:v>46205</c:v>
                </c:pt>
                <c:pt idx="32">
                  <c:v>46206</c:v>
                </c:pt>
                <c:pt idx="33">
                  <c:v>46207</c:v>
                </c:pt>
                <c:pt idx="34">
                  <c:v>46208</c:v>
                </c:pt>
                <c:pt idx="35">
                  <c:v>46209</c:v>
                </c:pt>
                <c:pt idx="36">
                  <c:v>46210</c:v>
                </c:pt>
                <c:pt idx="37">
                  <c:v>46211</c:v>
                </c:pt>
                <c:pt idx="38">
                  <c:v>46212</c:v>
                </c:pt>
                <c:pt idx="39">
                  <c:v>46213</c:v>
                </c:pt>
                <c:pt idx="40">
                  <c:v>46214</c:v>
                </c:pt>
                <c:pt idx="41">
                  <c:v>46215</c:v>
                </c:pt>
                <c:pt idx="42">
                  <c:v>46216</c:v>
                </c:pt>
                <c:pt idx="43">
                  <c:v>46217</c:v>
                </c:pt>
                <c:pt idx="44">
                  <c:v>46218</c:v>
                </c:pt>
                <c:pt idx="45">
                  <c:v>46219</c:v>
                </c:pt>
                <c:pt idx="46">
                  <c:v>46220</c:v>
                </c:pt>
                <c:pt idx="47">
                  <c:v>46221</c:v>
                </c:pt>
                <c:pt idx="48">
                  <c:v>46222</c:v>
                </c:pt>
                <c:pt idx="49">
                  <c:v>46223</c:v>
                </c:pt>
                <c:pt idx="50">
                  <c:v>46224</c:v>
                </c:pt>
                <c:pt idx="51">
                  <c:v>46225</c:v>
                </c:pt>
                <c:pt idx="52">
                  <c:v>46226</c:v>
                </c:pt>
                <c:pt idx="53">
                  <c:v>46227</c:v>
                </c:pt>
                <c:pt idx="54">
                  <c:v>46228</c:v>
                </c:pt>
                <c:pt idx="55">
                  <c:v>46229</c:v>
                </c:pt>
                <c:pt idx="56">
                  <c:v>46230</c:v>
                </c:pt>
                <c:pt idx="57">
                  <c:v>46231</c:v>
                </c:pt>
                <c:pt idx="58">
                  <c:v>46232</c:v>
                </c:pt>
                <c:pt idx="59">
                  <c:v>46233</c:v>
                </c:pt>
                <c:pt idx="60">
                  <c:v>46234</c:v>
                </c:pt>
                <c:pt idx="61">
                  <c:v>46235</c:v>
                </c:pt>
                <c:pt idx="62">
                  <c:v>46236</c:v>
                </c:pt>
                <c:pt idx="63">
                  <c:v>46237</c:v>
                </c:pt>
                <c:pt idx="64">
                  <c:v>46238</c:v>
                </c:pt>
                <c:pt idx="65">
                  <c:v>46239</c:v>
                </c:pt>
                <c:pt idx="66">
                  <c:v>46240</c:v>
                </c:pt>
                <c:pt idx="67">
                  <c:v>46241</c:v>
                </c:pt>
                <c:pt idx="68">
                  <c:v>46242</c:v>
                </c:pt>
                <c:pt idx="69">
                  <c:v>46243</c:v>
                </c:pt>
                <c:pt idx="70">
                  <c:v>46244</c:v>
                </c:pt>
                <c:pt idx="71">
                  <c:v>46245</c:v>
                </c:pt>
                <c:pt idx="72">
                  <c:v>46246</c:v>
                </c:pt>
              </c:numCache>
            </c:numRef>
          </c:cat>
          <c:val>
            <c:numRef>
              <c:f>crecimientos!$BE$3:$BE$226</c:f>
              <c:numCache>
                <c:formatCode>0.0%</c:formatCode>
                <c:ptCount val="7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689-4681-8688-796994F29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9913376"/>
        <c:axId val="679092912"/>
      </c:barChart>
      <c:dateAx>
        <c:axId val="709913376"/>
        <c:scaling>
          <c:orientation val="minMax"/>
        </c:scaling>
        <c:delete val="0"/>
        <c:axPos val="b"/>
        <c:numFmt formatCode="[$-F800]dddd&quot;, &quot;mmmm\ dd&quot;, &quot;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79092912"/>
        <c:crosses val="autoZero"/>
        <c:auto val="1"/>
        <c:lblOffset val="100"/>
        <c:baseTimeUnit val="days"/>
      </c:dateAx>
      <c:valAx>
        <c:axId val="679092912"/>
        <c:scaling>
          <c:orientation val="minMax"/>
          <c:max val="3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0991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553356</xdr:colOff>
      <xdr:row>155</xdr:row>
      <xdr:rowOff>179615</xdr:rowOff>
    </xdr:from>
    <xdr:to>
      <xdr:col>75</xdr:col>
      <xdr:colOff>705757</xdr:colOff>
      <xdr:row>180</xdr:row>
      <xdr:rowOff>150585</xdr:rowOff>
    </xdr:to>
    <xdr:graphicFrame macro="">
      <xdr:nvGraphicFramePr>
        <xdr:cNvPr id="35" name="Gráfico 1">
          <a:extLst>
            <a:ext uri="{FF2B5EF4-FFF2-40B4-BE49-F238E27FC236}">
              <a16:creationId xmlns:a16="http://schemas.microsoft.com/office/drawing/2014/main" id="{DFEE282A-69DD-4715-90E1-17035BD09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15</xdr:row>
      <xdr:rowOff>0</xdr:rowOff>
    </xdr:from>
    <xdr:to>
      <xdr:col>5</xdr:col>
      <xdr:colOff>304800</xdr:colOff>
      <xdr:row>16</xdr:row>
      <xdr:rowOff>120650</xdr:rowOff>
    </xdr:to>
    <xdr:sp macro="" textlink="">
      <xdr:nvSpPr>
        <xdr:cNvPr id="11265" name="AutoShape 1" descr="Vista previa de imagen">
          <a:extLst>
            <a:ext uri="{FF2B5EF4-FFF2-40B4-BE49-F238E27FC236}">
              <a16:creationId xmlns:a16="http://schemas.microsoft.com/office/drawing/2014/main" id="{2C228A17-877B-E3D1-032B-E567182952F7}"/>
            </a:ext>
          </a:extLst>
        </xdr:cNvPr>
        <xdr:cNvSpPr>
          <a:spLocks noChangeAspect="1" noChangeArrowheads="1"/>
        </xdr:cNvSpPr>
      </xdr:nvSpPr>
      <xdr:spPr bwMode="auto">
        <a:xfrm>
          <a:off x="5626100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304800</xdr:colOff>
      <xdr:row>16</xdr:row>
      <xdr:rowOff>120650</xdr:rowOff>
    </xdr:to>
    <xdr:sp macro="" textlink="">
      <xdr:nvSpPr>
        <xdr:cNvPr id="11266" name="AutoShape 2" descr="Vista previa de imagen">
          <a:extLst>
            <a:ext uri="{FF2B5EF4-FFF2-40B4-BE49-F238E27FC236}">
              <a16:creationId xmlns:a16="http://schemas.microsoft.com/office/drawing/2014/main" id="{F2D85936-E848-CDF9-7554-39B5D3DDFA8E}"/>
            </a:ext>
          </a:extLst>
        </xdr:cNvPr>
        <xdr:cNvSpPr>
          <a:spLocks noChangeAspect="1" noChangeArrowheads="1"/>
        </xdr:cNvSpPr>
      </xdr:nvSpPr>
      <xdr:spPr bwMode="auto">
        <a:xfrm>
          <a:off x="5626100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50760</xdr:colOff>
      <xdr:row>3</xdr:row>
      <xdr:rowOff>132480</xdr:rowOff>
    </xdr:from>
    <xdr:to>
      <xdr:col>32</xdr:col>
      <xdr:colOff>456840</xdr:colOff>
      <xdr:row>15</xdr:row>
      <xdr:rowOff>5400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7621720" y="685080"/>
          <a:ext cx="5089320" cy="2063520"/>
        </a:xfrm>
        <a:prstGeom prst="rect">
          <a:avLst/>
        </a:prstGeom>
        <a:ln w="0"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a Muños Bernal" refreshedDate="46253.648354513891" createdVersion="8" refreshedVersion="8" minRefreshableVersion="3" recordCount="243" xr:uid="{5A61BC7F-90AF-450F-9315-5A9BFD42196F}">
  <cacheSource type="worksheet">
    <worksheetSource ref="A3:AL246" sheet="BD MD"/>
  </cacheSource>
  <cacheFields count="42">
    <cacheField name="2025" numFmtId="168">
      <sharedItems containsSemiMixedTypes="0" containsNonDate="0" containsDate="1" containsString="0" minDate="2025-01-02T00:00:00" maxDate="2025-09-02T00:00:00" count="243"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</sharedItems>
      <fieldGroup par="39"/>
    </cacheField>
    <cacheField name="Global 2025" numFmtId="165">
      <sharedItems containsSemiMixedTypes="0" containsString="0" containsNumber="1" containsInteger="1" minValue="15540152" maxValue="86172681"/>
    </cacheField>
    <cacheField name="Vta 2025" numFmtId="165">
      <sharedItems containsSemiMixedTypes="0" containsString="0" containsNumber="1" minValue="1311866.9655172415" maxValue="7102112.818965517"/>
    </cacheField>
    <cacheField name="Share diario" numFmtId="9">
      <sharedItems containsSemiMixedTypes="0" containsString="0" containsNumber="1" minValue="-3.3795058862703904E-4" maxValue="5.8889586571135459E-2"/>
    </cacheField>
    <cacheField name="Global 2026" numFmtId="165">
      <sharedItems containsSemiMixedTypes="0" containsString="0" containsNumber="1" containsInteger="1" minValue="0" maxValue="65717622"/>
    </cacheField>
    <cacheField name="2026" numFmtId="168">
      <sharedItems containsSemiMixedTypes="0" containsNonDate="0" containsDate="1" containsString="0" minDate="2026-01-01T00:00:00" maxDate="2026-09-01T00:00:00" count="243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</sharedItems>
      <fieldGroup par="41"/>
    </cacheField>
    <cacheField name="Venta Meta 2026" numFmtId="165">
      <sharedItems containsSemiMixedTypes="0" containsString="0" containsNumber="1" minValue="-36578.827797188496" maxValue="9354046.4810934905"/>
    </cacheField>
    <cacheField name="Meta Digital" numFmtId="165">
      <sharedItems containsSemiMixedTypes="0" containsString="0" containsNumber="1" minValue="-91461.011238662599" maxValue="7838384.3182702204"/>
    </cacheField>
    <cacheField name="Meta MKPlace" numFmtId="165">
      <sharedItems containsSemiMixedTypes="0" containsString="0" containsNumber="1" minValue="54882.183441474102" maxValue="2482296.24940712"/>
    </cacheField>
    <cacheField name="Web + APP 2025" numFmtId="165">
      <sharedItems containsSemiMixedTypes="0" containsString="0" containsNumber="1" containsInteger="1" minValue="805491" maxValue="5685559"/>
    </cacheField>
    <cacheField name="Web + APP 2026" numFmtId="165">
      <sharedItems containsSemiMixedTypes="0" containsString="0" containsNumber="1" containsInteger="1" minValue="-239835" maxValue="5654946"/>
    </cacheField>
    <cacheField name="Afiliados 2025" numFmtId="165">
      <sharedItems containsSemiMixedTypes="0" containsString="0" containsNumber="1" minValue="13265.517241379301" maxValue="53487.068965517203"/>
    </cacheField>
    <cacheField name="Afiliados 2026" numFmtId="165">
      <sharedItems containsSemiMixedTypes="0" containsString="0" containsNumber="1" containsInteger="1" minValue="0" maxValue="83907"/>
    </cacheField>
    <cacheField name="TMK 2025" numFmtId="165">
      <sharedItems containsSemiMixedTypes="0" containsString="0" containsNumber="1" containsInteger="1" minValue="-1659" maxValue="132035"/>
    </cacheField>
    <cacheField name="TMK 2026" numFmtId="165">
      <sharedItems containsSemiMixedTypes="0" containsString="0" containsNumber="1" containsInteger="1" minValue="-6459" maxValue="89330"/>
    </cacheField>
    <cacheField name="WA 2025" numFmtId="165">
      <sharedItems containsSemiMixedTypes="0" containsString="0" containsNumber="1" containsInteger="1" minValue="-2861" maxValue="26723"/>
    </cacheField>
    <cacheField name="WA 2026" numFmtId="165">
      <sharedItems containsSemiMixedTypes="0" containsString="0" containsNumber="1" containsInteger="1" minValue="-2118" maxValue="29247"/>
    </cacheField>
    <cacheField name="Ent. en Tienda 2025" numFmtId="165">
      <sharedItems containsSemiMixedTypes="0" containsString="0" containsNumber="1" containsInteger="1" minValue="17001" maxValue="232069"/>
    </cacheField>
    <cacheField name="Ent. en Tienda 2026" numFmtId="165">
      <sharedItems containsSemiMixedTypes="0" containsString="0" containsNumber="1" containsInteger="1" minValue="-9316" maxValue="201003"/>
    </cacheField>
    <cacheField name="Meli Drop 2025" numFmtId="165">
      <sharedItems containsSemiMixedTypes="0" containsString="0" containsNumber="1" containsInteger="1" minValue="27229" maxValue="1389018"/>
    </cacheField>
    <cacheField name="Meli Drop 2026" numFmtId="165">
      <sharedItems containsSemiMixedTypes="0" containsString="0" containsNumber="1" containsInteger="1" minValue="-140136" maxValue="1074734"/>
    </cacheField>
    <cacheField name="Meli Full 2025" numFmtId="165">
      <sharedItems containsSemiMixedTypes="0" containsString="0" containsNumber="1" containsInteger="1" minValue="1022" maxValue="601203"/>
    </cacheField>
    <cacheField name="Meli Full 2026" numFmtId="165">
      <sharedItems containsSemiMixedTypes="0" containsString="0" containsNumber="1" containsInteger="1" minValue="0" maxValue="286210"/>
    </cacheField>
    <cacheField name="Amazon Drop 2025" numFmtId="165">
      <sharedItems containsSemiMixedTypes="0" containsString="0" containsNumber="1" containsInteger="1" minValue="5276" maxValue="121774"/>
    </cacheField>
    <cacheField name="Amazon Drop 2026" numFmtId="165">
      <sharedItems containsSemiMixedTypes="0" containsString="0" containsNumber="1" containsInteger="1" minValue="0" maxValue="83688"/>
    </cacheField>
    <cacheField name="Amazon Full 2025" numFmtId="165">
      <sharedItems containsSemiMixedTypes="0" containsString="0" containsNumber="1" containsInteger="1" minValue="0" maxValue="227482"/>
    </cacheField>
    <cacheField name="Amazon Full 2026" numFmtId="165">
      <sharedItems containsSemiMixedTypes="0" containsString="0" containsNumber="1" containsInteger="1" minValue="0" maxValue="21040"/>
    </cacheField>
    <cacheField name="TikTok 2025" numFmtId="165">
      <sharedItems containsSemiMixedTypes="0" containsString="0" containsNumber="1" minValue="0" maxValue="2479.10344827586"/>
    </cacheField>
    <cacheField name="TikTok 2026" numFmtId="165">
      <sharedItems containsSemiMixedTypes="0" containsString="0" containsNumber="1" containsInteger="1" minValue="-1487" maxValue="56771"/>
    </cacheField>
    <cacheField name="Shein 2025" numFmtId="165">
      <sharedItems containsSemiMixedTypes="0" containsString="0" containsNumber="1" minValue="-687.93103448275895" maxValue="1033.6206896551701"/>
    </cacheField>
    <cacheField name="Shein 2026" numFmtId="165">
      <sharedItems containsSemiMixedTypes="0" containsString="0" containsNumber="1" containsInteger="1" minValue="-44" maxValue="8931"/>
    </cacheField>
    <cacheField name="Venta Total 2026" numFmtId="165">
      <sharedItems containsSemiMixedTypes="0" containsString="0" containsNumber="1" containsInteger="1" minValue="-35851" maxValue="7095421"/>
    </cacheField>
    <cacheField name="Alcance vs Meta" numFmtId="9">
      <sharedItems containsSemiMixedTypes="0" containsString="0" containsNumber="1" minValue="-48.325550774917602" maxValue="1.6168480760053585"/>
    </cacheField>
    <cacheField name="Deuda" numFmtId="165">
      <sharedItems containsSemiMixedTypes="0" containsString="0" containsNumber="1" minValue="-9354046.4810934905" maxValue="2146874.7062202301"/>
    </cacheField>
    <cacheField name="Crecimiento" numFmtId="9">
      <sharedItems containsSemiMixedTypes="0" containsString="0" containsNumber="1" minValue="-1.0096190867408144" maxValue="1.2426681127691501"/>
    </cacheField>
    <cacheField name="Share vs Global 2025" numFmtId="9">
      <sharedItems containsMixedTypes="1" containsNumber="1" minValue="2.4863123636672625E-2" maxValue="0.19475834443974993"/>
    </cacheField>
    <cacheField name="Share vs Global 2026" numFmtId="10">
      <sharedItems containsMixedTypes="1" containsNumber="1" minValue="-1.2543998553404155E-3" maxValue="0.99994626049405277"/>
    </cacheField>
    <cacheField name="Global YoY" numFmtId="10">
      <sharedItems containsMixedTypes="1" containsNumber="1" minValue="-1" maxValue="0.87516980841892411"/>
    </cacheField>
    <cacheField name="Días (2025)" numFmtId="0" databaseField="0">
      <fieldGroup base="0">
        <rangePr groupBy="days" startDate="2025-01-02T00:00:00" endDate="2025-09-02T00:00:00"/>
        <groupItems count="368">
          <s v="&lt;02/01/2025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2/09/2025"/>
        </groupItems>
      </fieldGroup>
    </cacheField>
    <cacheField name="Meses (2025)" numFmtId="0" databaseField="0">
      <fieldGroup base="0">
        <rangePr groupBy="months" startDate="2025-01-02T00:00:00" endDate="2025-09-02T00:00:00"/>
        <groupItems count="14">
          <s v="&lt;02/01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2/09/2025"/>
        </groupItems>
      </fieldGroup>
    </cacheField>
    <cacheField name="Días (2026)" numFmtId="0" databaseField="0">
      <fieldGroup base="5">
        <rangePr groupBy="days" startDate="2026-01-01T00:00:00" endDate="2026-09-01T00:00:00"/>
        <groupItems count="368">
          <s v="&lt;01/01/2026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1/09/2026"/>
        </groupItems>
      </fieldGroup>
    </cacheField>
    <cacheField name="Meses (2026)" numFmtId="0" databaseField="0">
      <fieldGroup base="5">
        <rangePr groupBy="months" startDate="2026-01-01T00:00:00" endDate="2026-09-01T00:00:00"/>
        <groupItems count="14">
          <s v="&lt;01/01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0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a Muños Bernal" refreshedDate="46265.517597222221" createdVersion="8" refreshedVersion="8" minRefreshableVersion="3" recordCount="365" xr:uid="{D9708815-3FAB-405D-81F6-52B4D9C83188}">
  <cacheSource type="worksheet">
    <worksheetSource ref="A3:AL368" sheet="BD MF"/>
  </cacheSource>
  <cacheFields count="42">
    <cacheField name="2025" numFmtId="168">
      <sharedItems containsSemiMixedTypes="0" containsNonDate="0" containsDate="1" containsString="0" minDate="2025-01-01T00:00:00" maxDate="2026-01-01T00:00:00" count="365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  <fieldGroup par="39"/>
    </cacheField>
    <cacheField name="Global 2025" numFmtId="165">
      <sharedItems containsSemiMixedTypes="0" containsString="0" containsNumber="1" containsInteger="1" minValue="-29064" maxValue="127581576"/>
    </cacheField>
    <cacheField name="Vta 2025" numFmtId="165">
      <sharedItems containsSemiMixedTypes="0" containsString="0" containsNumber="1" minValue="-29107" maxValue="12618273.603448274"/>
    </cacheField>
    <cacheField name="Share diario" numFmtId="9">
      <sharedItems containsSemiMixedTypes="0" containsString="0" containsNumber="1" minValue="-3.3795058862703904E-4" maxValue="6.7155361298468066E-2"/>
    </cacheField>
    <cacheField name="Global 2026" numFmtId="165">
      <sharedItems containsString="0" containsBlank="1" containsNumber="1" containsInteger="1" minValue="1767787" maxValue="84788455"/>
    </cacheField>
    <cacheField name="2026" numFmtId="168">
      <sharedItems containsSemiMixedTypes="0" containsNonDate="0" containsDate="1" containsString="0" minDate="2026-01-01T00:00:00" maxDate="2027-01-01T00:00:00" count="365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</sharedItems>
      <fieldGroup par="41"/>
    </cacheField>
    <cacheField name="Venta Meta 2026" numFmtId="165">
      <sharedItems containsSemiMixedTypes="0" containsString="0" containsNumber="1" minValue="-36578.827797188496" maxValue="16491338.05188093"/>
    </cacheField>
    <cacheField name="Meta Digital" numFmtId="165">
      <sharedItems containsSemiMixedTypes="0" containsString="0" containsNumber="1" minValue="-91461.011238662599" maxValue="9804142.3963300195"/>
    </cacheField>
    <cacheField name="Meta MKPlace" numFmtId="165">
      <sharedItems containsSemiMixedTypes="0" containsString="0" containsNumber="1" minValue="54882.183441474102" maxValue="7201641.6348514501"/>
    </cacheField>
    <cacheField name="Web + APP 2025" numFmtId="165">
      <sharedItems containsSemiMixedTypes="0" containsString="0" containsNumber="1" containsInteger="1" minValue="-70516" maxValue="7301102"/>
    </cacheField>
    <cacheField name="Web + APP 2026" numFmtId="165">
      <sharedItems containsString="0" containsBlank="1" containsNumber="1" containsInteger="1" minValue="-239835" maxValue="6380671"/>
    </cacheField>
    <cacheField name="Afiliados 2025" numFmtId="165">
      <sharedItems containsSemiMixedTypes="0" containsString="0" containsNumber="1" minValue="0" maxValue="78706.896551724101"/>
    </cacheField>
    <cacheField name="Afiliados 2026" numFmtId="165">
      <sharedItems containsString="0" containsBlank="1" containsNumber="1" containsInteger="1" minValue="0" maxValue="83907"/>
    </cacheField>
    <cacheField name="TMK 2025" numFmtId="165">
      <sharedItems containsSemiMixedTypes="0" containsString="0" containsNumber="1" containsInteger="1" minValue="-24113" maxValue="199752"/>
    </cacheField>
    <cacheField name="TMK 2026" numFmtId="0">
      <sharedItems containsString="0" containsBlank="1" containsNumber="1" containsInteger="1" minValue="-6459" maxValue="89330"/>
    </cacheField>
    <cacheField name="WA 2025" numFmtId="165">
      <sharedItems containsSemiMixedTypes="0" containsString="0" containsNumber="1" containsInteger="1" minValue="-2861" maxValue="26723"/>
    </cacheField>
    <cacheField name="WA 2026" numFmtId="165">
      <sharedItems containsString="0" containsBlank="1" containsNumber="1" containsInteger="1" minValue="-2118" maxValue="29247"/>
    </cacheField>
    <cacheField name="Ent. en Tienda 2025" numFmtId="165">
      <sharedItems containsSemiMixedTypes="0" containsString="0" containsNumber="1" containsInteger="1" minValue="0" maxValue="321653"/>
    </cacheField>
    <cacheField name="Ent. en Tienda 2026" numFmtId="165">
      <sharedItems containsString="0" containsBlank="1" containsNumber="1" containsInteger="1" minValue="-9316" maxValue="202862"/>
    </cacheField>
    <cacheField name="Meli Drop 2025" numFmtId="165">
      <sharedItems containsSemiMixedTypes="0" containsString="0" containsNumber="1" containsInteger="1" minValue="-35912" maxValue="4615472"/>
    </cacheField>
    <cacheField name="Meli Drop 2026" numFmtId="0">
      <sharedItems containsString="0" containsBlank="1" containsNumber="1" containsInteger="1" minValue="-140136" maxValue="1074734"/>
    </cacheField>
    <cacheField name="Meli Full 2025" numFmtId="165">
      <sharedItems containsSemiMixedTypes="0" containsString="0" containsNumber="1" containsInteger="1" minValue="1022" maxValue="740810"/>
    </cacheField>
    <cacheField name="Meli Full 2026" numFmtId="0">
      <sharedItems containsString="0" containsBlank="1" containsNumber="1" containsInteger="1" minValue="6662" maxValue="319856"/>
    </cacheField>
    <cacheField name="Amazon Drop 2025" numFmtId="165">
      <sharedItems containsSemiMixedTypes="0" containsString="0" containsNumber="1" containsInteger="1" minValue="-2259" maxValue="158214"/>
    </cacheField>
    <cacheField name="Amazon Drop 2026" numFmtId="0">
      <sharedItems containsString="0" containsBlank="1" containsNumber="1" containsInteger="1" minValue="0" maxValue="83688"/>
    </cacheField>
    <cacheField name="Amazon Full 2025" numFmtId="165">
      <sharedItems containsSemiMixedTypes="0" containsString="0" containsNumber="1" containsInteger="1" minValue="0" maxValue="227482"/>
    </cacheField>
    <cacheField name="Amazon Full 2026" numFmtId="165">
      <sharedItems containsString="0" containsBlank="1" containsNumber="1" containsInteger="1" minValue="214" maxValue="21040"/>
    </cacheField>
    <cacheField name="TikTok 2025" numFmtId="165">
      <sharedItems containsString="0" containsBlank="1" containsNumber="1" minValue="-667.62931034482699" maxValue="38725.965517241399"/>
    </cacheField>
    <cacheField name="TikTok 2026" numFmtId="165">
      <sharedItems containsString="0" containsBlank="1" containsNumber="1" containsInteger="1" minValue="-1487" maxValue="56771"/>
    </cacheField>
    <cacheField name="Shein 2025" numFmtId="165">
      <sharedItems containsSemiMixedTypes="0" containsString="0" containsNumber="1" minValue="-947.41379310344803" maxValue="4478.4482758620697"/>
    </cacheField>
    <cacheField name="Shein 2026" numFmtId="165">
      <sharedItems containsString="0" containsBlank="1" containsNumber="1" containsInteger="1" minValue="-44" maxValue="9302"/>
    </cacheField>
    <cacheField name="Venta Total 2026" numFmtId="165">
      <sharedItems containsSemiMixedTypes="0" containsString="0" containsNumber="1" containsInteger="1" minValue="-35851" maxValue="7437715"/>
    </cacheField>
    <cacheField name="Alcance vs Meta" numFmtId="9">
      <sharedItems containsSemiMixedTypes="0" containsString="0" containsNumber="1" minValue="-48.325550774917602" maxValue="1.6168480760053585"/>
    </cacheField>
    <cacheField name="Deuda" numFmtId="165">
      <sharedItems containsSemiMixedTypes="0" containsString="0" containsNumber="1" minValue="-16491338.05188093" maxValue="2146874.7062202301"/>
    </cacheField>
    <cacheField name="Crecimiento" numFmtId="9">
      <sharedItems containsMixedTypes="1" containsNumber="1" minValue="-1.0096190867408144" maxValue="1.2426681127691501"/>
    </cacheField>
    <cacheField name="Share vs Global 2025" numFmtId="9">
      <sharedItems containsMixedTypes="1" containsNumber="1" minValue="2.4863123636672625E-2" maxValue="1.0154091726609291"/>
    </cacheField>
    <cacheField name="Share vs Global 2026" numFmtId="10">
      <sharedItems containsMixedTypes="1" containsNumber="1" minValue="-1.2543998553404155E-3" maxValue="0.99994626049405277"/>
    </cacheField>
    <cacheField name="Global YoY" numFmtId="10">
      <sharedItems containsMixedTypes="1" containsNumber="1" minValue="-1" maxValue="1.3686447854564099"/>
    </cacheField>
    <cacheField name="Días (2025)" numFmtId="0" databaseField="0">
      <fieldGroup base="0">
        <rangePr groupBy="days" startDate="2025-01-01T00:00:00" endDate="2026-01-01T00:00:00"/>
        <groupItems count="368">
          <s v="&lt;01/01/2025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1/01/2026"/>
        </groupItems>
      </fieldGroup>
    </cacheField>
    <cacheField name="Meses (2025)" numFmtId="0" databaseField="0">
      <fieldGroup base="0">
        <rangePr groupBy="months" startDate="2025-01-01T00:00:00" endDate="2026-01-01T00:00:00"/>
        <groupItems count="14">
          <s v="&lt;01/01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01/2026"/>
        </groupItems>
      </fieldGroup>
    </cacheField>
    <cacheField name="Días (2026)" numFmtId="0" databaseField="0">
      <fieldGroup base="5">
        <rangePr groupBy="days" startDate="2026-01-01T00:00:00" endDate="2027-01-01T00:00:00"/>
        <groupItems count="368">
          <s v="&lt;01/01/2026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1/01/2027"/>
        </groupItems>
      </fieldGroup>
    </cacheField>
    <cacheField name="Meses (2026)" numFmtId="0" databaseField="0">
      <fieldGroup base="5">
        <rangePr groupBy="months" startDate="2026-01-01T00:00:00" endDate="2027-01-01T00:00:00"/>
        <groupItems count="14">
          <s v="&lt;01/01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01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a Muños Bernal" refreshedDate="46293.64201585648" createdVersion="8" refreshedVersion="8" minRefreshableVersion="3" recordCount="365" xr:uid="{DEAB0404-C4C6-4C9B-9D53-B68B93A8B9FD}">
  <cacheSource type="worksheet">
    <worksheetSource name="Tabla22"/>
  </cacheSource>
  <cacheFields count="39">
    <cacheField name="Global 2025" numFmtId="165">
      <sharedItems containsSemiMixedTypes="0" containsString="0" containsNumber="1" containsInteger="1" minValue="-29064" maxValue="127581576"/>
    </cacheField>
    <cacheField name="Vta 2025" numFmtId="165">
      <sharedItems containsSemiMixedTypes="0" containsString="0" containsNumber="1" minValue="-29107" maxValue="12618273.603448274"/>
    </cacheField>
    <cacheField name="Share diario" numFmtId="9">
      <sharedItems containsSemiMixedTypes="0" containsString="0" containsNumber="1" minValue="-3.3795058862703904E-4" maxValue="6.7155361298468066E-2"/>
    </cacheField>
    <cacheField name="Global 2026" numFmtId="165">
      <sharedItems containsString="0" containsBlank="1" containsNumber="1" containsInteger="1" minValue="1767787" maxValue="84788455"/>
    </cacheField>
    <cacheField name="2026" numFmtId="168">
      <sharedItems containsSemiMixedTypes="0" containsNonDate="0" containsDate="1" containsString="0" minDate="2026-01-01T00:00:00" maxDate="2027-01-01T00:00:00" count="365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</sharedItems>
      <fieldGroup par="38"/>
    </cacheField>
    <cacheField name="Venta Meta 2026" numFmtId="165">
      <sharedItems containsSemiMixedTypes="0" containsString="0" containsNumber="1" minValue="-36578.827797188496" maxValue="16491338.05188093"/>
    </cacheField>
    <cacheField name="Meta Digital" numFmtId="165">
      <sharedItems containsSemiMixedTypes="0" containsString="0" containsNumber="1" minValue="-91461.011238662599" maxValue="9804142.3963300195"/>
    </cacheField>
    <cacheField name="Meta MKPlace" numFmtId="165">
      <sharedItems containsSemiMixedTypes="0" containsString="0" containsNumber="1" minValue="54882.183441474102" maxValue="7201641.6348514501"/>
    </cacheField>
    <cacheField name="Web + APP 2025" numFmtId="165">
      <sharedItems containsSemiMixedTypes="0" containsString="0" containsNumber="1" containsInteger="1" minValue="-70516" maxValue="7301102"/>
    </cacheField>
    <cacheField name="Web + APP 2026" numFmtId="165">
      <sharedItems containsString="0" containsBlank="1" containsNumber="1" containsInteger="1" minValue="-239835" maxValue="6380671"/>
    </cacheField>
    <cacheField name="Afiliados 2025" numFmtId="165">
      <sharedItems containsSemiMixedTypes="0" containsString="0" containsNumber="1" minValue="0" maxValue="78706.896551724101"/>
    </cacheField>
    <cacheField name="Afiliados 2026" numFmtId="165">
      <sharedItems containsString="0" containsBlank="1" containsNumber="1" containsInteger="1" minValue="0" maxValue="83907"/>
    </cacheField>
    <cacheField name="TMK 2025" numFmtId="165">
      <sharedItems containsSemiMixedTypes="0" containsString="0" containsNumber="1" containsInteger="1" minValue="-24113" maxValue="199752"/>
    </cacheField>
    <cacheField name="TMK 2026" numFmtId="0">
      <sharedItems containsString="0" containsBlank="1" containsNumber="1" containsInteger="1" minValue="-6459" maxValue="89330"/>
    </cacheField>
    <cacheField name="WA 2025" numFmtId="165">
      <sharedItems containsSemiMixedTypes="0" containsString="0" containsNumber="1" containsInteger="1" minValue="-2861" maxValue="26723"/>
    </cacheField>
    <cacheField name="WA 2026" numFmtId="165">
      <sharedItems containsString="0" containsBlank="1" containsNumber="1" containsInteger="1" minValue="-2118" maxValue="29247"/>
    </cacheField>
    <cacheField name="Ent. en Tienda 2025" numFmtId="165">
      <sharedItems containsSemiMixedTypes="0" containsString="0" containsNumber="1" containsInteger="1" minValue="0" maxValue="321653"/>
    </cacheField>
    <cacheField name="Ent. en Tienda 2026" numFmtId="165">
      <sharedItems containsString="0" containsBlank="1" containsNumber="1" containsInteger="1" minValue="-9316" maxValue="202862"/>
    </cacheField>
    <cacheField name="Meli Drop 2025" numFmtId="165">
      <sharedItems containsSemiMixedTypes="0" containsString="0" containsNumber="1" containsInteger="1" minValue="-35912" maxValue="4615472"/>
    </cacheField>
    <cacheField name="Meli Drop 2026" numFmtId="0">
      <sharedItems containsString="0" containsBlank="1" containsNumber="1" containsInteger="1" minValue="-140136" maxValue="1074734"/>
    </cacheField>
    <cacheField name="Meli Full 2025" numFmtId="165">
      <sharedItems containsSemiMixedTypes="0" containsString="0" containsNumber="1" containsInteger="1" minValue="1022" maxValue="740810"/>
    </cacheField>
    <cacheField name="Meli Full 2026" numFmtId="0">
      <sharedItems containsString="0" containsBlank="1" containsNumber="1" containsInteger="1" minValue="6662" maxValue="472947"/>
    </cacheField>
    <cacheField name="Amazon Drop 2025" numFmtId="165">
      <sharedItems containsSemiMixedTypes="0" containsString="0" containsNumber="1" containsInteger="1" minValue="-2259" maxValue="158214"/>
    </cacheField>
    <cacheField name="Amazon Drop 2026" numFmtId="0">
      <sharedItems containsString="0" containsBlank="1" containsNumber="1" containsInteger="1" minValue="0" maxValue="83688"/>
    </cacheField>
    <cacheField name="Amazon Full 2025" numFmtId="165">
      <sharedItems containsSemiMixedTypes="0" containsString="0" containsNumber="1" containsInteger="1" minValue="0" maxValue="227482"/>
    </cacheField>
    <cacheField name="Amazon Full 2026" numFmtId="165">
      <sharedItems containsString="0" containsBlank="1" containsNumber="1" containsInteger="1" minValue="214" maxValue="21040"/>
    </cacheField>
    <cacheField name="TikTok 2025" numFmtId="165">
      <sharedItems containsString="0" containsBlank="1" containsNumber="1" minValue="-667.62931034482699" maxValue="38725.965517241399"/>
    </cacheField>
    <cacheField name="TikTok 2026" numFmtId="165">
      <sharedItems containsString="0" containsBlank="1" containsNumber="1" containsInteger="1" minValue="-1487" maxValue="65818"/>
    </cacheField>
    <cacheField name="Shein 2025" numFmtId="165">
      <sharedItems containsSemiMixedTypes="0" containsString="0" containsNumber="1" minValue="-947.41379310344803" maxValue="4478.4482758620697"/>
    </cacheField>
    <cacheField name="Shein 2026" numFmtId="165">
      <sharedItems containsString="0" containsBlank="1" containsNumber="1" containsInteger="1" minValue="-44" maxValue="17191"/>
    </cacheField>
    <cacheField name="Venta Total 2026" numFmtId="165">
      <sharedItems containsSemiMixedTypes="0" containsString="0" containsNumber="1" containsInteger="1" minValue="-35851" maxValue="7437715"/>
    </cacheField>
    <cacheField name="Alcance vs Meta" numFmtId="9">
      <sharedItems containsSemiMixedTypes="0" containsString="0" containsNumber="1" minValue="-48.325550774917602" maxValue="1.6168480760053585"/>
    </cacheField>
    <cacheField name="Deuda" numFmtId="165">
      <sharedItems containsSemiMixedTypes="0" containsString="0" containsNumber="1" minValue="-16491338.05188093" maxValue="2146874.7062202301"/>
    </cacheField>
    <cacheField name="Crecimiento" numFmtId="9">
      <sharedItems containsMixedTypes="1" containsNumber="1" minValue="-1.0096190867408144" maxValue="1.2426681127691501"/>
    </cacheField>
    <cacheField name="Share vs Global 2025" numFmtId="9">
      <sharedItems containsMixedTypes="1" containsNumber="1" minValue="2.4863123636672625E-2" maxValue="1.0154091726609291"/>
    </cacheField>
    <cacheField name="Share vs Global 2026" numFmtId="10">
      <sharedItems containsMixedTypes="1" containsNumber="1" minValue="-1.2543998553404155E-3" maxValue="0.99994626049405277"/>
    </cacheField>
    <cacheField name="Global YoY" numFmtId="10">
      <sharedItems containsMixedTypes="1" containsNumber="1" minValue="-1" maxValue="1.3686447854564099"/>
    </cacheField>
    <cacheField name="Días (2026)" numFmtId="0" databaseField="0">
      <fieldGroup base="4">
        <rangePr groupBy="days" startDate="2026-01-01T00:00:00" endDate="2027-01-01T00:00:00"/>
        <groupItems count="368">
          <s v="&lt;01/01/2026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1/01/2027"/>
        </groupItems>
      </fieldGroup>
    </cacheField>
    <cacheField name="Meses (2026)" numFmtId="0" databaseField="0">
      <fieldGroup base="4">
        <rangePr groupBy="months" startDate="2026-01-01T00:00:00" endDate="2027-01-01T00:00:00"/>
        <groupItems count="14">
          <s v="&lt;01/01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01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3">
  <r>
    <x v="0"/>
    <n v="35585285"/>
    <n v="3530236.3103448278"/>
    <n v="-3.3795058862703904E-4"/>
    <n v="1767787"/>
    <x v="0"/>
    <n v="-36578.827797188496"/>
    <n v="-91461.011238662599"/>
    <n v="54882.183441474102"/>
    <n v="2533552"/>
    <n v="1117875"/>
    <n v="48254.310344827602"/>
    <n v="17319"/>
    <n v="21696"/>
    <n v="0"/>
    <n v="5984"/>
    <n v="1884"/>
    <n v="47691"/>
    <n v="0"/>
    <n v="671816"/>
    <n v="511381"/>
    <n v="116771"/>
    <n v="78269"/>
    <n v="84472"/>
    <n v="31357"/>
    <n v="0"/>
    <n v="7591"/>
    <n v="0"/>
    <n v="2016"/>
    <n v="0"/>
    <n v="0"/>
    <n v="1767692"/>
    <n v="-48.325550774917602"/>
    <n v="1804270.8277971884"/>
    <n v="-0.49927091429544146"/>
    <n v="9.9204946942109018E-2"/>
    <n v="0.99994626049405277"/>
    <n v="-0.95032252797750527"/>
  </r>
  <r>
    <x v="1"/>
    <n v="45059441"/>
    <n v="2122251.3448275863"/>
    <n v="4.0988265333891542E-2"/>
    <n v="37878399"/>
    <x v="1"/>
    <n v="4512263.3008681601"/>
    <n v="3388095.96883546"/>
    <n v="1124167.3320327001"/>
    <n v="1249824"/>
    <n v="1824628"/>
    <n v="33610.344827586203"/>
    <n v="32072"/>
    <n v="21922"/>
    <n v="15461"/>
    <n v="4267"/>
    <n v="5339"/>
    <n v="40797"/>
    <n v="100874"/>
    <n v="650641"/>
    <n v="906403"/>
    <n v="73651"/>
    <n v="134485"/>
    <n v="47539"/>
    <n v="28403"/>
    <n v="0"/>
    <n v="8334"/>
    <n v="0"/>
    <n v="1412"/>
    <n v="0"/>
    <n v="0"/>
    <n v="3057411"/>
    <n v="0.67757814563076446"/>
    <n v="-1454852.3008681601"/>
    <n v="0.44064509957862086"/>
    <n v="4.7098927499513062E-2"/>
    <n v="8.0716479067660704E-2"/>
    <n v="-0.15936819988512507"/>
  </r>
  <r>
    <x v="2"/>
    <n v="52763562"/>
    <n v="1311866.9655172415"/>
    <n v="2.4640673762291131E-2"/>
    <n v="45280774"/>
    <x v="2"/>
    <n v="2715709.2287748121"/>
    <n v="1721884.99003478"/>
    <n v="993824.23874003196"/>
    <n v="805491"/>
    <n v="1844500"/>
    <n v="33443.965517241399"/>
    <n v="30385"/>
    <n v="-972"/>
    <n v="4998"/>
    <n v="125"/>
    <n v="903"/>
    <n v="76993"/>
    <n v="60781"/>
    <n v="272764"/>
    <n v="517553"/>
    <n v="79911"/>
    <n v="118746"/>
    <n v="44111"/>
    <n v="27889"/>
    <n v="0"/>
    <n v="13091"/>
    <n v="0"/>
    <n v="688"/>
    <n v="0"/>
    <n v="0"/>
    <n v="2619534"/>
    <n v="0.96458559415869372"/>
    <n v="-96175.228774812073"/>
    <n v="0.99679850842739448"/>
    <n v="2.4863123636672625E-2"/>
    <n v="5.7850910410674521E-2"/>
    <n v="-0.1418173397770226"/>
  </r>
  <r>
    <x v="3"/>
    <n v="49768856"/>
    <n v="1824121.6896551724"/>
    <n v="1.5231601099286058E-2"/>
    <n v="49319936"/>
    <x v="3"/>
    <n v="1677704.5316270911"/>
    <n v="1166795.35022248"/>
    <n v="510909.18140461098"/>
    <n v="1228466"/>
    <n v="1894237"/>
    <n v="26220.689655172398"/>
    <n v="35794"/>
    <n v="6650"/>
    <n v="2820"/>
    <n v="4220"/>
    <n v="1256"/>
    <n v="118329"/>
    <n v="34216"/>
    <n v="311434"/>
    <n v="181111"/>
    <n v="74826"/>
    <n v="111132"/>
    <n v="53976"/>
    <n v="24171"/>
    <n v="0"/>
    <n v="11093"/>
    <n v="0"/>
    <n v="0"/>
    <n v="0"/>
    <n v="0"/>
    <n v="2295830"/>
    <n v="1.3684352379816433"/>
    <n v="618125.46837290889"/>
    <n v="0.25859475988907188"/>
    <n v="3.6651870994486441E-2"/>
    <n v="4.6549735993169174E-2"/>
    <n v="-9.0200988345000566E-3"/>
  </r>
  <r>
    <x v="4"/>
    <n v="22835293"/>
    <n v="3136399"/>
    <n v="2.1179200836441904E-2"/>
    <n v="42820052"/>
    <x v="4"/>
    <n v="2331411.9850357091"/>
    <n v="1764555.7592998201"/>
    <n v="566856.22573588905"/>
    <n v="2147376"/>
    <n v="2243868"/>
    <n v="18700"/>
    <n v="29134"/>
    <n v="36331"/>
    <n v="10063"/>
    <n v="-500"/>
    <n v="4612"/>
    <n v="58951"/>
    <n v="91070"/>
    <n v="714238"/>
    <n v="1061982"/>
    <n v="83712"/>
    <n v="81808"/>
    <n v="77591"/>
    <n v="39071"/>
    <n v="0"/>
    <n v="9717"/>
    <n v="0"/>
    <n v="11108"/>
    <n v="0"/>
    <n v="0"/>
    <n v="3582433"/>
    <n v="1.5365937135924648"/>
    <n v="1251021.0149642909"/>
    <n v="0.14221213563707935"/>
    <n v="0.13734875221439025"/>
    <n v="8.3662509330908796E-2"/>
    <n v="0.87516980841892411"/>
  </r>
  <r>
    <x v="5"/>
    <n v="23697613"/>
    <n v="2922246.1379310344"/>
    <n v="3.6415566297428682E-2"/>
    <n v="22329279"/>
    <x v="5"/>
    <n v="4010122.98131203"/>
    <n v="2882759.7789909402"/>
    <n v="1127363.20232109"/>
    <n v="2444768"/>
    <n v="2374462"/>
    <n v="20049.1379310345"/>
    <n v="21733"/>
    <n v="54064"/>
    <n v="67853"/>
    <n v="-344"/>
    <n v="-114"/>
    <n v="55989"/>
    <n v="66697"/>
    <n v="209116"/>
    <n v="650825"/>
    <n v="80417"/>
    <n v="87785"/>
    <n v="58187"/>
    <n v="32894"/>
    <n v="0"/>
    <n v="14047"/>
    <n v="0"/>
    <n v="11280"/>
    <n v="0"/>
    <n v="1120"/>
    <n v="3328582"/>
    <n v="0.8300448678287059"/>
    <n v="-681540.98131203"/>
    <n v="0.13904915701476583"/>
    <n v="0.12331394465472259"/>
    <n v="0.14906804648730484"/>
    <n v="-5.7741427374984999E-2"/>
  </r>
  <r>
    <x v="6"/>
    <n v="26871838"/>
    <n v="3244805"/>
    <n v="3.39291167906993E-2"/>
    <n v="23046004"/>
    <x v="6"/>
    <n v="3730440.5306519461"/>
    <n v="3282709.6617250899"/>
    <n v="447730.86892685603"/>
    <n v="2443314"/>
    <n v="2461726"/>
    <n v="26275"/>
    <n v="24949"/>
    <n v="56169"/>
    <n v="16759"/>
    <n v="3661"/>
    <n v="5667"/>
    <n v="70092"/>
    <n v="41847"/>
    <n v="538812"/>
    <n v="438746"/>
    <n v="68361"/>
    <n v="113224"/>
    <n v="38121"/>
    <n v="5778"/>
    <n v="0"/>
    <n v="10555"/>
    <n v="0"/>
    <n v="14781"/>
    <n v="0"/>
    <n v="0"/>
    <n v="3134032"/>
    <n v="0.84012383369968491"/>
    <n v="-596408.53065194609"/>
    <n v="-3.413856918982805E-2"/>
    <n v="0.12075113730590367"/>
    <n v="0.13599025670567444"/>
    <n v="-0.14237336500763365"/>
  </r>
  <r>
    <x v="7"/>
    <n v="28051817"/>
    <n v="2520450.3103448278"/>
    <n v="3.7674228183253493E-2"/>
    <n v="26562197"/>
    <x v="7"/>
    <n v="4145459.9903342789"/>
    <n v="3314567.1934480299"/>
    <n v="830892.79688624898"/>
    <n v="2184366"/>
    <n v="2651325"/>
    <n v="24654.310344827602"/>
    <n v="23867"/>
    <n v="59780"/>
    <n v="32696"/>
    <n v="2734"/>
    <n v="1757"/>
    <n v="31913"/>
    <n v="21864"/>
    <n v="73729"/>
    <n v="443664"/>
    <n v="68117"/>
    <n v="108455"/>
    <n v="75157"/>
    <n v="25645"/>
    <n v="0"/>
    <n v="3530"/>
    <n v="0"/>
    <n v="21246"/>
    <n v="0"/>
    <n v="947"/>
    <n v="3334996"/>
    <n v="0.80449359245439844"/>
    <n v="-810463.9903342789"/>
    <n v="0.32317466696803576"/>
    <n v="8.9849805819880682E-2"/>
    <n v="0.12555422279264022"/>
    <n v="-5.3102442526272053E-2"/>
  </r>
  <r>
    <x v="8"/>
    <n v="28699623"/>
    <n v="2278857.5862068962"/>
    <n v="2.9264014360333865E-2"/>
    <n v="26952477"/>
    <x v="8"/>
    <n v="3216481.4532837071"/>
    <n v="2937064.2735133902"/>
    <n v="279417.17977031699"/>
    <n v="2007643"/>
    <n v="1967914"/>
    <n v="26027.5862068965"/>
    <n v="27977"/>
    <n v="69118"/>
    <n v="732"/>
    <n v="2178"/>
    <n v="3382"/>
    <n v="45932"/>
    <n v="81797"/>
    <n v="27229"/>
    <n v="357183"/>
    <n v="63746"/>
    <n v="88348"/>
    <n v="36984"/>
    <n v="22372"/>
    <n v="0"/>
    <n v="11805"/>
    <n v="0"/>
    <n v="15175"/>
    <n v="0"/>
    <n v="689"/>
    <n v="2577374"/>
    <n v="0.80130230422089266"/>
    <n v="-639107.45328370715"/>
    <n v="0.13099388728805006"/>
    <n v="7.940374639091588E-2"/>
    <n v="9.5626609754643335E-2"/>
    <n v="-6.0876966920436537E-2"/>
  </r>
  <r>
    <x v="9"/>
    <n v="40105570"/>
    <n v="2287848.7931034481"/>
    <n v="2.645897078557783E-2"/>
    <n v="35436338"/>
    <x v="9"/>
    <n v="2907315.8971540579"/>
    <n v="2742553.4611221598"/>
    <n v="164762.43603189799"/>
    <n v="1623013"/>
    <n v="1571666"/>
    <n v="27638.793103448301"/>
    <n v="27994"/>
    <n v="37575"/>
    <n v="71315"/>
    <n v="943"/>
    <n v="-96"/>
    <n v="46764"/>
    <n v="34126"/>
    <n v="466722"/>
    <n v="488987"/>
    <n v="44669"/>
    <n v="120073"/>
    <n v="40524"/>
    <n v="23228"/>
    <n v="0"/>
    <n v="6392"/>
    <n v="0"/>
    <n v="-1487"/>
    <n v="0"/>
    <n v="689"/>
    <n v="2342887"/>
    <n v="0.80585910952897422"/>
    <n v="-564428.89715405786"/>
    <n v="2.4056750193658161E-2"/>
    <n v="5.7045662063983836E-2"/>
    <n v="6.6115381335396448E-2"/>
    <n v="-0.11642352920055743"/>
  </r>
  <r>
    <x v="10"/>
    <n v="41530429"/>
    <n v="2885246.068965517"/>
    <n v="2.656336435630505E-2"/>
    <n v="37766104"/>
    <x v="10"/>
    <n v="2924099.1380594317"/>
    <n v="2213442.91315501"/>
    <n v="710656.22490442195"/>
    <n v="2046304"/>
    <n v="1877762"/>
    <n v="27737.068965517199"/>
    <n v="29948"/>
    <n v="14675"/>
    <n v="-1145"/>
    <n v="-1465"/>
    <n v="2935"/>
    <n v="85731"/>
    <n v="32600"/>
    <n v="581035"/>
    <n v="182133"/>
    <n v="51721"/>
    <n v="111049"/>
    <n v="79508"/>
    <n v="31695"/>
    <n v="0"/>
    <n v="9041"/>
    <n v="0"/>
    <n v="1612"/>
    <n v="0"/>
    <n v="947"/>
    <n v="2278577"/>
    <n v="0.77924067975074529"/>
    <n v="-645522.13805943169"/>
    <n v="-0.21026597193598584"/>
    <n v="6.94730620038988E-2"/>
    <n v="6.0333917419705244E-2"/>
    <n v="-9.0640166515014831E-2"/>
  </r>
  <r>
    <x v="11"/>
    <n v="25137619"/>
    <n v="4228309.2413793104"/>
    <n v="3.3499522703842613E-2"/>
    <n v="22002628"/>
    <x v="11"/>
    <n v="3687836.1608523969"/>
    <n v="2770711.5214145798"/>
    <n v="917124.63943781704"/>
    <n v="2797894"/>
    <n v="2815225"/>
    <n v="21892.241379310301"/>
    <n v="28391"/>
    <n v="62339"/>
    <n v="25098"/>
    <n v="7660"/>
    <n v="689"/>
    <n v="57950"/>
    <n v="78900"/>
    <n v="1124689"/>
    <n v="1028542"/>
    <n v="34111"/>
    <n v="130772"/>
    <n v="121774"/>
    <n v="38266"/>
    <n v="0"/>
    <n v="9160"/>
    <n v="0"/>
    <n v="15529"/>
    <n v="0"/>
    <n v="0"/>
    <n v="4170572"/>
    <n v="1.1308994809129549"/>
    <n v="482735.83914760314"/>
    <n v="-1.3654924009407599E-2"/>
    <n v="0.16820643360770607"/>
    <n v="0.18954881207826629"/>
    <n v="-0.124713124182525"/>
  </r>
  <r>
    <x v="12"/>
    <n v="26929672"/>
    <n v="4051721.7586206896"/>
    <n v="4.9093331398676845E-2"/>
    <n v="24135120"/>
    <x v="12"/>
    <n v="5407470.0200807396"/>
    <n v="3758578.6426933599"/>
    <n v="1648891.37738738"/>
    <n v="3014987"/>
    <n v="3308864"/>
    <n v="25132.758620689601"/>
    <n v="29276"/>
    <n v="88823"/>
    <n v="24647"/>
    <n v="264"/>
    <n v="3108"/>
    <n v="76057"/>
    <n v="43565"/>
    <n v="657218"/>
    <n v="536006"/>
    <n v="100302"/>
    <n v="110255"/>
    <n v="88938"/>
    <n v="39605"/>
    <n v="0"/>
    <n v="8501"/>
    <n v="0"/>
    <n v="11906"/>
    <n v="0"/>
    <n v="0"/>
    <n v="4115733"/>
    <n v="0.76111989242957423"/>
    <n v="-1291737.0200807396"/>
    <n v="1.5798528426369973E-2"/>
    <n v="0.15045566684290435"/>
    <n v="0.17052879786800315"/>
    <n v="-0.10377222566988564"/>
  </r>
  <r>
    <x v="13"/>
    <n v="30377124"/>
    <n v="4027205.8620689656"/>
    <n v="4.7043039587688316E-2"/>
    <n v="26317522"/>
    <x v="13"/>
    <n v="5176861.7710896097"/>
    <n v="4086946.3913297802"/>
    <n v="1089915.37975983"/>
    <n v="3145541"/>
    <n v="3212173"/>
    <n v="28275.8620689655"/>
    <n v="27929"/>
    <n v="68859"/>
    <n v="49002"/>
    <n v="5179"/>
    <n v="2343"/>
    <n v="64024"/>
    <n v="31865"/>
    <n v="635340"/>
    <n v="514044"/>
    <n v="1022"/>
    <n v="119118"/>
    <n v="78965"/>
    <n v="41245"/>
    <n v="0"/>
    <n v="5948"/>
    <n v="0"/>
    <n v="15693"/>
    <n v="0"/>
    <n v="0"/>
    <n v="4019360"/>
    <n v="0.77640859998354128"/>
    <n v="-1157501.7710896097"/>
    <n v="-1.9482148014491329E-3"/>
    <n v="0.13257363870486771"/>
    <n v="0.15272562515574226"/>
    <n v="-0.13364010365168211"/>
  </r>
  <r>
    <x v="14"/>
    <n v="34401698"/>
    <n v="3965940.8275862071"/>
    <n v="4.6758394599528262E-2"/>
    <n v="30903967"/>
    <x v="14"/>
    <n v="5143957.0845599538"/>
    <n v="4222888.4682110501"/>
    <n v="921068.61634890398"/>
    <n v="2652789"/>
    <n v="2833552"/>
    <n v="24219.827586206899"/>
    <n v="36431"/>
    <n v="86898"/>
    <n v="39316"/>
    <n v="9752"/>
    <n v="1033"/>
    <n v="63370"/>
    <n v="49218"/>
    <n v="467016"/>
    <n v="512619"/>
    <n v="578857"/>
    <n v="120851"/>
    <n v="83039"/>
    <n v="38749"/>
    <n v="0"/>
    <n v="11568"/>
    <n v="0"/>
    <n v="6953"/>
    <n v="0"/>
    <n v="947"/>
    <n v="3651237"/>
    <n v="0.70981093737339174"/>
    <n v="-1492720.0845599538"/>
    <n v="-7.9351619519181127E-2"/>
    <n v="0.11528328710943882"/>
    <n v="0.11814784166705847"/>
    <n v="-0.10167320810734404"/>
  </r>
  <r>
    <x v="15"/>
    <n v="33022574"/>
    <n v="2433095.3103448274"/>
    <n v="4.6047068991746487E-2"/>
    <n v="32703579"/>
    <x v="15"/>
    <n v="5071028.3538970798"/>
    <n v="3617419.8450337602"/>
    <n v="1453608.5088633201"/>
    <n v="1736223"/>
    <n v="2640237"/>
    <n v="19429.310344827602"/>
    <n v="35873"/>
    <n v="37364"/>
    <n v="-6459"/>
    <n v="4728"/>
    <n v="3002"/>
    <n v="83214"/>
    <n v="52074"/>
    <n v="307736"/>
    <n v="435351"/>
    <n v="197102"/>
    <n v="150561"/>
    <n v="47299"/>
    <n v="53754"/>
    <n v="0"/>
    <n v="6324"/>
    <n v="0"/>
    <n v="8858"/>
    <n v="0"/>
    <n v="947"/>
    <n v="3380522"/>
    <n v="0.66663441102672449"/>
    <n v="-1690506.3538970798"/>
    <n v="0.38939152347505024"/>
    <n v="7.3679759498603212E-2"/>
    <n v="0.10336856403392423"/>
    <n v="-9.6599071895485666E-3"/>
  </r>
  <r>
    <x v="16"/>
    <n v="45210881"/>
    <n v="3363106"/>
    <n v="2.8249767833054683E-2"/>
    <n v="45086574"/>
    <x v="16"/>
    <n v="3109301.8861852051"/>
    <n v="2398359.80986901"/>
    <n v="710942.07631619496"/>
    <n v="2580220"/>
    <n v="2128824"/>
    <n v="28300"/>
    <n v="41848"/>
    <n v="17517"/>
    <n v="39673"/>
    <n v="6155"/>
    <n v="3597"/>
    <n v="63991"/>
    <n v="57603"/>
    <n v="488099"/>
    <n v="457229"/>
    <n v="140441"/>
    <n v="118233"/>
    <n v="38383"/>
    <n v="37402"/>
    <n v="0"/>
    <n v="6671"/>
    <n v="0"/>
    <n v="930"/>
    <n v="0"/>
    <n v="0"/>
    <n v="2892010"/>
    <n v="0.9301155390698328"/>
    <n v="-217291.88618520508"/>
    <n v="-0.14007765440637321"/>
    <n v="7.4387092788570072E-2"/>
    <n v="6.4143485375491166E-2"/>
    <n v="-2.7494929815679026E-3"/>
  </r>
  <r>
    <x v="17"/>
    <n v="42397530"/>
    <n v="2564263.8275862066"/>
    <n v="3.9047777246542986E-2"/>
    <n v="44463837"/>
    <x v="17"/>
    <n v="4296573.7917584404"/>
    <n v="3437831.0841278601"/>
    <n v="858742.70763057994"/>
    <n v="2028149"/>
    <n v="2552466"/>
    <n v="25069.827586206899"/>
    <n v="37032"/>
    <n v="22533"/>
    <n v="-1059"/>
    <n v="9941"/>
    <n v="2557"/>
    <n v="65234"/>
    <n v="43820"/>
    <n v="193047"/>
    <n v="167676"/>
    <n v="170098"/>
    <n v="113618"/>
    <n v="50192"/>
    <n v="53156"/>
    <n v="0"/>
    <n v="3354"/>
    <n v="0"/>
    <n v="586"/>
    <n v="0"/>
    <n v="0"/>
    <n v="2973206"/>
    <n v="0.69199463202589817"/>
    <n v="-1323367.7917584404"/>
    <n v="0.15947741726666975"/>
    <n v="6.0481443791329512E-2"/>
    <n v="6.6867958336569111E-2"/>
    <n v="4.8736494791087992E-2"/>
  </r>
  <r>
    <x v="18"/>
    <n v="24310022"/>
    <n v="3939989.6896551722"/>
    <n v="2.9772716869748951E-2"/>
    <n v="25877600"/>
    <x v="18"/>
    <n v="3274810.033961595"/>
    <n v="2742589.4709522198"/>
    <n v="532220.56300937501"/>
    <n v="3051836"/>
    <n v="3650682"/>
    <n v="24870.689655172398"/>
    <n v="29279"/>
    <n v="62489"/>
    <n v="39416"/>
    <n v="2112"/>
    <n v="1876"/>
    <n v="23575"/>
    <n v="66465"/>
    <n v="601975"/>
    <n v="827888"/>
    <n v="119622"/>
    <n v="129619"/>
    <n v="47661"/>
    <n v="40872"/>
    <n v="5849"/>
    <n v="7344"/>
    <n v="0"/>
    <n v="6161"/>
    <n v="0"/>
    <n v="861"/>
    <n v="4800463"/>
    <n v="1.4658752569512545"/>
    <n v="1525652.966038405"/>
    <n v="0.2183948127082882"/>
    <n v="0.16207265010517771"/>
    <n v="0.18550649982996878"/>
    <n v="6.4482788209734965E-2"/>
  </r>
  <r>
    <x v="19"/>
    <n v="25280575"/>
    <n v="4126281"/>
    <n v="4.5745759947896737E-2"/>
    <n v="26671750"/>
    <x v="19"/>
    <n v="5033500.0450277738"/>
    <n v="4035457.5665356298"/>
    <n v="998042.47849214403"/>
    <n v="2969811"/>
    <n v="3539014"/>
    <n v="20875"/>
    <n v="35261"/>
    <n v="56684"/>
    <n v="50393"/>
    <n v="6612"/>
    <n v="1403"/>
    <n v="40784"/>
    <n v="82775"/>
    <n v="884541"/>
    <n v="541048"/>
    <n v="85285"/>
    <n v="103829"/>
    <n v="44091"/>
    <n v="59350"/>
    <n v="17598"/>
    <n v="5233"/>
    <n v="0"/>
    <n v="8443"/>
    <n v="0"/>
    <n v="0"/>
    <n v="4426749"/>
    <n v="0.87945742731697429"/>
    <n v="-606751.04502777383"/>
    <n v="7.2818113938435181E-2"/>
    <n v="0.16321942835556549"/>
    <n v="0.16597144919249768"/>
    <n v="5.5029404987821717E-2"/>
  </r>
  <r>
    <x v="20"/>
    <n v="27320349"/>
    <n v="3467828.068965517"/>
    <n v="4.7908719304310551E-2"/>
    <n v="28758026"/>
    <x v="20"/>
    <n v="5274251.9281716105"/>
    <n v="3946053.64431941"/>
    <n v="1328198.2838522"/>
    <n v="2805417"/>
    <n v="3499850"/>
    <n v="19287.068965517199"/>
    <n v="30801"/>
    <n v="90551"/>
    <n v="35803"/>
    <n v="1592"/>
    <n v="5841"/>
    <n v="36254"/>
    <n v="48687"/>
    <n v="374553"/>
    <n v="482866"/>
    <n v="69855"/>
    <n v="118197"/>
    <n v="52088"/>
    <n v="45226"/>
    <n v="18231"/>
    <n v="2767"/>
    <n v="0"/>
    <n v="9702"/>
    <n v="0"/>
    <n v="0"/>
    <n v="4279740"/>
    <n v="0.81144019252103283"/>
    <n v="-994511.92817161046"/>
    <n v="0.23412692754306108"/>
    <n v="0.12693205599114116"/>
    <n v="0.14881897665715998"/>
    <n v="5.2622936844620938E-2"/>
  </r>
  <r>
    <x v="21"/>
    <n v="28863545"/>
    <n v="2314941.4137931033"/>
    <n v="4.0263666374558166E-2"/>
    <n v="30590251"/>
    <x v="21"/>
    <n v="4428192.7170130024"/>
    <n v="3765420.4664375"/>
    <n v="662772.25057550205"/>
    <n v="1788443"/>
    <n v="2626517"/>
    <n v="22197.413793103398"/>
    <n v="29293"/>
    <n v="61174"/>
    <n v="89330"/>
    <n v="1316"/>
    <n v="878"/>
    <n v="49423"/>
    <n v="73394"/>
    <n v="276672"/>
    <n v="421869"/>
    <n v="49661"/>
    <n v="87416"/>
    <n v="52812"/>
    <n v="44135"/>
    <n v="13243"/>
    <n v="5521"/>
    <n v="0"/>
    <n v="12903"/>
    <n v="0"/>
    <n v="0"/>
    <n v="3391256"/>
    <n v="0.76583297447079979"/>
    <n v="-1036936.7170130024"/>
    <n v="0.46494247318480597"/>
    <n v="8.0202948521850087E-2"/>
    <n v="0.11086067910982489"/>
    <n v="5.9823074400597642E-2"/>
  </r>
  <r>
    <x v="22"/>
    <n v="31893984"/>
    <n v="1982979.2068965517"/>
    <n v="2.6877926733379916E-2"/>
    <n v="31338795"/>
    <x v="22"/>
    <n v="2956642.8508414202"/>
    <n v="2451396.6176754502"/>
    <n v="505246.23316597001"/>
    <n v="1462778"/>
    <n v="2207677"/>
    <n v="19311.206896551699"/>
    <n v="27000"/>
    <n v="70610"/>
    <n v="50125"/>
    <n v="2246"/>
    <n v="1962"/>
    <n v="52560"/>
    <n v="62478"/>
    <n v="296224"/>
    <n v="395456"/>
    <n v="49215"/>
    <n v="87113"/>
    <n v="15576"/>
    <n v="29785"/>
    <n v="14459"/>
    <n v="3177"/>
    <n v="0"/>
    <n v="1034"/>
    <n v="0"/>
    <n v="947"/>
    <n v="2866754"/>
    <n v="0.9695976635068253"/>
    <n v="-89888.850841420237"/>
    <n v="0.4456803127485105"/>
    <n v="6.2174082952338339E-2"/>
    <n v="9.1476203855317351E-2"/>
    <n v="-1.7407326723434702E-2"/>
  </r>
  <r>
    <x v="23"/>
    <n v="39679161"/>
    <n v="1581235.4827586208"/>
    <n v="2.3023636589338259E-2"/>
    <n v="40446079"/>
    <x v="23"/>
    <n v="2533154.491659618"/>
    <n v="2049687.0457852299"/>
    <n v="483467.44587438798"/>
    <n v="1103959"/>
    <n v="1954073"/>
    <n v="21284.482758620699"/>
    <n v="30833"/>
    <n v="11116"/>
    <n v="29064"/>
    <n v="430"/>
    <n v="1720"/>
    <n v="56626"/>
    <n v="60413"/>
    <n v="295266"/>
    <n v="400858"/>
    <n v="41484"/>
    <n v="71989"/>
    <n v="39494"/>
    <n v="36844"/>
    <n v="11576"/>
    <n v="3208"/>
    <n v="0"/>
    <n v="0"/>
    <n v="0"/>
    <n v="0"/>
    <n v="2589002"/>
    <n v="1.0220466254720189"/>
    <n v="55847.508340382017"/>
    <n v="0.63732854987748655"/>
    <n v="3.9850527150980357E-2"/>
    <n v="6.4011198712241049E-2"/>
    <n v="1.9327979238270787E-2"/>
  </r>
  <r>
    <x v="24"/>
    <n v="37710035"/>
    <n v="1989044.2068965517"/>
    <n v="1.835913911279885E-2"/>
    <n v="40762958"/>
    <x v="24"/>
    <n v="2021056.664635597"/>
    <n v="1521692.2749335"/>
    <n v="499364.38970209699"/>
    <n v="1640079"/>
    <n v="2194390"/>
    <n v="18636.206896551699"/>
    <n v="31112"/>
    <n v="20959"/>
    <n v="5527"/>
    <n v="6107"/>
    <n v="1670"/>
    <n v="42996"/>
    <n v="80142"/>
    <n v="181222"/>
    <n v="329347"/>
    <n v="38455"/>
    <n v="91250"/>
    <n v="33258"/>
    <n v="31562"/>
    <n v="7332"/>
    <n v="3487"/>
    <n v="0"/>
    <n v="1118"/>
    <n v="0"/>
    <n v="0"/>
    <n v="2769605"/>
    <n v="1.3703747393442671"/>
    <n v="748548.33536440297"/>
    <n v="0.39243008797744872"/>
    <n v="5.274575340215281E-2"/>
    <n v="6.7944161461491584E-2"/>
    <n v="8.0957840532367653E-2"/>
  </r>
  <r>
    <x v="25"/>
    <n v="22777244"/>
    <n v="3133160.5517241377"/>
    <n v="2.309405505637447E-2"/>
    <n v="22718693"/>
    <x v="25"/>
    <n v="2539442.467794071"/>
    <n v="2204317.74082126"/>
    <n v="335124.72697281098"/>
    <n v="2287434"/>
    <n v="3117837"/>
    <n v="20571.551724137898"/>
    <n v="23290"/>
    <n v="48184"/>
    <n v="4291"/>
    <n v="6325"/>
    <n v="1531"/>
    <n v="38707"/>
    <n v="43342"/>
    <n v="428538"/>
    <n v="517922"/>
    <n v="34661"/>
    <n v="78533"/>
    <n v="41258"/>
    <n v="42966"/>
    <n v="227482"/>
    <n v="8314"/>
    <n v="0"/>
    <n v="10462"/>
    <n v="0"/>
    <n v="1378"/>
    <n v="3849866"/>
    <n v="1.5160280450630765"/>
    <n v="1310423.532205929"/>
    <n v="0.22874839525266855"/>
    <n v="0.13755661359750712"/>
    <n v="0.16945807577927127"/>
    <n v="-2.5705919469449778E-3"/>
  </r>
  <r>
    <x v="26"/>
    <n v="24302957"/>
    <n v="3137849.8620689656"/>
    <n v="3.6377965874813303E-2"/>
    <n v="24708209"/>
    <x v="26"/>
    <n v="4004192.1455097869"/>
    <n v="3061733.6027988298"/>
    <n v="942458.542710957"/>
    <n v="2625912"/>
    <n v="3426615"/>
    <n v="24700.8620689655"/>
    <n v="27817"/>
    <n v="92321"/>
    <n v="57382"/>
    <n v="6877"/>
    <n v="5403"/>
    <n v="49308"/>
    <n v="52302"/>
    <n v="276028"/>
    <n v="411232"/>
    <n v="43571"/>
    <n v="82440"/>
    <n v="14912"/>
    <n v="37763"/>
    <n v="4220"/>
    <n v="5270"/>
    <n v="0"/>
    <n v="1490"/>
    <n v="0"/>
    <n v="0"/>
    <n v="4107714"/>
    <n v="1.0258533683520408"/>
    <n v="103521.8544902131"/>
    <n v="0.30908557788406954"/>
    <n v="0.12911391243744394"/>
    <n v="0.1662489579880112"/>
    <n v="1.667500790130183E-2"/>
  </r>
  <r>
    <x v="27"/>
    <n v="26923427"/>
    <n v="2877999.6206896552"/>
    <n v="3.6432411719156226E-2"/>
    <n v="25710859"/>
    <x v="27"/>
    <n v="4005238.3203741871"/>
    <n v="3569081.8583861999"/>
    <n v="436156.46198798699"/>
    <n v="2418581"/>
    <n v="2794957"/>
    <n v="20333.620689655199"/>
    <n v="1396"/>
    <n v="55131"/>
    <n v="24203"/>
    <n v="6277"/>
    <n v="1791"/>
    <n v="82493"/>
    <n v="86934"/>
    <n v="224454"/>
    <n v="411456"/>
    <n v="43095"/>
    <n v="58025"/>
    <n v="21531"/>
    <n v="39072"/>
    <n v="6104"/>
    <n v="4163"/>
    <n v="0"/>
    <n v="4865"/>
    <n v="0"/>
    <n v="0"/>
    <n v="3426862"/>
    <n v="0.85559502978086144"/>
    <n v="-578376.32037418708"/>
    <n v="0.19070967743172274"/>
    <n v="0.10689573881845187"/>
    <n v="0.1332846172117392"/>
    <n v="-4.5037654381814063E-2"/>
  </r>
  <r>
    <x v="28"/>
    <n v="30741390"/>
    <n v="2556179.1034482759"/>
    <n v="3.3415386878773629E-2"/>
    <n v="28535339"/>
    <x v="28"/>
    <n v="3673363.8788741999"/>
    <n v="3293279.3602577699"/>
    <n v="380084.51861643"/>
    <n v="2124088"/>
    <n v="2450518"/>
    <n v="20593.103448275899"/>
    <n v="497"/>
    <n v="61017"/>
    <n v="6335"/>
    <n v="4303"/>
    <n v="6576"/>
    <n v="68703"/>
    <n v="61831"/>
    <n v="188379"/>
    <n v="318201"/>
    <n v="64182"/>
    <n v="69719"/>
    <n v="18890"/>
    <n v="44859"/>
    <n v="6024"/>
    <n v="6441"/>
    <n v="0"/>
    <n v="10362"/>
    <n v="0"/>
    <n v="0"/>
    <n v="2975339"/>
    <n v="0.80997665848227152"/>
    <n v="-698024.87887419993"/>
    <n v="0.16397907955130342"/>
    <n v="8.3151058018140225E-2"/>
    <n v="0.10426857028052129"/>
    <n v="-7.1761589179929697E-2"/>
  </r>
  <r>
    <x v="29"/>
    <n v="36726305"/>
    <n v="2351622.2068965519"/>
    <n v="2.9678848134348498E-2"/>
    <n v="32375122"/>
    <x v="29"/>
    <n v="3262796.9441023073"/>
    <n v="2905514.8698601602"/>
    <n v="357282.07424214698"/>
    <n v="1896380"/>
    <n v="1981506"/>
    <n v="18311.206896551699"/>
    <n v="23867"/>
    <n v="57647"/>
    <n v="19840"/>
    <n v="630"/>
    <n v="1512"/>
    <n v="46392"/>
    <n v="79127"/>
    <n v="251795"/>
    <n v="341849"/>
    <n v="49925"/>
    <n v="52697"/>
    <n v="25033"/>
    <n v="28869"/>
    <n v="5509"/>
    <n v="3232"/>
    <n v="0"/>
    <n v="4079"/>
    <n v="0"/>
    <n v="0"/>
    <n v="2536578"/>
    <n v="0.77742441330436152"/>
    <n v="-726218.94410230732"/>
    <n v="7.8650300444107257E-2"/>
    <n v="6.4031004668086047E-2"/>
    <n v="7.8349604365969647E-2"/>
    <n v="-0.11847592617879743"/>
  </r>
  <r>
    <x v="30"/>
    <n v="37793760"/>
    <n v="1774200.1034482759"/>
    <n v="2.7303813826540225E-2"/>
    <n v="38921712"/>
    <x v="30"/>
    <n v="3002659.2343073953"/>
    <n v="2574832.3794489601"/>
    <n v="427826.85485843499"/>
    <n v="1345714"/>
    <n v="1742488"/>
    <n v="19268.103448275899"/>
    <n v="31058"/>
    <n v="24746"/>
    <n v="21274"/>
    <n v="1652"/>
    <n v="662"/>
    <n v="52485"/>
    <n v="34276"/>
    <n v="259164"/>
    <n v="350135"/>
    <n v="40620"/>
    <n v="69841"/>
    <n v="24306"/>
    <n v="46260"/>
    <n v="6245"/>
    <n v="4173"/>
    <n v="0"/>
    <n v="418"/>
    <n v="0"/>
    <n v="0"/>
    <n v="2300585"/>
    <n v="0.76618251372459245"/>
    <n v="-702074.23430739529"/>
    <n v="0.29668857279889682"/>
    <n v="4.6944260201903065E-2"/>
    <n v="5.9108011487264488E-2"/>
    <n v="2.9844926781563919E-2"/>
  </r>
  <r>
    <x v="31"/>
    <n v="31352601"/>
    <n v="1727235.7931034483"/>
    <n v="2.2985735780986245E-2"/>
    <n v="37738958"/>
    <x v="31"/>
    <n v="2165003.3801577878"/>
    <n v="1726695.11515695"/>
    <n v="438308.26500083797"/>
    <n v="1308491"/>
    <n v="2180837"/>
    <n v="20338.793103448301"/>
    <n v="31669"/>
    <n v="36076"/>
    <n v="-2281"/>
    <n v="6773"/>
    <n v="715"/>
    <n v="66898"/>
    <n v="55760"/>
    <n v="214500"/>
    <n v="327974"/>
    <n v="45990"/>
    <n v="76980"/>
    <n v="25758"/>
    <n v="25893"/>
    <n v="2411"/>
    <n v="4383"/>
    <n v="0"/>
    <n v="774"/>
    <n v="0"/>
    <n v="0"/>
    <n v="2702704"/>
    <n v="1.2483601756792748"/>
    <n v="537700.61984221218"/>
    <n v="0.5647568275225805"/>
    <n v="5.5090669928898349E-2"/>
    <n v="7.1615755792727498E-2"/>
    <n v="0.2036946472160317"/>
  </r>
  <r>
    <x v="32"/>
    <n v="36434352"/>
    <n v="2412188.7931034481"/>
    <n v="2.2377287372813828E-2"/>
    <n v="33698919"/>
    <x v="32"/>
    <n v="2103380.961465802"/>
    <n v="1720370.9096490799"/>
    <n v="383010.05181672203"/>
    <n v="2010759"/>
    <n v="2671764"/>
    <n v="23738.793103448301"/>
    <n v="30355"/>
    <n v="37153"/>
    <n v="15499"/>
    <n v="756"/>
    <n v="3214"/>
    <n v="54921"/>
    <n v="64407"/>
    <n v="213227"/>
    <n v="374619"/>
    <n v="32459"/>
    <n v="115869"/>
    <n v="34007"/>
    <n v="34782"/>
    <n v="5168"/>
    <n v="5635"/>
    <n v="0"/>
    <n v="-148"/>
    <n v="0"/>
    <n v="0"/>
    <n v="3315996"/>
    <n v="1.5765075660327132"/>
    <n v="1212615.038534198"/>
    <n v="0.3746834449610974"/>
    <n v="6.6206441467751315E-2"/>
    <n v="9.8400663831382837E-2"/>
    <n v="-7.5078404029252366E-2"/>
  </r>
  <r>
    <x v="33"/>
    <n v="22395022"/>
    <n v="2754754.931034483"/>
    <n v="3.1251229297286756E-2"/>
    <n v="22551540"/>
    <x v="33"/>
    <n v="2922007.819726577"/>
    <n v="2544037.1818093001"/>
    <n v="377970.637917277"/>
    <n v="2354728"/>
    <n v="3181814"/>
    <n v="23787.931034482801"/>
    <n v="22774"/>
    <n v="132035"/>
    <n v="13358"/>
    <n v="2563"/>
    <n v="6483"/>
    <n v="50149"/>
    <n v="67690"/>
    <n v="79913"/>
    <n v="395638"/>
    <n v="56003"/>
    <n v="87196"/>
    <n v="51486"/>
    <n v="25879"/>
    <n v="4090"/>
    <n v="4357"/>
    <n v="0"/>
    <n v="4453"/>
    <n v="0"/>
    <n v="0"/>
    <n v="3809642"/>
    <n v="1.3037754294430608"/>
    <n v="887634.18027342297"/>
    <n v="0.38293318112670693"/>
    <n v="0.12300746706274648"/>
    <n v="0.16893045885114719"/>
    <n v="6.9889638867066672E-3"/>
  </r>
  <r>
    <x v="34"/>
    <n v="25539612"/>
    <n v="2807800.5862068967"/>
    <n v="3.5689361568100944E-2"/>
    <n v="25170911"/>
    <x v="34"/>
    <n v="3319448.0760512371"/>
    <n v="3065365.0201185001"/>
    <n v="254083.05593273701"/>
    <n v="2362602"/>
    <n v="3050065"/>
    <n v="24452.5862068965"/>
    <n v="23209"/>
    <n v="110188"/>
    <n v="39499"/>
    <n v="-697"/>
    <n v="6199"/>
    <n v="48254"/>
    <n v="60063"/>
    <n v="151535"/>
    <n v="318098"/>
    <n v="57305"/>
    <n v="80270"/>
    <n v="46066"/>
    <n v="22916"/>
    <n v="8095"/>
    <n v="4100"/>
    <n v="0"/>
    <n v="2376"/>
    <n v="0"/>
    <n v="0"/>
    <n v="3606795"/>
    <n v="1.0865646689947885"/>
    <n v="287346.92394876294"/>
    <n v="0.28456237872379608"/>
    <n v="0.10993904630214808"/>
    <n v="0.14329219153013573"/>
    <n v="-1.4436437014000103E-2"/>
  </r>
  <r>
    <x v="35"/>
    <n v="29401665"/>
    <n v="2311807.3448275859"/>
    <n v="3.637659713513345E-2"/>
    <n v="29563607"/>
    <x v="35"/>
    <n v="3392250.4827303328"/>
    <n v="3043285.0022227098"/>
    <n v="348965.480507623"/>
    <n v="1988730"/>
    <n v="2711541"/>
    <n v="22460.344827586199"/>
    <n v="22425"/>
    <n v="52855"/>
    <n v="48724"/>
    <n v="2503"/>
    <n v="4521"/>
    <n v="40300"/>
    <n v="63963"/>
    <n v="119932"/>
    <n v="334593"/>
    <n v="56342"/>
    <n v="91963"/>
    <n v="22237"/>
    <n v="28657"/>
    <n v="6448"/>
    <n v="3153"/>
    <n v="0"/>
    <n v="5982"/>
    <n v="0"/>
    <n v="0"/>
    <n v="3315522"/>
    <n v="0.97738124495200129"/>
    <n v="-76728.482730332762"/>
    <n v="0.43416881489632564"/>
    <n v="7.8628449947565418E-2"/>
    <n v="0.11214876452660191"/>
    <n v="5.5079193644305136E-3"/>
  </r>
  <r>
    <x v="36"/>
    <n v="32016485"/>
    <n v="2129533.7931034481"/>
    <n v="2.9950732559124452E-2"/>
    <n v="30256382"/>
    <x v="36"/>
    <n v="2791498.0163448001"/>
    <n v="2519546.1381414402"/>
    <n v="271951.87820336001"/>
    <n v="1675481"/>
    <n v="2349247"/>
    <n v="23913.793103448301"/>
    <n v="22391"/>
    <n v="91347"/>
    <n v="29006"/>
    <n v="4838"/>
    <n v="4581"/>
    <n v="53316"/>
    <n v="74959"/>
    <n v="166819"/>
    <n v="291618"/>
    <n v="60494"/>
    <n v="85249"/>
    <n v="49141"/>
    <n v="20982"/>
    <n v="4184"/>
    <n v="3548"/>
    <n v="0"/>
    <n v="3560"/>
    <n v="0"/>
    <n v="0"/>
    <n v="2885141"/>
    <n v="1.0335457819088176"/>
    <n v="93642.983655199874"/>
    <n v="0.35482282992813063"/>
    <n v="6.6513666103679037E-2"/>
    <n v="9.5356444137967317E-2"/>
    <n v="-5.4974898087656987E-2"/>
  </r>
  <r>
    <x v="37"/>
    <n v="42648094"/>
    <n v="1975582.4827586208"/>
    <n v="2.758927868949046E-2"/>
    <n v="41295456"/>
    <x v="37"/>
    <n v="2583432.1280934871"/>
    <n v="2211064.8195330701"/>
    <n v="372367.30856041698"/>
    <n v="1541898"/>
    <n v="2093587"/>
    <n v="17559.482758620699"/>
    <n v="26676"/>
    <n v="13396"/>
    <n v="31006"/>
    <n v="921"/>
    <n v="2429"/>
    <n v="40059"/>
    <n v="69984"/>
    <n v="260206"/>
    <n v="282237"/>
    <n v="70792"/>
    <n v="81965"/>
    <n v="28263"/>
    <n v="25885"/>
    <n v="2488"/>
    <n v="5353"/>
    <n v="0"/>
    <n v="-930"/>
    <n v="0"/>
    <n v="0"/>
    <n v="2618192"/>
    <n v="1.013454919728108"/>
    <n v="34759.871906512883"/>
    <n v="0.32527597447820367"/>
    <n v="4.6322878643969896E-2"/>
    <n v="6.3401455114092939E-2"/>
    <n v="-3.1716259113478751E-2"/>
  </r>
  <r>
    <x v="38"/>
    <n v="41791699"/>
    <n v="2325398.2413793104"/>
    <n v="2.5594754996337052E-2"/>
    <n v="41339084"/>
    <x v="38"/>
    <n v="2409947.8152849339"/>
    <n v="1929957.57339174"/>
    <n v="479990.24189319398"/>
    <n v="1896294"/>
    <n v="2397497"/>
    <n v="21667.241379310301"/>
    <n v="25171"/>
    <n v="30139"/>
    <n v="5807"/>
    <n v="3695"/>
    <n v="4467"/>
    <n v="40975"/>
    <n v="69643"/>
    <n v="191313"/>
    <n v="234501"/>
    <n v="87339"/>
    <n v="58072"/>
    <n v="48851"/>
    <n v="17667"/>
    <n v="5125"/>
    <n v="2741"/>
    <n v="0"/>
    <n v="0"/>
    <n v="0"/>
    <n v="0"/>
    <n v="2815566"/>
    <n v="1.1683099451956842"/>
    <n v="405618.18471506611"/>
    <n v="0.21078873712828927"/>
    <n v="5.5642586853894366E-2"/>
    <n v="6.8109056310971958E-2"/>
    <n v="-1.0830260813277759E-2"/>
  </r>
  <r>
    <x v="39"/>
    <n v="26406954"/>
    <n v="4228681.6551724132"/>
    <n v="3.0126810080796044E-2"/>
    <n v="22422064"/>
    <x v="39"/>
    <n v="2824472.7189859231"/>
    <n v="2383121.9642348401"/>
    <n v="441350.75475108298"/>
    <n v="3630208"/>
    <n v="2252123"/>
    <n v="20464.655172413801"/>
    <n v="10066"/>
    <n v="83992"/>
    <n v="16050"/>
    <n v="8959"/>
    <n v="1868"/>
    <n v="63382"/>
    <n v="58213"/>
    <n v="281151"/>
    <n v="451605"/>
    <n v="78555"/>
    <n v="67176"/>
    <n v="59569"/>
    <n v="11686"/>
    <n v="2401"/>
    <n v="3093"/>
    <n v="0"/>
    <n v="586"/>
    <n v="0"/>
    <n v="0"/>
    <n v="2872466"/>
    <n v="1.0169919435551524"/>
    <n v="47993.2810140769"/>
    <n v="-0.32071831501279491"/>
    <n v="0.16013515436776288"/>
    <n v="0.12810890201722733"/>
    <n v="-0.15090305379408775"/>
  </r>
  <r>
    <x v="40"/>
    <n v="28764494"/>
    <n v="3584756.2413793104"/>
    <n v="5.4784890970744092E-2"/>
    <n v="27571599"/>
    <x v="40"/>
    <n v="5112241.9672708018"/>
    <n v="4552736.9921622202"/>
    <n v="559504.97510858194"/>
    <n v="2855454"/>
    <n v="4002151"/>
    <n v="16592.241379310301"/>
    <n v="21961"/>
    <n v="62364"/>
    <n v="55589"/>
    <n v="4603"/>
    <n v="3319"/>
    <n v="42383"/>
    <n v="62975"/>
    <n v="448251"/>
    <n v="557077"/>
    <n v="107546"/>
    <n v="78209"/>
    <n v="43052"/>
    <n v="21078"/>
    <n v="4511"/>
    <n v="953"/>
    <n v="0"/>
    <n v="844"/>
    <n v="0"/>
    <n v="0"/>
    <n v="4804156"/>
    <n v="0.93973564450915947"/>
    <n v="-308085.96727080178"/>
    <n v="0.34016253170717681"/>
    <n v="0.12462434560396962"/>
    <n v="0.17424292294400481"/>
    <n v="-4.1471092799337916E-2"/>
  </r>
  <r>
    <x v="41"/>
    <n v="34103254"/>
    <n v="3527108.7586206896"/>
    <n v="4.6442483935966235E-2"/>
    <n v="29524043"/>
    <x v="41"/>
    <n v="4365978.1275330884"/>
    <n v="3565403.93838902"/>
    <n v="800574.18914406805"/>
    <n v="2929364"/>
    <n v="3104553"/>
    <n v="19632.758620689601"/>
    <n v="22795"/>
    <n v="23666"/>
    <n v="17436"/>
    <n v="8628"/>
    <n v="696"/>
    <n v="92989"/>
    <n v="83559"/>
    <n v="286849"/>
    <n v="555761"/>
    <n v="127459"/>
    <n v="71762"/>
    <n v="36103"/>
    <n v="24671"/>
    <n v="2418"/>
    <n v="4503"/>
    <n v="0"/>
    <n v="-435"/>
    <n v="0"/>
    <n v="0"/>
    <n v="3885301"/>
    <n v="0.88990390847315448"/>
    <n v="-480677.12753308844"/>
    <n v="0.10155406762092167"/>
    <n v="0.10342440514974581"/>
    <n v="0.13159786415430977"/>
    <n v="-0.13427489939816295"/>
  </r>
  <r>
    <x v="42"/>
    <n v="39504620"/>
    <n v="2181176.4482758623"/>
    <n v="4.5695629167694457E-2"/>
    <n v="33200957"/>
    <x v="42"/>
    <n v="4277322.4882151699"/>
    <n v="3676481.8466480798"/>
    <n v="600840.64156708994"/>
    <n v="1665220"/>
    <n v="2317644"/>
    <n v="18078.448275862102"/>
    <n v="25410"/>
    <n v="39150"/>
    <n v="26530"/>
    <n v="4561"/>
    <n v="5396"/>
    <n v="81122"/>
    <n v="99852"/>
    <n v="288539"/>
    <n v="459284"/>
    <n v="74526"/>
    <n v="89138"/>
    <n v="6407"/>
    <n v="11692"/>
    <n v="3573"/>
    <n v="1959"/>
    <n v="0"/>
    <n v="3313"/>
    <n v="0"/>
    <n v="0"/>
    <n v="3040218"/>
    <n v="0.7107759605165086"/>
    <n v="-1237104.4882151699"/>
    <n v="0.39384321814183254"/>
    <n v="5.521319907078874E-2"/>
    <n v="9.1570191786941563E-2"/>
    <n v="-0.15956774169704713"/>
  </r>
  <r>
    <x v="43"/>
    <n v="32593735"/>
    <n v="1866043.3793103448"/>
    <n v="2.825833762174652E-2"/>
    <n v="35824613"/>
    <x v="43"/>
    <n v="2657293.8448046688"/>
    <n v="2162315.3934833198"/>
    <n v="494978.45132134901"/>
    <n v="1401802"/>
    <n v="1758784"/>
    <n v="14241.379310344801"/>
    <n v="18612"/>
    <n v="55802"/>
    <n v="25664"/>
    <n v="2882"/>
    <n v="3330"/>
    <n v="95242"/>
    <n v="68260"/>
    <n v="211719"/>
    <n v="399606"/>
    <n v="60511"/>
    <n v="59102"/>
    <n v="20710"/>
    <n v="14235"/>
    <n v="3134"/>
    <n v="7832"/>
    <n v="0"/>
    <n v="2440"/>
    <n v="0"/>
    <n v="0"/>
    <n v="2357865"/>
    <n v="0.88731812803085797"/>
    <n v="-299428.8448046688"/>
    <n v="0.26356387324255204"/>
    <n v="5.7251596949853857E-2"/>
    <n v="6.5816900799458747E-2"/>
    <n v="9.912573689391535E-2"/>
  </r>
  <r>
    <x v="44"/>
    <n v="42356911"/>
    <n v="1856484.5172413792"/>
    <n v="2.4175615810934793E-2"/>
    <n v="40028256"/>
    <x v="44"/>
    <n v="2270349.9137066589"/>
    <n v="1877501.19573291"/>
    <n v="392848.71797374898"/>
    <n v="1480367"/>
    <n v="1400645"/>
    <n v="20915.517241379301"/>
    <n v="19588"/>
    <n v="13567"/>
    <n v="-861"/>
    <n v="1142"/>
    <n v="1446"/>
    <n v="55048"/>
    <n v="76825"/>
    <n v="234704"/>
    <n v="365354"/>
    <n v="34552"/>
    <n v="48474"/>
    <n v="16189"/>
    <n v="16510"/>
    <n v="0"/>
    <n v="7433"/>
    <n v="0"/>
    <n v="0"/>
    <n v="0"/>
    <n v="0"/>
    <n v="1935414"/>
    <n v="0.85247388004616875"/>
    <n v="-334935.91370665887"/>
    <n v="4.2515562088233816E-2"/>
    <n v="4.3829553983324686E-2"/>
    <n v="4.8351194716052578E-2"/>
    <n v="-5.4976978845317603E-2"/>
  </r>
  <r>
    <x v="45"/>
    <n v="44382937"/>
    <n v="2548266.7241379311"/>
    <n v="2.4051775508221979E-2"/>
    <n v="41384863"/>
    <x v="45"/>
    <n v="2257526.4806165611"/>
    <n v="1878780.9565178"/>
    <n v="378745.52409876097"/>
    <n v="1932100"/>
    <n v="2149329"/>
    <n v="24901.724137931"/>
    <n v="28370"/>
    <n v="13663"/>
    <n v="178"/>
    <n v="2471"/>
    <n v="0"/>
    <n v="72548"/>
    <n v="68941"/>
    <n v="370770"/>
    <n v="492948"/>
    <n v="101714"/>
    <n v="50253"/>
    <n v="26966"/>
    <n v="25710"/>
    <n v="3133"/>
    <n v="9189"/>
    <n v="0"/>
    <n v="0"/>
    <n v="0"/>
    <n v="0"/>
    <n v="2824918"/>
    <n v="1.2513332730557722"/>
    <n v="567391.51938343886"/>
    <n v="0.10856448943964403"/>
    <n v="5.7415459552348488E-2"/>
    <n v="6.8259691955486243E-2"/>
    <n v="-6.7550148833097734E-2"/>
  </r>
  <r>
    <x v="46"/>
    <n v="24063181"/>
    <n v="3727592.2068965519"/>
    <n v="3.3014193554983903E-2"/>
    <n v="23766868"/>
    <x v="46"/>
    <n v="3113257.5784652401"/>
    <n v="2446400.3494434399"/>
    <n v="666857.22902179998"/>
    <n v="3064112"/>
    <n v="3080170"/>
    <n v="18136.206896551699"/>
    <n v="24995"/>
    <n v="41372"/>
    <n v="27259"/>
    <n v="9059"/>
    <n v="2265"/>
    <n v="59366"/>
    <n v="98172"/>
    <n v="381579"/>
    <n v="460199"/>
    <n v="106292"/>
    <n v="48934"/>
    <n v="40654"/>
    <n v="24099"/>
    <n v="7022"/>
    <n v="5432"/>
    <n v="0"/>
    <n v="430"/>
    <n v="0"/>
    <n v="0"/>
    <n v="3771955"/>
    <n v="1.2115781958071974"/>
    <n v="658697.42153475992"/>
    <n v="1.1901192684481643E-2"/>
    <n v="0.15490853877118541"/>
    <n v="0.15870643956957223"/>
    <n v="-1.2313957992503122E-2"/>
  </r>
  <r>
    <x v="47"/>
    <n v="28049331"/>
    <n v="3637684.9655172415"/>
    <n v="4.8293002238281896E-2"/>
    <n v="26877030"/>
    <x v="47"/>
    <n v="4527911.4958415478"/>
    <n v="3817315.6570827002"/>
    <n v="710595.83875884803"/>
    <n v="3088415"/>
    <n v="3594147"/>
    <n v="23043.965517241399"/>
    <n v="26861"/>
    <n v="65981"/>
    <n v="48038"/>
    <n v="7052"/>
    <n v="4918"/>
    <n v="29733"/>
    <n v="78213"/>
    <n v="361184"/>
    <n v="470863"/>
    <n v="44740"/>
    <n v="44216"/>
    <n v="15384"/>
    <n v="21475"/>
    <n v="2152"/>
    <n v="6664"/>
    <n v="0"/>
    <n v="0"/>
    <n v="0"/>
    <n v="947"/>
    <n v="4296342"/>
    <n v="0.94885732725689931"/>
    <n v="-231569.49584154785"/>
    <n v="0.18106489174471552"/>
    <n v="0.12968883163442441"/>
    <n v="0.15985181398391116"/>
    <n v="-4.1794258836333698E-2"/>
  </r>
  <r>
    <x v="48"/>
    <n v="28881637"/>
    <n v="3611181.0344827585"/>
    <n v="4.7128204597291098E-2"/>
    <n v="29417270"/>
    <x v="48"/>
    <n v="4405712.1677858885"/>
    <n v="3843840.0746160601"/>
    <n v="561872.09316982795"/>
    <n v="3113676"/>
    <n v="3559563"/>
    <n v="21506.034482758601"/>
    <n v="23843"/>
    <n v="65670"/>
    <n v="14662"/>
    <n v="2633"/>
    <n v="1851"/>
    <n v="66784"/>
    <n v="91613"/>
    <n v="295101"/>
    <n v="453814"/>
    <n v="30136"/>
    <n v="39979"/>
    <n v="13695"/>
    <n v="30090"/>
    <n v="1980"/>
    <n v="3873"/>
    <n v="0"/>
    <n v="3359"/>
    <n v="0"/>
    <n v="0"/>
    <n v="4222647"/>
    <n v="0.9584482233940651"/>
    <n v="-183065.16778588854"/>
    <n v="0.16932575788320281"/>
    <n v="0.12503380727632435"/>
    <n v="0.14354312959700202"/>
    <n v="1.8545797802250519E-2"/>
  </r>
  <r>
    <x v="49"/>
    <n v="35987596"/>
    <n v="2980934.1724137929"/>
    <n v="4.6784831628970291E-2"/>
    <n v="35456665"/>
    <x v="49"/>
    <n v="4363204.7398105757"/>
    <n v="3910862.27764954"/>
    <n v="452342.46216103598"/>
    <n v="2421357"/>
    <n v="3329797"/>
    <n v="22405.172413793101"/>
    <n v="27971"/>
    <n v="55891"/>
    <n v="23965"/>
    <n v="2576"/>
    <n v="344"/>
    <n v="61430"/>
    <n v="65256"/>
    <n v="357973"/>
    <n v="368888"/>
    <n v="24350"/>
    <n v="35313"/>
    <n v="28074"/>
    <n v="25716"/>
    <n v="6878"/>
    <n v="7482"/>
    <n v="0"/>
    <n v="1990"/>
    <n v="0"/>
    <n v="689"/>
    <n v="3887411"/>
    <n v="0.89095314838899087"/>
    <n v="-475793.73981057573"/>
    <n v="0.30409152807698292"/>
    <n v="8.2832267329381856E-2"/>
    <n v="0.10963837123429403"/>
    <n v="-1.4753166618853841E-2"/>
  </r>
  <r>
    <x v="50"/>
    <n v="36080831"/>
    <n v="2474773.3793103448"/>
    <n v="3.861963773671593E-2"/>
    <n v="36977163"/>
    <x v="50"/>
    <n v="3619504.3435171871"/>
    <n v="3065838.8788276301"/>
    <n v="553665.46468955697"/>
    <n v="1897795"/>
    <n v="2545784"/>
    <n v="20191.379310344801"/>
    <n v="20127"/>
    <n v="54966"/>
    <n v="11485"/>
    <n v="2375"/>
    <n v="1656"/>
    <n v="91325"/>
    <n v="148228"/>
    <n v="346747"/>
    <n v="360812"/>
    <n v="33465"/>
    <n v="21316"/>
    <n v="19690"/>
    <n v="16275"/>
    <n v="8219"/>
    <n v="3147"/>
    <n v="0"/>
    <n v="1306"/>
    <n v="0"/>
    <n v="0"/>
    <n v="3130136"/>
    <n v="0.86479686247823306"/>
    <n v="-489368.34351718705"/>
    <n v="0.2648172257583794"/>
    <n v="6.8589700146051091E-2"/>
    <n v="8.4650517942655573E-2"/>
    <n v="2.4842332483971941E-2"/>
  </r>
  <r>
    <x v="51"/>
    <n v="47042220"/>
    <n v="2208107.7241379311"/>
    <n v="3.2062046949544898E-2"/>
    <n v="49550104"/>
    <x v="51"/>
    <n v="3012995.8169579371"/>
    <n v="2471476.4277911601"/>
    <n v="541519.38916677702"/>
    <n v="1719612"/>
    <n v="2157328"/>
    <n v="22776.724137931"/>
    <n v="28829"/>
    <n v="25877"/>
    <n v="12510"/>
    <n v="3459"/>
    <n v="215"/>
    <n v="44179"/>
    <n v="61838"/>
    <n v="327055"/>
    <n v="366612"/>
    <n v="34049"/>
    <n v="23690"/>
    <n v="21382"/>
    <n v="14858"/>
    <n v="9718"/>
    <n v="4463"/>
    <n v="0"/>
    <n v="1379"/>
    <n v="0"/>
    <n v="0"/>
    <n v="2671722"/>
    <n v="0.88673272792575486"/>
    <n v="-341273.81695793709"/>
    <n v="0.20995999008294253"/>
    <n v="4.6938850337801472E-2"/>
    <n v="5.3919604285795245E-2"/>
    <n v="5.3311344575149633E-2"/>
  </r>
  <r>
    <x v="52"/>
    <n v="46157405"/>
    <n v="2545543.6206896552"/>
    <n v="2.860724707677768E-2"/>
    <n v="40534030"/>
    <x v="52"/>
    <n v="2692009.8936478598"/>
    <n v="2171610.1335062198"/>
    <n v="520399.76014164003"/>
    <n v="1980647"/>
    <n v="2371363"/>
    <n v="20783.620689655199"/>
    <n v="29955"/>
    <n v="20320"/>
    <n v="-835"/>
    <n v="1308"/>
    <n v="361"/>
    <n v="92867"/>
    <n v="73803"/>
    <n v="375118"/>
    <n v="303085"/>
    <n v="29980"/>
    <n v="29461"/>
    <n v="15301"/>
    <n v="21582"/>
    <n v="9219"/>
    <n v="4347"/>
    <n v="0"/>
    <n v="413"/>
    <n v="0"/>
    <n v="0"/>
    <n v="2833535"/>
    <n v="1.0525722831428246"/>
    <n v="141525.1063521402"/>
    <n v="0.11313551139709799"/>
    <n v="5.5149192652612408E-2"/>
    <n v="6.9905089624693134E-2"/>
    <n v="-0.12183039752776392"/>
  </r>
  <r>
    <x v="53"/>
    <n v="26433260"/>
    <n v="3325119.4827586208"/>
    <n v="3.2978914255740989E-2"/>
    <n v="22062756"/>
    <x v="53"/>
    <n v="3100444.4031627239"/>
    <n v="2530401.5067299199"/>
    <n v="570042.89643280394"/>
    <n v="2773046"/>
    <n v="3389716"/>
    <n v="19384.482758620699"/>
    <n v="23729"/>
    <n v="44133"/>
    <n v="28866"/>
    <n v="1728"/>
    <n v="2677"/>
    <n v="54932"/>
    <n v="76508"/>
    <n v="362431"/>
    <n v="327888"/>
    <n v="32310"/>
    <n v="34023"/>
    <n v="32251"/>
    <n v="20904"/>
    <n v="4904"/>
    <n v="3447"/>
    <n v="0"/>
    <n v="430"/>
    <n v="0"/>
    <n v="0"/>
    <n v="3908188"/>
    <n v="1.2605251027927826"/>
    <n v="807743.59683727613"/>
    <n v="0.17535265131514843"/>
    <n v="0.12579301541915833"/>
    <n v="0.17713961030072581"/>
    <n v="-0.16534108921865864"/>
  </r>
  <r>
    <x v="54"/>
    <n v="29392120"/>
    <n v="3789269.1724137929"/>
    <n v="4.307874727453341E-2"/>
    <n v="27778475"/>
    <x v="54"/>
    <n v="4033025.0340803908"/>
    <n v="3459959.5507958401"/>
    <n v="573065.48328455095"/>
    <n v="3237704"/>
    <n v="3790804"/>
    <n v="19955.172413793101"/>
    <n v="23676"/>
    <n v="86781"/>
    <n v="53511"/>
    <n v="8087"/>
    <n v="3950"/>
    <n v="28472"/>
    <n v="71433"/>
    <n v="347028"/>
    <n v="328991"/>
    <n v="43531"/>
    <n v="44374"/>
    <n v="10995"/>
    <n v="15412"/>
    <n v="6716"/>
    <n v="2538"/>
    <n v="0"/>
    <n v="-680"/>
    <n v="0"/>
    <n v="0"/>
    <n v="4334009"/>
    <n v="1.0746298283239493"/>
    <n v="300983.96591960918"/>
    <n v="0.14375854625265472"/>
    <n v="0.12892126095068315"/>
    <n v="0.15602040788776203"/>
    <n v="-5.4900599208223211E-2"/>
  </r>
  <r>
    <x v="55"/>
    <n v="32989145"/>
    <n v="3432841.068965517"/>
    <n v="4.9092061166526195E-2"/>
    <n v="31602573"/>
    <x v="55"/>
    <n v="4584999.7645929968"/>
    <n v="4043282.6733011501"/>
    <n v="541717.09129184706"/>
    <n v="2904631"/>
    <n v="3614722"/>
    <n v="19587.068965517199"/>
    <n v="31217"/>
    <n v="64657"/>
    <n v="80631"/>
    <n v="3724"/>
    <n v="-491"/>
    <n v="45659"/>
    <n v="33888"/>
    <n v="329946"/>
    <n v="578952"/>
    <n v="38488"/>
    <n v="54562"/>
    <n v="17323"/>
    <n v="28200"/>
    <n v="8826"/>
    <n v="5951"/>
    <n v="0"/>
    <n v="7009"/>
    <n v="0"/>
    <n v="775"/>
    <n v="4435416"/>
    <n v="0.9673754040843936"/>
    <n v="-149583.7645929968"/>
    <n v="0.2920539899438479"/>
    <n v="0.10405971627835511"/>
    <n v="0.14034983797047157"/>
    <n v="-4.2031159037313692E-2"/>
  </r>
  <r>
    <x v="56"/>
    <n v="36962992"/>
    <n v="3033501.6551724137"/>
    <n v="4.4474339526866198E-2"/>
    <n v="36200123"/>
    <x v="56"/>
    <n v="4156960.4456820181"/>
    <n v="3633404.08583875"/>
    <n v="523556.359843268"/>
    <n v="2452213"/>
    <n v="2872787"/>
    <n v="20014.655172413801"/>
    <n v="25863"/>
    <n v="22443"/>
    <n v="7979"/>
    <n v="8872"/>
    <n v="0"/>
    <n v="97686"/>
    <n v="126103"/>
    <n v="371645"/>
    <n v="530958"/>
    <n v="41902"/>
    <n v="91753"/>
    <n v="12405"/>
    <n v="15632"/>
    <n v="6321"/>
    <n v="4939"/>
    <n v="0"/>
    <n v="5544"/>
    <n v="0"/>
    <n v="0"/>
    <n v="3681558"/>
    <n v="0.88563700523640165"/>
    <n v="-475402.44568201806"/>
    <n v="0.21363309419086285"/>
    <n v="8.2068617583025028E-2"/>
    <n v="0.10170015168180506"/>
    <n v="-2.0638724267775688E-2"/>
  </r>
  <r>
    <x v="57"/>
    <n v="42693027"/>
    <n v="2409436.7586206896"/>
    <n v="3.9300678317771467E-2"/>
    <n v="42656916"/>
    <x v="57"/>
    <n v="3684333.3300469159"/>
    <n v="3110767.62058014"/>
    <n v="573565.709466776"/>
    <n v="1747242"/>
    <n v="2328816"/>
    <n v="17482.758620689699"/>
    <n v="20650"/>
    <n v="73006"/>
    <n v="23531"/>
    <n v="3125"/>
    <n v="6440"/>
    <n v="104847"/>
    <n v="122038"/>
    <n v="394351"/>
    <n v="450008"/>
    <n v="40984"/>
    <n v="106960"/>
    <n v="18424"/>
    <n v="15315"/>
    <n v="9975"/>
    <n v="3641"/>
    <n v="0"/>
    <n v="2547"/>
    <n v="0"/>
    <n v="775"/>
    <n v="3080721"/>
    <n v="0.83616782848493532"/>
    <n v="-603612.33004691591"/>
    <n v="0.2786062921043817"/>
    <n v="5.6436306533633455E-2"/>
    <n v="7.2220903170777742E-2"/>
    <n v="-8.4582899216778529E-4"/>
  </r>
  <r>
    <x v="58"/>
    <n v="50836467"/>
    <n v="2062135.4827586208"/>
    <n v="3.1215575180618686E-2"/>
    <n v="51597186"/>
    <x v="58"/>
    <n v="2942144.765420862"/>
    <n v="2326834.7166464399"/>
    <n v="615310.04877442203"/>
    <n v="1522696"/>
    <n v="2298757"/>
    <n v="23759.482758620699"/>
    <n v="28306"/>
    <n v="41023"/>
    <n v="7846"/>
    <n v="2722"/>
    <n v="0"/>
    <n v="37541"/>
    <n v="67232"/>
    <n v="384483"/>
    <n v="415460"/>
    <n v="29795"/>
    <n v="103810"/>
    <n v="13746"/>
    <n v="16109"/>
    <n v="6370"/>
    <n v="3746"/>
    <n v="0"/>
    <n v="-5"/>
    <n v="0"/>
    <n v="1895"/>
    <n v="2943156"/>
    <n v="1.000343706601736"/>
    <n v="1011.2345791379921"/>
    <n v="0.42723697090105572"/>
    <n v="4.0564099050365177E-2"/>
    <n v="5.7041017702011886E-2"/>
    <n v="1.4964041462597999E-2"/>
  </r>
  <r>
    <x v="59"/>
    <n v="48002488"/>
    <n v="2666615.8965517241"/>
    <n v="2.2488732254430814E-2"/>
    <n v="52843119"/>
    <x v="59"/>
    <n v="2805782.38479015"/>
    <n v="2136915.38479015"/>
    <n v="668867"/>
    <n v="2021359"/>
    <n v="2769749"/>
    <n v="23281.896551724101"/>
    <n v="33914"/>
    <n v="3956"/>
    <n v="26512"/>
    <n v="7228"/>
    <n v="0"/>
    <n v="118573"/>
    <n v="96454"/>
    <n v="444525"/>
    <n v="447295"/>
    <n v="31189"/>
    <n v="95383"/>
    <n v="12849"/>
    <n v="21210"/>
    <n v="3655"/>
    <n v="3536"/>
    <n v="0"/>
    <n v="430"/>
    <n v="0"/>
    <n v="0"/>
    <n v="3494483"/>
    <n v="1.2454576017524464"/>
    <n v="688700.61520985002"/>
    <n v="0.31045607450207369"/>
    <n v="5.555161841927285E-2"/>
    <n v="6.6129385738945501E-2"/>
    <n v="0.1008412522284261"/>
  </r>
  <r>
    <x v="60"/>
    <n v="28870398"/>
    <n v="3575627.5172413792"/>
    <n v="2.9080926750136443E-2"/>
    <n v="29862876"/>
    <x v="60"/>
    <n v="3622374.42120753"/>
    <n v="2854571.42120753"/>
    <n v="767803"/>
    <n v="2894647"/>
    <n v="3687641"/>
    <n v="17015.517241379301"/>
    <n v="26936"/>
    <n v="70126"/>
    <n v="15825"/>
    <n v="2478"/>
    <n v="7457"/>
    <n v="47499"/>
    <n v="107185"/>
    <n v="481304"/>
    <n v="452113"/>
    <n v="33324"/>
    <n v="85564"/>
    <n v="22831"/>
    <n v="6520"/>
    <n v="6403"/>
    <n v="4483"/>
    <n v="0"/>
    <n v="515"/>
    <n v="0"/>
    <n v="0"/>
    <n v="4394239"/>
    <n v="1.2130824948060357"/>
    <n v="771864.57879247004"/>
    <n v="0.22894204690263287"/>
    <n v="0.12385099496173829"/>
    <n v="0.1471472138182538"/>
    <n v="3.4377011359524756E-2"/>
  </r>
  <r>
    <x v="61"/>
    <n v="30118136"/>
    <n v="3876973.1724137929"/>
    <n v="3.8994203120566236E-2"/>
    <n v="33171704"/>
    <x v="61"/>
    <n v="4645559.2541032098"/>
    <n v="3980132.2541032098"/>
    <n v="665427"/>
    <n v="3324837"/>
    <n v="4158362"/>
    <n v="20705.172413793101"/>
    <n v="22032"/>
    <n v="55930"/>
    <n v="47632"/>
    <n v="5121"/>
    <n v="2071"/>
    <n v="33120"/>
    <n v="74989"/>
    <n v="340219"/>
    <n v="653421"/>
    <n v="73972"/>
    <n v="126548"/>
    <n v="16003"/>
    <n v="5908"/>
    <n v="7066"/>
    <n v="4036"/>
    <n v="0"/>
    <n v="2049"/>
    <n v="0"/>
    <n v="775"/>
    <n v="5097823"/>
    <n v="1.0973539936009484"/>
    <n v="452263.74589679018"/>
    <n v="0.31489767230607613"/>
    <n v="0.12872553508669304"/>
    <n v="0.15367986522489166"/>
    <n v="0.10138635405590835"/>
  </r>
  <r>
    <x v="62"/>
    <n v="32149498"/>
    <n v="3691707.1724137929"/>
    <n v="4.2280544785248071E-2"/>
    <n v="34892813"/>
    <x v="62"/>
    <n v="5143890.0375477904"/>
    <n v="4515690.0375477904"/>
    <n v="628200"/>
    <n v="3006578"/>
    <n v="4047073"/>
    <n v="20405.172413793101"/>
    <n v="21637"/>
    <n v="61036"/>
    <n v="50390"/>
    <n v="128"/>
    <n v="7095"/>
    <n v="94925"/>
    <n v="81778"/>
    <n v="365903"/>
    <n v="480522"/>
    <n v="115450"/>
    <n v="55623"/>
    <n v="19487"/>
    <n v="12102"/>
    <n v="7795"/>
    <n v="6133"/>
    <n v="0"/>
    <n v="1534"/>
    <n v="0"/>
    <n v="0"/>
    <n v="4763887"/>
    <n v="0.92612535750687497"/>
    <n v="-380003.03754779045"/>
    <n v="0.29042927228845472"/>
    <n v="0.11482938776878547"/>
    <n v="0.13652917579330734"/>
    <n v="8.532994823122908E-2"/>
  </r>
  <r>
    <x v="63"/>
    <n v="37519228"/>
    <n v="2779470.1379310344"/>
    <n v="4.0260116202992274E-2"/>
    <n v="38712693"/>
    <x v="63"/>
    <n v="4846185.1523354203"/>
    <n v="4178769.1523354198"/>
    <n v="667416"/>
    <n v="2158066"/>
    <n v="3273154"/>
    <n v="20349.1379310345"/>
    <n v="28567"/>
    <n v="52546"/>
    <n v="21743"/>
    <n v="1600"/>
    <n v="154"/>
    <n v="74876"/>
    <n v="89264"/>
    <n v="330846"/>
    <n v="393807"/>
    <n v="120380"/>
    <n v="40051"/>
    <n v="14076"/>
    <n v="5342"/>
    <n v="6731"/>
    <n v="5065"/>
    <n v="0"/>
    <n v="560"/>
    <n v="0"/>
    <n v="0"/>
    <n v="3857707"/>
    <n v="0.7960296354217784"/>
    <n v="-988478.15233542025"/>
    <n v="0.38792892478117325"/>
    <n v="7.4081218780168781E-2"/>
    <n v="9.9649667875081699E-2"/>
    <n v="3.1809423157640682E-2"/>
  </r>
  <r>
    <x v="64"/>
    <n v="39523265"/>
    <n v="2664201.1034482759"/>
    <n v="3.0311664904528256E-2"/>
    <n v="39872258"/>
    <x v="64"/>
    <n v="3647918.67494134"/>
    <n v="3029226.67494134"/>
    <n v="618692"/>
    <n v="2008601"/>
    <n v="2313818"/>
    <n v="17718.103448275899"/>
    <n v="23488"/>
    <n v="60599"/>
    <n v="32023"/>
    <n v="1392"/>
    <n v="1687"/>
    <n v="69932"/>
    <n v="118330"/>
    <n v="369062"/>
    <n v="299324"/>
    <n v="123391"/>
    <n v="33674"/>
    <n v="10054"/>
    <n v="6895"/>
    <n v="3452"/>
    <n v="6866"/>
    <n v="0"/>
    <n v="387"/>
    <n v="0"/>
    <n v="0"/>
    <n v="2836492"/>
    <n v="0.77756448340932705"/>
    <n v="-811426.67494134"/>
    <n v="6.4668878159658494E-2"/>
    <n v="6.740842649129003E-2"/>
    <n v="7.1139487510338648E-2"/>
    <n v="8.8300650262573832E-3"/>
  </r>
  <r>
    <x v="65"/>
    <n v="48982826"/>
    <n v="2136044.3793103448"/>
    <n v="2.9054592090747018E-2"/>
    <n v="52578844"/>
    <x v="65"/>
    <n v="3375221.9335819301"/>
    <n v="2833361.9335819301"/>
    <n v="541860"/>
    <n v="1587947"/>
    <n v="2036782"/>
    <n v="16966.379310344801"/>
    <n v="29622"/>
    <n v="27670"/>
    <n v="12659"/>
    <n v="257"/>
    <n v="1118"/>
    <n v="58244"/>
    <n v="33500"/>
    <n v="305214"/>
    <n v="318037"/>
    <n v="118323"/>
    <n v="29312"/>
    <n v="13685"/>
    <n v="16246"/>
    <n v="7738"/>
    <n v="7308"/>
    <n v="0"/>
    <n v="430"/>
    <n v="0"/>
    <n v="0"/>
    <n v="2485014"/>
    <n v="0.73625202991105143"/>
    <n v="-890207.93358193012"/>
    <n v="0.16337189623481763"/>
    <n v="4.3608026603249569E-2"/>
    <n v="4.726262144523375E-2"/>
    <n v="7.341385325542471E-2"/>
  </r>
  <r>
    <x v="66"/>
    <n v="48219670"/>
    <n v="2522476.7931034481"/>
    <n v="2.3294749802583687E-2"/>
    <n v="53652093"/>
    <x v="66"/>
    <n v="2893557.5762682199"/>
    <n v="2220072.5762682199"/>
    <n v="673485"/>
    <n v="1877757"/>
    <n v="4090457"/>
    <n v="21363.793103448301"/>
    <n v="21953"/>
    <n v="18440"/>
    <n v="-800"/>
    <n v="10318"/>
    <n v="2170"/>
    <n v="85023"/>
    <n v="76790"/>
    <n v="365073"/>
    <n v="438569"/>
    <n v="119743"/>
    <n v="28025"/>
    <n v="17150"/>
    <n v="15404"/>
    <n v="7609"/>
    <n v="5875"/>
    <n v="0"/>
    <n v="0"/>
    <n v="0"/>
    <n v="0"/>
    <n v="4678443"/>
    <n v="1.6168480760053585"/>
    <n v="1784885.4237317801"/>
    <n v="0.85470209787104845"/>
    <n v="5.2312195274323695E-2"/>
    <n v="8.7199636368333291E-2"/>
    <n v="0.11265989584748293"/>
  </r>
  <r>
    <x v="67"/>
    <n v="29158858"/>
    <n v="3729949.6551724137"/>
    <n v="2.7509009806781361E-2"/>
    <n v="31554878"/>
    <x v="67"/>
    <n v="3416113.71282834"/>
    <n v="2642557.71282834"/>
    <n v="773556"/>
    <n v="3068514"/>
    <n v="3929406"/>
    <n v="17939.655172413801"/>
    <n v="31783"/>
    <n v="54141"/>
    <n v="29516"/>
    <n v="9922"/>
    <n v="5855"/>
    <n v="44926"/>
    <n v="97853"/>
    <n v="397940"/>
    <n v="392149"/>
    <n v="105887"/>
    <n v="38657"/>
    <n v="23153"/>
    <n v="9352"/>
    <n v="7527"/>
    <n v="7473"/>
    <n v="0"/>
    <n v="0"/>
    <n v="0"/>
    <n v="0"/>
    <n v="4542044"/>
    <n v="1.3295939133827768"/>
    <n v="1125930.28717166"/>
    <n v="0.21772260215400885"/>
    <n v="0.12791823517822315"/>
    <n v="0.14394110476358046"/>
    <n v="8.2171256501197609E-2"/>
  </r>
  <r>
    <x v="68"/>
    <n v="32602787"/>
    <n v="3884872.1379310344"/>
    <n v="4.06771717081683E-2"/>
    <n v="32083406"/>
    <x v="68"/>
    <n v="4894349.2464806996"/>
    <n v="4195009.2464806996"/>
    <n v="699340"/>
    <n v="3074978"/>
    <n v="3911691"/>
    <n v="18699.1379310345"/>
    <n v="24886"/>
    <n v="92616"/>
    <n v="70786"/>
    <n v="13747"/>
    <n v="1807"/>
    <n v="83805"/>
    <n v="118012"/>
    <n v="459672"/>
    <n v="576157"/>
    <n v="109568"/>
    <n v="72081"/>
    <n v="23342"/>
    <n v="6863"/>
    <n v="8445"/>
    <n v="7574"/>
    <n v="0"/>
    <n v="0"/>
    <n v="0"/>
    <n v="0"/>
    <n v="4789857"/>
    <n v="0.97865043109544436"/>
    <n v="-104492.24648069963"/>
    <n v="0.23295100326028573"/>
    <n v="0.11915767010749831"/>
    <n v="0.14929390601484144"/>
    <n v="-1.5930570598151617E-2"/>
  </r>
  <r>
    <x v="69"/>
    <n v="34731472"/>
    <n v="3696035.4827586208"/>
    <n v="4.2366687389402573E-2"/>
    <n v="34020740"/>
    <x v="69"/>
    <n v="5073230.9146942999"/>
    <n v="4311064.9146942999"/>
    <n v="762166"/>
    <n v="3121984"/>
    <n v="3585730"/>
    <n v="20284.482758620699"/>
    <n v="24993"/>
    <n v="49307"/>
    <n v="75058"/>
    <n v="2001"/>
    <n v="1008"/>
    <n v="60084"/>
    <n v="94735"/>
    <n v="316270"/>
    <n v="482545"/>
    <n v="103062"/>
    <n v="88078"/>
    <n v="15545"/>
    <n v="16703"/>
    <n v="7498"/>
    <n v="11247"/>
    <n v="0"/>
    <n v="0"/>
    <n v="0"/>
    <n v="0"/>
    <n v="4380097"/>
    <n v="0.86337426260518113"/>
    <n v="-693133.91469429992"/>
    <n v="0.18507980251607714"/>
    <n v="0.10641747296972097"/>
    <n v="0.12874784616677945"/>
    <n v="-2.0463630219876627E-2"/>
  </r>
  <r>
    <x v="70"/>
    <n v="39500465"/>
    <n v="2919718.3793103448"/>
    <n v="4.0307318830207002E-2"/>
    <n v="39021599"/>
    <x v="70"/>
    <n v="4960834.1958905198"/>
    <n v="4271438.1958905198"/>
    <n v="689396"/>
    <n v="2241196"/>
    <n v="2569096"/>
    <n v="20541.379310344801"/>
    <n v="25789"/>
    <n v="35516"/>
    <n v="27546"/>
    <n v="3738"/>
    <n v="2372"/>
    <n v="80503"/>
    <n v="82817"/>
    <n v="406345"/>
    <n v="528144"/>
    <n v="108540"/>
    <n v="114102"/>
    <n v="17978"/>
    <n v="9692"/>
    <n v="5361"/>
    <n v="6730"/>
    <n v="0"/>
    <n v="430"/>
    <n v="0"/>
    <n v="0"/>
    <n v="3366718"/>
    <n v="0.67865965018321683"/>
    <n v="-1594116.1958905198"/>
    <n v="0.15309682737115193"/>
    <n v="7.3916050844220316E-2"/>
    <n v="8.627831986075199E-2"/>
    <n v="-1.2123047159065092E-2"/>
  </r>
  <r>
    <x v="71"/>
    <n v="40508948"/>
    <n v="2652961.1379310344"/>
    <n v="3.1841149836970631E-2"/>
    <n v="42853042"/>
    <x v="71"/>
    <n v="3809914.76603708"/>
    <n v="3126449.76603708"/>
    <n v="683465"/>
    <n v="2063367"/>
    <n v="2352964"/>
    <n v="19974.1379310345"/>
    <n v="25240"/>
    <n v="42958"/>
    <n v="10254"/>
    <n v="2014"/>
    <n v="1229"/>
    <n v="70950"/>
    <n v="84747"/>
    <n v="344615"/>
    <n v="449788"/>
    <n v="79899"/>
    <n v="88592"/>
    <n v="19325"/>
    <n v="15754"/>
    <n v="9859"/>
    <n v="13891"/>
    <n v="0"/>
    <n v="0"/>
    <n v="0"/>
    <n v="0"/>
    <n v="3042459"/>
    <n v="0.79856353405108937"/>
    <n v="-767455.76603707997"/>
    <n v="0.14681627126009222"/>
    <n v="6.5490743870490892E-2"/>
    <n v="7.0997503514452956E-2"/>
    <n v="5.7866079365971101E-2"/>
  </r>
  <r>
    <x v="72"/>
    <n v="50785730"/>
    <n v="2383369.1379310344"/>
    <n v="2.893201402680326E-2"/>
    <n v="51179806"/>
    <x v="72"/>
    <n v="3495543.76009935"/>
    <n v="2887214.76009935"/>
    <n v="608329"/>
    <n v="1765846"/>
    <n v="2001768"/>
    <n v="21924.1379310345"/>
    <n v="28216"/>
    <n v="20436"/>
    <n v="14927"/>
    <n v="10353"/>
    <n v="2224"/>
    <n v="44555"/>
    <n v="87934"/>
    <n v="376445"/>
    <n v="481251"/>
    <n v="119373"/>
    <n v="65098"/>
    <n v="15604"/>
    <n v="17234"/>
    <n v="8833"/>
    <n v="7560"/>
    <n v="0"/>
    <n v="0"/>
    <n v="0"/>
    <n v="603"/>
    <n v="2706815"/>
    <n v="0.77436164035407962"/>
    <n v="-788728.76009935001"/>
    <n v="0.13570951176692003"/>
    <n v="4.6929898180670719E-2"/>
    <n v="5.288834037393577E-2"/>
    <n v="7.7595812839552636E-3"/>
  </r>
  <r>
    <x v="73"/>
    <n v="46643284"/>
    <n v="2499045.6896551726"/>
    <n v="2.5991963600132929E-2"/>
    <n v="49926015"/>
    <x v="73"/>
    <n v="3092104.9730690098"/>
    <n v="2445914.9730690098"/>
    <n v="646190"/>
    <n v="1783206"/>
    <n v="2324978"/>
    <n v="22420.689655172398"/>
    <n v="29697"/>
    <n v="15356"/>
    <n v="6793"/>
    <n v="4841"/>
    <n v="2651"/>
    <n v="72242"/>
    <n v="127807"/>
    <n v="420638"/>
    <n v="506009"/>
    <n v="153175"/>
    <n v="90650"/>
    <n v="16158"/>
    <n v="17281"/>
    <n v="11009"/>
    <n v="7630"/>
    <n v="0"/>
    <n v="1791"/>
    <n v="0"/>
    <n v="646"/>
    <n v="3115933"/>
    <n v="1.0077060860282956"/>
    <n v="23828.026930990163"/>
    <n v="0.24684915241783667"/>
    <n v="5.3577824615761889E-2"/>
    <n v="6.2411009570862007E-2"/>
    <n v="7.0379499865403927E-2"/>
  </r>
  <r>
    <x v="74"/>
    <n v="47608877"/>
    <n v="3266815.4482758623"/>
    <n v="2.7253480615668648E-2"/>
    <n v="48089099"/>
    <x v="74"/>
    <n v="3188666.7215949399"/>
    <n v="2491799.7215949399"/>
    <n v="696867"/>
    <n v="2491693"/>
    <n v="3399452"/>
    <n v="27203.448275862102"/>
    <n v="29457"/>
    <n v="16130"/>
    <n v="1988"/>
    <n v="128"/>
    <n v="8157"/>
    <n v="62349"/>
    <n v="87872"/>
    <n v="466542"/>
    <n v="560507"/>
    <n v="176254"/>
    <n v="93974"/>
    <n v="16451"/>
    <n v="17848"/>
    <n v="10065"/>
    <n v="11596"/>
    <n v="0"/>
    <n v="0"/>
    <n v="0"/>
    <n v="0"/>
    <n v="4210851"/>
    <n v="1.3205679262377641"/>
    <n v="1022184.2784050601"/>
    <n v="0.28897731343298694"/>
    <n v="6.8617780005099938E-2"/>
    <n v="8.7563524531827891E-2"/>
    <n v="1.0086816372501195E-2"/>
  </r>
  <r>
    <x v="75"/>
    <n v="29669203"/>
    <n v="3813817.2758620689"/>
    <n v="3.5626436068417006E-2"/>
    <n v="29095609"/>
    <x v="75"/>
    <n v="4195600.6436511902"/>
    <n v="3410028.6436511902"/>
    <n v="785572"/>
    <n v="3071084"/>
    <n v="3855703"/>
    <n v="18998.275862069"/>
    <n v="23686"/>
    <n v="73572"/>
    <n v="50602"/>
    <n v="-818"/>
    <n v="-430"/>
    <n v="73153"/>
    <n v="113345"/>
    <n v="419718"/>
    <n v="500176"/>
    <n v="123367"/>
    <n v="79938"/>
    <n v="22898"/>
    <n v="15249"/>
    <n v="11845"/>
    <n v="11085"/>
    <n v="0"/>
    <n v="397"/>
    <n v="0"/>
    <n v="0"/>
    <n v="4649751"/>
    <n v="1.1082444195531416"/>
    <n v="454150.35634880979"/>
    <n v="0.21918557279306938"/>
    <n v="0.12854464866690449"/>
    <n v="0.15980937192275302"/>
    <n v="-1.9332976352617215E-2"/>
  </r>
  <r>
    <x v="76"/>
    <n v="31648239"/>
    <n v="3646038.6551724137"/>
    <n v="4.1591794671729708E-2"/>
    <n v="33761513"/>
    <x v="76"/>
    <n v="4962094.2578005204"/>
    <n v="4248239.2578005204"/>
    <n v="713855"/>
    <n v="2976626"/>
    <n v="3737072"/>
    <n v="19664.655172413801"/>
    <n v="19698"/>
    <n v="74611"/>
    <n v="39710"/>
    <n v="-1496"/>
    <n v="5715"/>
    <n v="72214"/>
    <n v="78016"/>
    <n v="365376"/>
    <n v="524686"/>
    <n v="116910"/>
    <n v="102274"/>
    <n v="13598"/>
    <n v="18601"/>
    <n v="8535"/>
    <n v="8408"/>
    <n v="0"/>
    <n v="0"/>
    <n v="0"/>
    <n v="0"/>
    <n v="4534180"/>
    <n v="0.91376337579081057"/>
    <n v="-427914.2578005204"/>
    <n v="0.24359076488880183"/>
    <n v="0.11520510367646092"/>
    <n v="0.13430026077326571"/>
    <n v="6.6773825867531E-2"/>
  </r>
  <r>
    <x v="77"/>
    <n v="34622687"/>
    <n v="2948517.3103448278"/>
    <n v="3.9762075669145136E-2"/>
    <n v="37697073"/>
    <x v="77"/>
    <n v="4800393.87091411"/>
    <n v="4124349.87091411"/>
    <n v="676044"/>
    <n v="2194292"/>
    <n v="3081196"/>
    <n v="18904.310344827602"/>
    <n v="22547"/>
    <n v="70889"/>
    <n v="983"/>
    <n v="0"/>
    <n v="3306"/>
    <n v="68484"/>
    <n v="83172"/>
    <n v="455909"/>
    <n v="498101"/>
    <n v="113508"/>
    <n v="60356"/>
    <n v="13831"/>
    <n v="12568"/>
    <n v="12700"/>
    <n v="4699"/>
    <n v="0"/>
    <n v="0"/>
    <n v="0"/>
    <n v="0"/>
    <n v="3766928"/>
    <n v="0.78471227597053128"/>
    <n v="-1033465.87091411"/>
    <n v="0.27756685937836978"/>
    <n v="8.5161423500863115E-2"/>
    <n v="9.9926272790463067E-2"/>
    <n v="8.879686316662827E-2"/>
  </r>
  <r>
    <x v="78"/>
    <n v="37975369"/>
    <n v="2432941.7241379311"/>
    <n v="3.215521816791362E-2"/>
    <n v="35305337"/>
    <x v="78"/>
    <n v="3757465.64467031"/>
    <n v="3088476.64467031"/>
    <n v="668989"/>
    <n v="1684468"/>
    <n v="2534659"/>
    <n v="18401.724137931"/>
    <n v="20797"/>
    <n v="87171"/>
    <n v="80650"/>
    <n v="-2861"/>
    <n v="1003"/>
    <n v="101126"/>
    <n v="84430"/>
    <n v="425643"/>
    <n v="508388"/>
    <n v="104286"/>
    <n v="64656"/>
    <n v="5964"/>
    <n v="10353"/>
    <n v="8743"/>
    <n v="10150"/>
    <n v="0"/>
    <n v="-387"/>
    <n v="0"/>
    <n v="1291"/>
    <n v="3315990"/>
    <n v="0.88250707087727842"/>
    <n v="-441475.64467030996"/>
    <n v="0.36295496398499272"/>
    <n v="6.4066308984066248E-2"/>
    <n v="9.3923193538699268E-2"/>
    <n v="-7.030957355542744E-2"/>
  </r>
  <r>
    <x v="79"/>
    <n v="43118954"/>
    <n v="1948887.8620689656"/>
    <n v="2.6532580173431613E-2"/>
    <n v="47045887"/>
    <x v="79"/>
    <n v="3134941.7407317399"/>
    <n v="2478986.7407317399"/>
    <n v="655955"/>
    <n v="1375650"/>
    <n v="2128572"/>
    <n v="18050.8620689655"/>
    <n v="23927"/>
    <n v="29277"/>
    <n v="4877"/>
    <n v="3421"/>
    <n v="-1018"/>
    <n v="45609"/>
    <n v="83878"/>
    <n v="352550"/>
    <n v="391543"/>
    <n v="96081"/>
    <n v="53191"/>
    <n v="18519"/>
    <n v="10847"/>
    <n v="9730"/>
    <n v="11032"/>
    <n v="0"/>
    <n v="0"/>
    <n v="0"/>
    <n v="2153"/>
    <n v="2709002"/>
    <n v="0.86413152908151991"/>
    <n v="-425939.7407317399"/>
    <n v="0.39002456361141635"/>
    <n v="4.5197939218770605E-2"/>
    <n v="5.7582121897287217E-2"/>
    <n v="9.1072083984226504E-2"/>
  </r>
  <r>
    <x v="80"/>
    <n v="43154994"/>
    <n v="2263128.7931034481"/>
    <n v="2.1253704080271267E-2"/>
    <n v="47447277"/>
    <x v="80"/>
    <n v="2622953.7217157199"/>
    <n v="1932466.7217157199"/>
    <n v="690487"/>
    <n v="1610627"/>
    <n v="2696322"/>
    <n v="19763.793103448301"/>
    <n v="24803"/>
    <n v="13804"/>
    <n v="11387"/>
    <n v="693"/>
    <n v="6523"/>
    <n v="35822"/>
    <n v="61903"/>
    <n v="412452"/>
    <n v="584128"/>
    <n v="148039"/>
    <n v="66334"/>
    <n v="13860"/>
    <n v="14472"/>
    <n v="8068"/>
    <n v="10711"/>
    <n v="0"/>
    <n v="0"/>
    <n v="0"/>
    <n v="0"/>
    <n v="3476583"/>
    <n v="1.3254458022713058"/>
    <n v="853629.2782842801"/>
    <n v="0.5361843349765929"/>
    <n v="5.244187481762709E-2"/>
    <n v="7.3272550498524922E-2"/>
    <n v="9.9462022865766109E-2"/>
  </r>
  <r>
    <x v="81"/>
    <n v="25627291"/>
    <n v="3390476.5517241377"/>
    <n v="2.4680675887169143E-2"/>
    <n v="26759642"/>
    <x v="81"/>
    <n v="2868426.7151839002"/>
    <n v="2206452.7151839002"/>
    <n v="661974"/>
    <n v="2606781"/>
    <n v="3611779"/>
    <n v="17396.551724137898"/>
    <n v="23259"/>
    <n v="77734"/>
    <n v="34041"/>
    <n v="0"/>
    <n v="886"/>
    <n v="41412"/>
    <n v="101609"/>
    <n v="451453"/>
    <n v="93872"/>
    <n v="167225"/>
    <n v="11647"/>
    <n v="21788"/>
    <n v="13189"/>
    <n v="6687"/>
    <n v="8934"/>
    <n v="0"/>
    <n v="0"/>
    <n v="0"/>
    <n v="861"/>
    <n v="3900077"/>
    <n v="1.3596571874592789"/>
    <n v="1031650.2848160998"/>
    <n v="0.15030348698819895"/>
    <n v="0.13229945185092476"/>
    <n v="0.14574473754170553"/>
    <n v="4.4185356930625197E-2"/>
  </r>
  <r>
    <x v="82"/>
    <n v="28238109"/>
    <n v="3559691.7931034481"/>
    <n v="3.6975029053207452E-2"/>
    <n v="30907085"/>
    <x v="82"/>
    <n v="4224181.7416150905"/>
    <n v="3601462.7416150901"/>
    <n v="622719"/>
    <n v="2806584"/>
    <n v="3876733"/>
    <n v="19038.793103448301"/>
    <n v="20599"/>
    <n v="62901"/>
    <n v="29088"/>
    <n v="2386"/>
    <n v="947"/>
    <n v="32084"/>
    <n v="88728"/>
    <n v="450799"/>
    <n v="841416"/>
    <n v="158470"/>
    <n v="103320"/>
    <n v="18507"/>
    <n v="8844"/>
    <n v="8922"/>
    <n v="6800"/>
    <n v="0"/>
    <n v="0"/>
    <n v="0"/>
    <n v="0"/>
    <n v="4976475"/>
    <n v="1.1780920671508026"/>
    <n v="752293.25838490948"/>
    <n v="0.39800726839369349"/>
    <n v="0.12605985029321362"/>
    <n v="0.16101405227959867"/>
    <n v="9.451681059804673E-2"/>
  </r>
  <r>
    <x v="83"/>
    <n v="30324337"/>
    <n v="3168052.4482758623"/>
    <n v="3.8820415201966926E-2"/>
    <n v="33708145"/>
    <x v="83"/>
    <n v="4405341.64100309"/>
    <n v="3837335.64100309"/>
    <n v="568006"/>
    <n v="2785242"/>
    <n v="3689993"/>
    <n v="19578.448275862102"/>
    <n v="23278"/>
    <n v="70468"/>
    <n v="52915"/>
    <n v="7635"/>
    <n v="0"/>
    <n v="17001"/>
    <n v="73771"/>
    <n v="173023"/>
    <n v="430352"/>
    <n v="64342"/>
    <n v="73055"/>
    <n v="22411"/>
    <n v="18886"/>
    <n v="8352"/>
    <n v="10282"/>
    <n v="0"/>
    <n v="1344"/>
    <n v="0"/>
    <n v="861"/>
    <n v="4374737"/>
    <n v="0.99305283369665709"/>
    <n v="-30604.641003089957"/>
    <n v="0.38089159552293639"/>
    <n v="0.10447227414323559"/>
    <n v="0.12978278691989725"/>
    <n v="0.11158720469304906"/>
  </r>
  <r>
    <x v="84"/>
    <n v="35440224"/>
    <n v="3161046.5517241377"/>
    <n v="3.4549370724158861E-2"/>
    <n v="38132226"/>
    <x v="84"/>
    <n v="4399478.9731613202"/>
    <n v="3807049.9731613202"/>
    <n v="592429"/>
    <n v="2131767"/>
    <n v="3046332"/>
    <n v="19721.551724137898"/>
    <n v="22864"/>
    <n v="37713"/>
    <n v="69528"/>
    <n v="4760"/>
    <n v="0"/>
    <n v="39979"/>
    <n v="94127"/>
    <n v="694821"/>
    <n v="361861"/>
    <n v="205802"/>
    <n v="94556"/>
    <n v="13403"/>
    <n v="18197"/>
    <n v="13080"/>
    <n v="9810"/>
    <n v="0"/>
    <n v="516"/>
    <n v="0"/>
    <n v="0"/>
    <n v="3717791"/>
    <n v="0.84505256706080312"/>
    <n v="-681687.9731613202"/>
    <n v="0.1761266210939525"/>
    <n v="8.9193752040735916E-2"/>
    <n v="9.7497350403829036E-2"/>
    <n v="7.5958944277553009E-2"/>
  </r>
  <r>
    <x v="85"/>
    <n v="40613707"/>
    <n v="2460022.2068965519"/>
    <n v="3.4472967532869409E-2"/>
    <n v="41924161"/>
    <x v="85"/>
    <n v="3519116.6175930798"/>
    <n v="2932739.6175930798"/>
    <n v="586377"/>
    <n v="1774382"/>
    <n v="2642807"/>
    <n v="23261.206896551699"/>
    <n v="23650"/>
    <n v="33871"/>
    <n v="-404"/>
    <n v="4459"/>
    <n v="0"/>
    <n v="53653"/>
    <n v="79044"/>
    <n v="427289"/>
    <n v="434744"/>
    <n v="115398"/>
    <n v="76785"/>
    <n v="14337"/>
    <n v="21103"/>
    <n v="13372"/>
    <n v="17145"/>
    <n v="0"/>
    <n v="1334"/>
    <n v="0"/>
    <n v="1894"/>
    <n v="3298102"/>
    <n v="0.93719599501529338"/>
    <n v="-221014.61759307981"/>
    <n v="0.34067976734272243"/>
    <n v="6.0571230468978166E-2"/>
    <n v="7.8668288674876519E-2"/>
    <n v="3.2266298666112858E-2"/>
  </r>
  <r>
    <x v="86"/>
    <n v="47440357"/>
    <n v="2090770.8620689656"/>
    <n v="2.6827907871912731E-2"/>
    <n v="47742193"/>
    <x v="86"/>
    <n v="3000751.2837741398"/>
    <n v="2480720.2837741398"/>
    <n v="520031"/>
    <n v="1413648"/>
    <n v="2317287"/>
    <n v="22200.8620689655"/>
    <n v="27167"/>
    <n v="26911"/>
    <n v="17429"/>
    <n v="3768"/>
    <n v="4746"/>
    <n v="63590"/>
    <n v="201003"/>
    <n v="438928"/>
    <n v="468826"/>
    <n v="103627"/>
    <n v="82721"/>
    <n v="9571"/>
    <n v="18605"/>
    <n v="8527"/>
    <n v="10400"/>
    <n v="0"/>
    <n v="0"/>
    <n v="0"/>
    <n v="0"/>
    <n v="3148184"/>
    <n v="1.0491319347335009"/>
    <n v="147432.71622586017"/>
    <n v="0.5057527618711164"/>
    <n v="4.4071566790042614E-2"/>
    <n v="6.5941336209670978E-2"/>
    <n v="6.3624310415708596E-3"/>
  </r>
  <r>
    <x v="87"/>
    <n v="46369398"/>
    <n v="2405801.3448275859"/>
    <n v="2.2801016963024712E-2"/>
    <n v="45273020"/>
    <x v="87"/>
    <n v="2598466.11398621"/>
    <n v="2008754.11398621"/>
    <n v="589712"/>
    <n v="1746951"/>
    <n v="2957998"/>
    <n v="25310.344827586199"/>
    <n v="26180"/>
    <n v="1629"/>
    <n v="-154"/>
    <n v="3494"/>
    <n v="550"/>
    <n v="52783"/>
    <n v="61517"/>
    <n v="424195"/>
    <n v="431690"/>
    <n v="120034"/>
    <n v="77277"/>
    <n v="20419"/>
    <n v="13682"/>
    <n v="10986"/>
    <n v="3904"/>
    <n v="0"/>
    <n v="0"/>
    <n v="0"/>
    <n v="904"/>
    <n v="3573548"/>
    <n v="1.3752528773669299"/>
    <n v="975081.88601379003"/>
    <n v="0.48538781378730245"/>
    <n v="5.1883385348836873E-2"/>
    <n v="7.8933280792843064E-2"/>
    <n v="-2.3644430320186594E-2"/>
  </r>
  <r>
    <x v="88"/>
    <n v="26611832"/>
    <n v="3399174.3103448278"/>
    <n v="2.6236599269801774E-2"/>
    <n v="33370751"/>
    <x v="88"/>
    <n v="2961464.0918172901"/>
    <n v="2402662.0918172901"/>
    <n v="558802"/>
    <n v="2655583"/>
    <n v="3604617"/>
    <n v="17754.310344827602"/>
    <n v="22502"/>
    <n v="51685"/>
    <n v="35752"/>
    <n v="2075"/>
    <n v="1275"/>
    <n v="59000"/>
    <n v="167268"/>
    <n v="466998"/>
    <n v="465162"/>
    <n v="119148"/>
    <n v="79652"/>
    <n v="19608"/>
    <n v="21229"/>
    <n v="7323"/>
    <n v="5239"/>
    <n v="0"/>
    <n v="0"/>
    <n v="0"/>
    <n v="861"/>
    <n v="4403557"/>
    <n v="1.486952690788081"/>
    <n v="1442092.9081827099"/>
    <n v="0.29547843033483123"/>
    <n v="0.12773169131478163"/>
    <n v="0.13195858253234996"/>
    <n v="0.25398172512136696"/>
  </r>
  <r>
    <x v="89"/>
    <n v="29808124"/>
    <n v="3936832.0344827585"/>
    <n v="3.7069882939612969E-2"/>
    <n v="38734445"/>
    <x v="89"/>
    <n v="4175603.56200366"/>
    <n v="3657616.56200366"/>
    <n v="517987"/>
    <n v="3138536"/>
    <n v="3283588"/>
    <n v="22106.034482758601"/>
    <n v="15779"/>
    <n v="84893"/>
    <n v="39244"/>
    <n v="8872"/>
    <n v="2701"/>
    <n v="49545"/>
    <n v="39379"/>
    <n v="478988"/>
    <n v="507477"/>
    <n v="121840"/>
    <n v="107093"/>
    <n v="21703"/>
    <n v="9535"/>
    <n v="10349"/>
    <n v="7513"/>
    <n v="0"/>
    <n v="0"/>
    <n v="0"/>
    <n v="0"/>
    <n v="4012309"/>
    <n v="0.96089318356522735"/>
    <n v="-163294.56200366002"/>
    <n v="1.9172005525289748E-2"/>
    <n v="0.13207245227786754"/>
    <n v="0.10358503910408423"/>
    <n v="0.29945933531409086"/>
  </r>
  <r>
    <x v="90"/>
    <n v="33038734"/>
    <n v="4055303.8620689656"/>
    <n v="4.7400183559419766E-2"/>
    <n v="43075503"/>
    <x v="90"/>
    <n v="3202889.1143756318"/>
    <n v="2530915.7136566299"/>
    <n v="671973.40071900201"/>
    <n v="3224956"/>
    <n v="2663655"/>
    <n v="19000.8620689655"/>
    <n v="25983"/>
    <n v="53719"/>
    <n v="48888"/>
    <n v="3290"/>
    <n v="71"/>
    <n v="91562"/>
    <n v="69713"/>
    <n v="496250"/>
    <n v="295216"/>
    <n v="140257"/>
    <n v="108376"/>
    <n v="19389"/>
    <n v="8989"/>
    <n v="6880"/>
    <n v="5695"/>
    <n v="0"/>
    <n v="0"/>
    <n v="0"/>
    <n v="1536"/>
    <n v="3228122"/>
    <n v="1.0078781639711205"/>
    <n v="25232.885624368209"/>
    <n v="-0.20397530991597446"/>
    <n v="0.12274392420935275"/>
    <n v="7.4941016939488792E-2"/>
    <n v="0.30378794175345813"/>
  </r>
  <r>
    <x v="91"/>
    <n v="37536410"/>
    <n v="3052607.3793103448"/>
    <n v="4.882660620712715E-2"/>
    <n v="36898701"/>
    <x v="91"/>
    <n v="2492074.404775437"/>
    <n v="1958190.40659514"/>
    <n v="533883.99818029697"/>
    <n v="2284246"/>
    <n v="1732887"/>
    <n v="20966.379310344801"/>
    <n v="24716"/>
    <n v="55138"/>
    <n v="32881"/>
    <n v="3034"/>
    <n v="6045"/>
    <n v="100239"/>
    <n v="122827"/>
    <n v="439577"/>
    <n v="244674"/>
    <n v="113852"/>
    <n v="97541"/>
    <n v="26202"/>
    <n v="9445"/>
    <n v="9353"/>
    <n v="7745"/>
    <n v="0"/>
    <n v="-585"/>
    <n v="0"/>
    <n v="0"/>
    <n v="2278176"/>
    <n v="0.91416853190035008"/>
    <n v="-213898.40477543697"/>
    <n v="-0.25369504920914754"/>
    <n v="8.1323903359707142E-2"/>
    <n v="6.1741360488544027E-2"/>
    <n v="-1.698907807113148E-2"/>
  </r>
  <r>
    <x v="92"/>
    <n v="37845651"/>
    <n v="2494838.4137931038"/>
    <n v="3.6753955679788182E-2"/>
    <n v="17241821"/>
    <x v="92"/>
    <n v="2018282.4388011731"/>
    <n v="1508618.83358052"/>
    <n v="509663.605220653"/>
    <n v="1760543"/>
    <n v="1389487"/>
    <n v="20947.4137931035"/>
    <n v="23309"/>
    <n v="62700"/>
    <n v="-1550"/>
    <n v="517"/>
    <n v="0"/>
    <n v="58034"/>
    <n v="46431"/>
    <n v="446985"/>
    <n v="273373"/>
    <n v="115709"/>
    <n v="89277"/>
    <n v="18229"/>
    <n v="12317"/>
    <n v="11174"/>
    <n v="3148"/>
    <n v="0"/>
    <n v="1439"/>
    <n v="0"/>
    <n v="0"/>
    <n v="1837231"/>
    <n v="0.91029430008383028"/>
    <n v="-181051.43880117312"/>
    <n v="-0.2635871766914516"/>
    <n v="6.5921403064069475E-2"/>
    <n v="0.10655666823127326"/>
    <n v="-0.54441737572436"/>
  </r>
  <r>
    <x v="93"/>
    <n v="49424718"/>
    <n v="2143966.3103448274"/>
    <n v="3.0038314494771637E-2"/>
    <n v="29614522"/>
    <x v="93"/>
    <n v="1813607.8576939679"/>
    <n v="1438592.65500991"/>
    <n v="375015.20268405799"/>
    <n v="1496166"/>
    <n v="1533453"/>
    <n v="21429.310344827602"/>
    <n v="20033"/>
    <n v="11511"/>
    <n v="3141"/>
    <n v="8"/>
    <n v="6216"/>
    <n v="49878"/>
    <n v="58547"/>
    <n v="435734"/>
    <n v="258489"/>
    <n v="114189"/>
    <n v="94071"/>
    <n v="9901"/>
    <n v="8439"/>
    <n v="5150"/>
    <n v="5821"/>
    <n v="0"/>
    <n v="0"/>
    <n v="0"/>
    <n v="689"/>
    <n v="1988899"/>
    <n v="1.0966532768163664"/>
    <n v="175291.14230603212"/>
    <n v="-7.2327307381936823E-2"/>
    <n v="4.3378422722509559E-2"/>
    <n v="6.7159584746969744E-2"/>
    <n v="-0.4008155595344014"/>
  </r>
  <r>
    <x v="94"/>
    <n v="48801683"/>
    <n v="2564117.2068965519"/>
    <n v="2.5813749676244106E-2"/>
    <n v="32111892"/>
    <x v="94"/>
    <n v="2403925.7696780148"/>
    <n v="1923027.8825731699"/>
    <n v="480897.88710484502"/>
    <n v="1847860"/>
    <n v="2062753"/>
    <n v="18636.206896551699"/>
    <n v="21508"/>
    <n v="26062"/>
    <n v="-895"/>
    <n v="2036"/>
    <n v="0"/>
    <n v="55957"/>
    <n v="60855"/>
    <n v="473249"/>
    <n v="330907"/>
    <n v="122349"/>
    <n v="116557"/>
    <n v="13822"/>
    <n v="9893"/>
    <n v="4146"/>
    <n v="5934"/>
    <n v="0"/>
    <n v="0"/>
    <n v="0"/>
    <n v="2066"/>
    <n v="2609578"/>
    <n v="1.0855484944318936"/>
    <n v="205652.2303219852"/>
    <n v="1.772960806205548E-2"/>
    <n v="5.2541573348946838E-2"/>
    <n v="8.1265158714410229E-2"/>
    <n v="-0.34199211941112773"/>
  </r>
  <r>
    <x v="95"/>
    <n v="28107408"/>
    <n v="3681154.1379310344"/>
    <n v="3.0872443937205406E-2"/>
    <n v="25748860"/>
    <x v="95"/>
    <n v="3799683.2282442148"/>
    <n v="3238014.31839043"/>
    <n v="561668.90985378495"/>
    <n v="2938155"/>
    <n v="3236683"/>
    <n v="17774.1379310345"/>
    <n v="13884"/>
    <n v="73052"/>
    <n v="33131"/>
    <n v="6096"/>
    <n v="1049"/>
    <n v="48292"/>
    <n v="69872"/>
    <n v="444090"/>
    <n v="347578"/>
    <n v="111346"/>
    <n v="92698"/>
    <n v="36065"/>
    <n v="11105"/>
    <n v="6284"/>
    <n v="6982"/>
    <n v="0"/>
    <n v="0"/>
    <n v="0"/>
    <n v="0"/>
    <n v="3812982"/>
    <n v="1.0034999685386747"/>
    <n v="13298.771755785216"/>
    <n v="3.5811557226196111E-2"/>
    <n v="0.13096739969516344"/>
    <n v="0.14808352680468184"/>
    <n v="-8.3911970822780901E-2"/>
  </r>
  <r>
    <x v="96"/>
    <n v="30891733"/>
    <n v="3954165.5862068967"/>
    <n v="4.4321774543620761E-2"/>
    <n v="29344448"/>
    <x v="96"/>
    <n v="4130456.0199458422"/>
    <n v="3507321.56373533"/>
    <n v="623134.45621051197"/>
    <n v="3216605"/>
    <n v="3458231"/>
    <n v="21327.586206896602"/>
    <n v="13114"/>
    <n v="89117"/>
    <n v="46704"/>
    <n v="9523"/>
    <n v="6042"/>
    <n v="65722"/>
    <n v="57558"/>
    <n v="426938"/>
    <n v="339334"/>
    <n v="95196"/>
    <n v="100463"/>
    <n v="19287"/>
    <n v="21803"/>
    <n v="10450"/>
    <n v="5551"/>
    <n v="0"/>
    <n v="0"/>
    <n v="0"/>
    <n v="0"/>
    <n v="4048800"/>
    <n v="0.98023074944956978"/>
    <n v="-81656.019945842214"/>
    <n v="2.3932840375529896E-2"/>
    <n v="0.12800076920925405"/>
    <n v="0.13797499274820232"/>
    <n v="-5.00873486120057E-2"/>
  </r>
  <r>
    <x v="97"/>
    <n v="33570758"/>
    <n v="3343296.7586206896"/>
    <n v="4.7608882718099717E-2"/>
    <n v="32604834"/>
    <x v="97"/>
    <n v="4462204.5025639776"/>
    <n v="3823240.0389817902"/>
    <n v="638964.46358218696"/>
    <n v="2654418"/>
    <n v="3303877"/>
    <n v="17257.758620689699"/>
    <n v="7511"/>
    <n v="79591"/>
    <n v="44772"/>
    <n v="3785"/>
    <n v="1353"/>
    <n v="72783"/>
    <n v="93757"/>
    <n v="402853"/>
    <n v="499464"/>
    <n v="84871"/>
    <n v="121896"/>
    <n v="19957"/>
    <n v="23159"/>
    <n v="7781"/>
    <n v="6698"/>
    <n v="0"/>
    <n v="1621"/>
    <n v="0"/>
    <n v="2497"/>
    <n v="4106605"/>
    <n v="0.92030855995962302"/>
    <n v="-355599.50256397761"/>
    <n v="0.22831004738395433"/>
    <n v="9.9589552271077394E-2"/>
    <n v="0.12595080226447403"/>
    <n v="-2.8772778976274505E-2"/>
  </r>
  <r>
    <x v="98"/>
    <n v="38193351"/>
    <n v="2855594.3793103448"/>
    <n v="4.0253909403339526E-2"/>
    <n v="37442596"/>
    <x v="98"/>
    <n v="3442825.792989464"/>
    <n v="2838051.03188224"/>
    <n v="604774.76110722404"/>
    <n v="2192657"/>
    <n v="3172823"/>
    <n v="17516.379310344801"/>
    <n v="20804"/>
    <n v="43419"/>
    <n v="11709"/>
    <n v="11270"/>
    <n v="1421"/>
    <n v="53292"/>
    <n v="87691"/>
    <n v="414956"/>
    <n v="462300"/>
    <n v="99227"/>
    <n v="118189"/>
    <n v="16763"/>
    <n v="14527"/>
    <n v="6494"/>
    <n v="13979"/>
    <n v="0"/>
    <n v="0"/>
    <n v="0"/>
    <n v="818"/>
    <n v="3904261"/>
    <n v="1.1340280440416546"/>
    <n v="461435.20701053599"/>
    <n v="0.36723234514242131"/>
    <n v="6.662610932271204E-2"/>
    <n v="0.10427324537005928"/>
    <n v="-0.12639746299520838"/>
  </r>
  <r>
    <x v="99"/>
    <n v="38630835"/>
    <n v="2228457.1034482759"/>
    <n v="3.4381882834973787E-2"/>
    <n v="38060436"/>
    <x v="99"/>
    <n v="3326298.0552961957"/>
    <n v="2749076.7175187599"/>
    <n v="577221.33777743601"/>
    <n v="1604794"/>
    <n v="2535597"/>
    <n v="16868.103448275899"/>
    <n v="22229"/>
    <n v="51502"/>
    <n v="16211"/>
    <n v="8066"/>
    <n v="1789"/>
    <n v="71162"/>
    <n v="52425"/>
    <n v="379811"/>
    <n v="374003"/>
    <n v="81052"/>
    <n v="127024"/>
    <n v="5276"/>
    <n v="13679"/>
    <n v="9926"/>
    <n v="5354"/>
    <n v="0"/>
    <n v="0"/>
    <n v="0"/>
    <n v="646"/>
    <n v="3148957"/>
    <n v="0.94668515799002739"/>
    <n v="-177341.05529619567"/>
    <n v="0.41306601555280498"/>
    <n v="6.6954933563361366E-2"/>
    <n v="8.2735704866859647E-2"/>
    <n v="0.14354185226600014"/>
  </r>
  <r>
    <x v="100"/>
    <n v="47070678"/>
    <n v="1943897.9655172415"/>
    <n v="2.683103440343227E-2"/>
    <n v="44317773"/>
    <x v="100"/>
    <n v="2937113.3031593719"/>
    <n v="2441321.4519349602"/>
    <n v="495791.85122441198"/>
    <n v="1381331"/>
    <n v="1919461"/>
    <n v="16293.9655172414"/>
    <n v="23291"/>
    <n v="6610"/>
    <n v="9774"/>
    <n v="11834"/>
    <n v="0"/>
    <n v="53467"/>
    <n v="121634"/>
    <n v="372193"/>
    <n v="377396"/>
    <n v="72801"/>
    <n v="109212"/>
    <n v="17561"/>
    <n v="11510"/>
    <n v="11807"/>
    <n v="7393"/>
    <n v="0"/>
    <n v="0"/>
    <n v="0"/>
    <n v="0"/>
    <n v="2579671"/>
    <n v="0.87830149324682805"/>
    <n v="-357442.30315937195"/>
    <n v="0.32706090842252045"/>
    <n v="5.109711220230076E-2"/>
    <n v="5.8208497976646977E-2"/>
    <n v="0.16493265578090344"/>
  </r>
  <r>
    <x v="101"/>
    <n v="42859990"/>
    <n v="2131055.4482758623"/>
    <n v="2.3404889916367962E-2"/>
    <n v="45342867"/>
    <x v="101"/>
    <n v="3206594.500332939"/>
    <n v="2685635.78252867"/>
    <n v="520958.71780426899"/>
    <n v="1569406"/>
    <n v="2182914"/>
    <n v="19453.448275862102"/>
    <n v="23094"/>
    <n v="1820"/>
    <n v="-748"/>
    <n v="11036"/>
    <n v="0"/>
    <n v="72440"/>
    <n v="47402"/>
    <n v="333556"/>
    <n v="497090"/>
    <n v="96341"/>
    <n v="137516"/>
    <n v="15131"/>
    <n v="16747"/>
    <n v="11872"/>
    <n v="6469"/>
    <n v="0"/>
    <n v="0"/>
    <n v="0"/>
    <n v="0"/>
    <n v="2910484"/>
    <n v="0.90765576991347241"/>
    <n v="-296110.50033293897"/>
    <n v="0.36574766384175361"/>
    <n v="5.182121160569092E-2"/>
    <n v="6.4188354035928083E-2"/>
    <n v="0.1026096517182371"/>
  </r>
  <r>
    <x v="102"/>
    <n v="33282941"/>
    <n v="3391252.4137931033"/>
    <n v="2.5658300516458021E-2"/>
    <n v="25303094"/>
    <x v="102"/>
    <n v="4091565.706355758"/>
    <n v="3548869.4431393798"/>
    <n v="542696.26321637805"/>
    <n v="2602332"/>
    <n v="3545385"/>
    <n v="16797.4137931035"/>
    <n v="17718"/>
    <n v="67991"/>
    <n v="56841"/>
    <n v="21714"/>
    <n v="2996"/>
    <n v="83069"/>
    <n v="100894"/>
    <n v="470529"/>
    <n v="599220"/>
    <n v="93695"/>
    <n v="96164"/>
    <n v="26519"/>
    <n v="20425"/>
    <n v="8606"/>
    <n v="6939"/>
    <n v="0"/>
    <n v="1740"/>
    <n v="0"/>
    <n v="2669"/>
    <n v="4450991"/>
    <n v="1.0878454165078952"/>
    <n v="359425.29364424199"/>
    <n v="0.31249180447219582"/>
    <n v="9.4189397079498999E-2"/>
    <n v="0.17590698592037796"/>
    <n v="-0.29722625233897138"/>
  </r>
  <r>
    <x v="103"/>
    <n v="38043206"/>
    <n v="3026574.2758620689"/>
    <n v="4.0831304333571371E-2"/>
    <n v="28217356"/>
    <x v="103"/>
    <n v="4355526.0469413977"/>
    <n v="3902260.8948228299"/>
    <n v="453265.15211856802"/>
    <n v="2444873"/>
    <n v="3863997"/>
    <n v="19573.275862069"/>
    <n v="23988"/>
    <n v="50256"/>
    <n v="19513"/>
    <n v="13006"/>
    <n v="3125"/>
    <n v="55749"/>
    <n v="94878"/>
    <n v="297114"/>
    <n v="330568"/>
    <n v="118730"/>
    <n v="67207"/>
    <n v="16825"/>
    <n v="14175"/>
    <n v="10448"/>
    <n v="8738"/>
    <n v="0"/>
    <n v="2248"/>
    <n v="0"/>
    <n v="732"/>
    <n v="4429169"/>
    <n v="1.0169079354054873"/>
    <n v="73642.953058602288"/>
    <n v="0.46342650016029285"/>
    <n v="0.19475834443974993"/>
    <n v="0.15696612396994247"/>
    <n v="0.81577091395245049"/>
  </r>
  <r>
    <x v="104"/>
    <n v="41123227"/>
    <n v="2418990.2758620689"/>
    <n v="3.6440512314345808E-2"/>
    <n v="30934395"/>
    <x v="104"/>
    <n v="4584480.9785924656"/>
    <n v="4112402.5295298402"/>
    <n v="472078.449062625"/>
    <n v="1792566"/>
    <n v="3534692"/>
    <n v="19598.275862069"/>
    <n v="21408"/>
    <n v="46001"/>
    <n v="53680"/>
    <n v="12990"/>
    <n v="4047"/>
    <n v="70129"/>
    <n v="65918"/>
    <n v="329344"/>
    <n v="262840"/>
    <n v="114466"/>
    <n v="39646"/>
    <n v="22862"/>
    <n v="15104"/>
    <n v="11034"/>
    <n v="8648"/>
    <n v="0"/>
    <n v="4107"/>
    <n v="0"/>
    <n v="2066"/>
    <n v="4012156"/>
    <n v="0.87516035484387988"/>
    <n v="-572324.97859246563"/>
    <n v="0.65860774226145491"/>
    <n v="8.8033181104417588E-2"/>
    <n v="0.12969886755503057"/>
    <n v="0.12578096099211855"/>
  </r>
  <r>
    <x v="105"/>
    <n v="36004609"/>
    <n v="1877662.6896551724"/>
    <n v="2.912508892937268E-2"/>
    <n v="35697133"/>
    <x v="105"/>
    <n v="3849003.8644771161"/>
    <n v="3227221.74691774"/>
    <n v="621782.11755937606"/>
    <n v="1396188"/>
    <n v="3470178"/>
    <n v="18720.689655172398"/>
    <n v="28270"/>
    <n v="28846"/>
    <n v="24297"/>
    <n v="77"/>
    <n v="671"/>
    <n v="58156"/>
    <n v="75563"/>
    <n v="252134"/>
    <n v="302084"/>
    <n v="102799"/>
    <n v="48237"/>
    <n v="13428"/>
    <n v="25300"/>
    <n v="7314"/>
    <n v="8648"/>
    <n v="0"/>
    <n v="2420"/>
    <n v="0"/>
    <n v="903"/>
    <n v="3986571"/>
    <n v="1.0357409710061625"/>
    <n v="137567.13552288385"/>
    <n v="1.1231561035769011"/>
    <n v="6.5358346766637154E-2"/>
    <n v="0.11167762408258389"/>
    <n v="0.24255842651761639"/>
  </r>
  <r>
    <x v="106"/>
    <n v="15540152"/>
    <n v="1515798.5172413792"/>
    <n v="2.2607404982677267E-2"/>
    <n v="36809100"/>
    <x v="106"/>
    <n v="3229637.3642553282"/>
    <n v="2423378.2517975001"/>
    <n v="806259.11245782801"/>
    <n v="1047803"/>
    <n v="2853424"/>
    <n v="13265.517241379301"/>
    <n v="23469"/>
    <n v="10416"/>
    <n v="52403"/>
    <n v="1772"/>
    <n v="274"/>
    <n v="83897"/>
    <n v="99139"/>
    <n v="262910"/>
    <n v="306316"/>
    <n v="73506"/>
    <n v="34098"/>
    <n v="15139"/>
    <n v="17055"/>
    <n v="7090"/>
    <n v="11232"/>
    <n v="0"/>
    <n v="2023"/>
    <n v="0"/>
    <n v="0"/>
    <n v="3399433"/>
    <n v="1.0525742108460596"/>
    <n v="169795.6357446718"/>
    <n v="1.2426681127691501"/>
    <n v="6.2612020802733287E-2"/>
    <n v="9.2353059433672655E-2"/>
    <n v="0.52044754544570204"/>
  </r>
  <r>
    <x v="107"/>
    <n v="27478165"/>
    <n v="1361861.4482758623"/>
    <n v="1.8250493627111931E-2"/>
    <n v="47810548"/>
    <x v="107"/>
    <n v="3047041.5702864998"/>
    <n v="2295427.3833223199"/>
    <n v="751614.18696417997"/>
    <n v="1029021"/>
    <n v="1975856"/>
    <n v="15128.4482758621"/>
    <n v="34542"/>
    <n v="1459"/>
    <n v="12478"/>
    <n v="1022"/>
    <n v="5202"/>
    <n v="56811"/>
    <n v="74166"/>
    <n v="164386"/>
    <n v="278466"/>
    <n v="71020"/>
    <n v="33090"/>
    <n v="15099"/>
    <n v="20145"/>
    <n v="7915"/>
    <n v="8615"/>
    <n v="0"/>
    <n v="2201"/>
    <n v="0"/>
    <n v="775"/>
    <n v="2445536"/>
    <n v="0.80259357924350772"/>
    <n v="-601505.5702864998"/>
    <n v="0.79573039760842534"/>
    <n v="4.7795214372671098E-2"/>
    <n v="5.1150553639334982E-2"/>
    <n v="0.67793529498017069"/>
  </r>
  <r>
    <x v="108"/>
    <n v="28728736"/>
    <n v="1822418.0344827585"/>
    <n v="1.6397062934196113E-2"/>
    <n v="47890384"/>
    <x v="108"/>
    <n v="3292789.7531871479"/>
    <n v="2583740.9904822102"/>
    <n v="709048.76270493795"/>
    <n v="1427487"/>
    <n v="2555315"/>
    <n v="14906.0344827586"/>
    <n v="26884"/>
    <n v="6558"/>
    <n v="-3026"/>
    <n v="2552"/>
    <n v="5082"/>
    <n v="23514"/>
    <n v="58228"/>
    <n v="241574"/>
    <n v="337847"/>
    <n v="85791"/>
    <n v="30590"/>
    <n v="14358"/>
    <n v="30639"/>
    <n v="5678"/>
    <n v="7830"/>
    <n v="0"/>
    <n v="2928"/>
    <n v="0"/>
    <n v="2669"/>
    <n v="3054986"/>
    <n v="0.92778046246136014"/>
    <n v="-237803.7531871479"/>
    <n v="0.67633657162917116"/>
    <n v="5.7309496536236182E-2"/>
    <n v="6.37912195483753E-2"/>
    <n v="0.50600671417630583"/>
  </r>
  <r>
    <x v="109"/>
    <n v="24209385"/>
    <n v="2934304"/>
    <n v="2.1942249148515978E-2"/>
    <n v="25946603"/>
    <x v="109"/>
    <n v="4640854.5148641914"/>
    <n v="3921418.0021528802"/>
    <n v="719436.51271131099"/>
    <n v="2363849"/>
    <n v="3569997"/>
    <n v="17125"/>
    <n v="23882"/>
    <n v="35717"/>
    <n v="57151"/>
    <n v="5563"/>
    <n v="2735"/>
    <n v="61395"/>
    <n v="75423"/>
    <n v="313296"/>
    <n v="380425"/>
    <n v="96557"/>
    <n v="38997"/>
    <n v="30744"/>
    <n v="24724"/>
    <n v="10058"/>
    <n v="7395"/>
    <n v="0"/>
    <n v="672"/>
    <n v="0"/>
    <n v="4349"/>
    <n v="4185750"/>
    <n v="0.90193519029598168"/>
    <n v="-455104.51486419141"/>
    <n v="0.42648818936279276"/>
    <n v="8.196480856090993E-2"/>
    <n v="0.16132169594609361"/>
    <n v="-0.27522562498605085"/>
  </r>
  <r>
    <x v="110"/>
    <n v="28493678"/>
    <n v="3130136.3103448278"/>
    <n v="3.5329561180380296E-2"/>
    <n v="29155457"/>
    <x v="110"/>
    <n v="4656374.6585687567"/>
    <n v="4035988.4624826298"/>
    <n v="620386.19608612696"/>
    <n v="2523969"/>
    <n v="4139341"/>
    <n v="18554.310344827602"/>
    <n v="24511"/>
    <n v="108487"/>
    <n v="54526"/>
    <n v="10773"/>
    <n v="3314"/>
    <n v="28432"/>
    <n v="85133"/>
    <n v="315822"/>
    <n v="395267"/>
    <n v="99999"/>
    <n v="32186"/>
    <n v="19059"/>
    <n v="19904"/>
    <n v="5041"/>
    <n v="12866"/>
    <n v="0"/>
    <n v="1339"/>
    <n v="0"/>
    <n v="2841"/>
    <n v="4771228"/>
    <n v="1.0246658290736739"/>
    <n v="114853.34143124335"/>
    <n v="0.52428761144730562"/>
    <n v="8.1666001287627021E-2"/>
    <n v="0.16364785501390014"/>
    <n v="-0.23932718807346343"/>
  </r>
  <r>
    <x v="111"/>
    <n v="31799582"/>
    <n v="3381983.7586206896"/>
    <n v="3.7687418304053512E-2"/>
    <n v="30577431"/>
    <x v="111"/>
    <n v="4508167.3730940577"/>
    <n v="3939193.9936038898"/>
    <n v="568973.37949016795"/>
    <n v="2790322"/>
    <n v="3741744"/>
    <n v="14407.758620689699"/>
    <n v="21002"/>
    <n v="48820"/>
    <n v="36270"/>
    <n v="26723"/>
    <n v="0"/>
    <n v="52261"/>
    <n v="93176"/>
    <n v="314535"/>
    <n v="357567"/>
    <n v="102425"/>
    <n v="53926"/>
    <n v="23735"/>
    <n v="25691"/>
    <n v="8755"/>
    <n v="4757"/>
    <n v="0"/>
    <n v="5288"/>
    <n v="0"/>
    <n v="4650"/>
    <n v="4344071"/>
    <n v="0.96360020391580214"/>
    <n v="-164096.37309405766"/>
    <n v="0.28447423466388511"/>
    <n v="7.9243259290922893E-2"/>
    <n v="0.14206788660564715"/>
    <n v="-0.28354023374390069"/>
  </r>
  <r>
    <x v="112"/>
    <n v="35799559"/>
    <n v="2583844.7931034481"/>
    <n v="4.071970801636169E-2"/>
    <n v="35456383"/>
    <x v="112"/>
    <n v="3746831.352177362"/>
    <n v="3186575.4791342602"/>
    <n v="560255.87304310198"/>
    <n v="2029339"/>
    <n v="3133148"/>
    <n v="15613.793103448301"/>
    <n v="22359"/>
    <n v="42994"/>
    <n v="23409"/>
    <n v="15816"/>
    <n v="0"/>
    <n v="73103"/>
    <n v="68920"/>
    <n v="277457"/>
    <n v="357674"/>
    <n v="104526"/>
    <n v="42322"/>
    <n v="16782"/>
    <n v="18255"/>
    <n v="8214"/>
    <n v="8264"/>
    <n v="0"/>
    <n v="5048"/>
    <n v="0"/>
    <n v="4994"/>
    <n v="3684393"/>
    <n v="0.98333569186638792"/>
    <n v="-62438.352177361958"/>
    <n v="0.42593433236935518"/>
    <n v="6.2218501992446842E-2"/>
    <n v="0.10391339127851817"/>
    <n v="-0.1462168926637476"/>
  </r>
  <r>
    <x v="113"/>
    <n v="38328512"/>
    <n v="2538592.9655172415"/>
    <n v="3.1109967712464468E-2"/>
    <n v="35631295"/>
    <x v="113"/>
    <n v="2943088.510209234"/>
    <n v="2445372.7951799599"/>
    <n v="497715.715029274"/>
    <n v="1938792"/>
    <n v="2485615"/>
    <n v="18018.965517241399"/>
    <n v="21234"/>
    <n v="42050"/>
    <n v="22286"/>
    <n v="8072"/>
    <n v="0"/>
    <n v="101687"/>
    <n v="56136"/>
    <n v="321502"/>
    <n v="280641"/>
    <n v="81927"/>
    <n v="37782"/>
    <n v="14919"/>
    <n v="17034"/>
    <n v="11625"/>
    <n v="10707"/>
    <n v="0"/>
    <n v="8599"/>
    <n v="0"/>
    <n v="1378"/>
    <n v="2941412"/>
    <n v="0.99943035685015302"/>
    <n v="-1676.5102092339657"/>
    <n v="0.15867807086619079"/>
    <n v="0.10357615202134368"/>
    <n v="8.2551363906363778E-2"/>
    <n v="0.45377871827726746"/>
  </r>
  <r>
    <x v="114"/>
    <n v="42678504"/>
    <n v="2232713.931034483"/>
    <n v="3.0565127364896218E-2"/>
    <n v="44200408"/>
    <x v="114"/>
    <n v="2922593.1010954212"/>
    <n v="2381328.42008851"/>
    <n v="541264.68100691098"/>
    <n v="1752638"/>
    <n v="1858764"/>
    <n v="19887.931034482801"/>
    <n v="23248"/>
    <n v="25737"/>
    <n v="9296"/>
    <n v="1459"/>
    <n v="1497"/>
    <n v="72841"/>
    <n v="70341"/>
    <n v="250845"/>
    <n v="308728"/>
    <n v="82494"/>
    <n v="43807"/>
    <n v="16169"/>
    <n v="13947"/>
    <n v="10643"/>
    <n v="4542"/>
    <n v="0"/>
    <n v="1327"/>
    <n v="0"/>
    <n v="2411"/>
    <n v="2337908"/>
    <n v="0.7999430365875172"/>
    <n v="-584685.10109542124"/>
    <n v="4.7114888971368396E-2"/>
    <n v="8.4174409820860205E-2"/>
    <n v="5.2893357907465473E-2"/>
    <n v="0.66637705150045323"/>
  </r>
  <r>
    <x v="115"/>
    <n v="41528560"/>
    <n v="2438760.9655172415"/>
    <n v="2.6882287392434513E-2"/>
    <n v="44483663"/>
    <x v="115"/>
    <n v="3121767.4812489282"/>
    <n v="2426796.8099636701"/>
    <n v="694970.67128525802"/>
    <n v="1946010"/>
    <n v="2402155"/>
    <n v="18168.965517241399"/>
    <n v="22570"/>
    <n v="19936"/>
    <n v="5255"/>
    <n v="3572"/>
    <n v="0"/>
    <n v="72272"/>
    <n v="42305"/>
    <n v="273543"/>
    <n v="188051"/>
    <n v="81092"/>
    <n v="44006"/>
    <n v="16940"/>
    <n v="23511"/>
    <n v="7227"/>
    <n v="6576"/>
    <n v="0"/>
    <n v="0"/>
    <n v="0"/>
    <n v="5726"/>
    <n v="2740155"/>
    <n v="0.87775755768451524"/>
    <n v="-381612.48124892823"/>
    <n v="0.12358490181871318"/>
    <e v="#REF!"/>
    <n v="6.1599131348513275E-2"/>
    <e v="#REF!"/>
  </r>
  <r>
    <x v="116"/>
    <n v="24509435"/>
    <n v="3201083.1724137929"/>
    <n v="2.9363131678096309E-2"/>
    <n v="25760577"/>
    <x v="116"/>
    <n v="3938557.7823995668"/>
    <n v="3150380.9104436301"/>
    <n v="788176.87195593701"/>
    <n v="2632448"/>
    <n v="3645929"/>
    <n v="14455.1724137931"/>
    <n v="20822"/>
    <n v="64714"/>
    <n v="10309"/>
    <n v="9783"/>
    <n v="2738"/>
    <n v="89766"/>
    <n v="64173"/>
    <n v="268976"/>
    <n v="460477"/>
    <n v="80501"/>
    <n v="93404"/>
    <n v="31107"/>
    <n v="20032"/>
    <n v="9333"/>
    <n v="9335"/>
    <n v="0"/>
    <n v="8011"/>
    <n v="0"/>
    <n v="3607"/>
    <n v="4338837"/>
    <n v="1.1016309115456377"/>
    <n v="400279.21760043316"/>
    <n v="0.35542776188732339"/>
    <e v="#REF!"/>
    <n v="0.16842934069372748"/>
    <e v="#REF!"/>
  </r>
  <r>
    <x v="117"/>
    <n v="26524854"/>
    <n v="3535092.2068965519"/>
    <n v="3.8541631604386915E-2"/>
    <n v="29247943"/>
    <x v="117"/>
    <n v="4775363.2823169054"/>
    <n v="3865009.1529240501"/>
    <n v="910354.12939285499"/>
    <n v="3065439"/>
    <n v="3414301"/>
    <n v="17661.206896551699"/>
    <n v="21260"/>
    <n v="28804"/>
    <n v="30481"/>
    <n v="996"/>
    <n v="1453"/>
    <n v="85432"/>
    <n v="60651"/>
    <n v="243921"/>
    <n v="297757"/>
    <n v="68863"/>
    <n v="122634"/>
    <n v="14584"/>
    <n v="18935"/>
    <n v="9392"/>
    <n v="8545"/>
    <n v="0"/>
    <n v="11569"/>
    <n v="0"/>
    <n v="4607"/>
    <n v="3992193"/>
    <n v="0.8359977584915953"/>
    <n v="-783170.28231690545"/>
    <n v="0.12930378229221229"/>
    <e v="#REF!"/>
    <n v="0.13649482973896659"/>
    <e v="#REF!"/>
  </r>
  <r>
    <x v="118"/>
    <n v="25819285"/>
    <n v="3278850.1724137929"/>
    <n v="4.2563161963394838E-2"/>
    <n v="33378286"/>
    <x v="118"/>
    <n v="4786174.5106639257"/>
    <n v="3969770.1570955799"/>
    <n v="816404.35356834601"/>
    <n v="2779622"/>
    <n v="3197203"/>
    <n v="15955.1724137931"/>
    <n v="23371"/>
    <n v="51237"/>
    <n v="59752"/>
    <n v="13462"/>
    <n v="1516"/>
    <n v="80785"/>
    <n v="126425"/>
    <n v="259639"/>
    <n v="317515"/>
    <n v="53075"/>
    <n v="127512"/>
    <n v="18341"/>
    <n v="17434"/>
    <n v="6734"/>
    <n v="4509"/>
    <n v="0"/>
    <n v="7208"/>
    <n v="0"/>
    <n v="4478"/>
    <n v="3886923"/>
    <n v="0.81211476751206391"/>
    <n v="-899251.51066392567"/>
    <n v="0.18545306909786663"/>
    <n v="0.12699229170806989"/>
    <n v="0.11645064698648697"/>
    <n v="0.29276569819807174"/>
  </r>
  <r>
    <x v="119"/>
    <n v="39998805"/>
    <n v="2881877.7241379311"/>
    <n v="3.9477960622891689E-2"/>
    <n v="30386544"/>
    <x v="119"/>
    <n v="4665726.4877311597"/>
    <n v="3834357.5068530198"/>
    <n v="831368.98087813996"/>
    <n v="2265014"/>
    <n v="2367928"/>
    <n v="19726.724137931"/>
    <n v="13584"/>
    <n v="14608"/>
    <n v="30645"/>
    <n v="195"/>
    <n v="1800"/>
    <n v="107730"/>
    <n v="78185"/>
    <n v="402948"/>
    <n v="230564"/>
    <n v="54211"/>
    <n v="119400"/>
    <n v="12681"/>
    <n v="15064"/>
    <n v="4764"/>
    <n v="10948"/>
    <n v="0"/>
    <n v="2681"/>
    <n v="0"/>
    <n v="1816"/>
    <n v="2872615"/>
    <n v="0.6156843971788174"/>
    <n v="-1793111.4877311597"/>
    <n v="-3.2141280875134237E-3"/>
    <n v="7.204909557017844E-2"/>
    <n v="9.4535758985951152E-2"/>
    <n v="-0.24031370437191812"/>
  </r>
  <r>
    <x v="120"/>
    <n v="34113604"/>
    <n v="2970705.9655172415"/>
    <n v="2.6995257789858985E-2"/>
    <n v="44124537"/>
    <x v="120"/>
    <n v="3662928.8948852308"/>
    <n v="3090983.4582338501"/>
    <n v="571945.43665138097"/>
    <n v="2361198"/>
    <n v="2069924"/>
    <n v="17493.965517241399"/>
    <n v="31463"/>
    <n v="63530"/>
    <n v="2522"/>
    <n v="10847"/>
    <n v="0"/>
    <n v="83416"/>
    <n v="33966"/>
    <n v="355472"/>
    <n v="215596"/>
    <n v="50730"/>
    <n v="89389"/>
    <n v="19076"/>
    <n v="23623"/>
    <n v="8943"/>
    <n v="9448"/>
    <n v="0"/>
    <n v="2225"/>
    <n v="0"/>
    <n v="3134"/>
    <n v="2481290"/>
    <n v="0.6774059970055043"/>
    <n v="-1181638.8948852308"/>
    <n v="-0.16474736012186497"/>
    <n v="8.7082735835159533E-2"/>
    <n v="5.6233791189695653E-2"/>
    <n v="0.29345867414067417"/>
  </r>
  <r>
    <x v="121"/>
    <n v="37655000"/>
    <n v="2257483.8275862066"/>
    <n v="2.8021685350285989E-2"/>
    <n v="39743152"/>
    <x v="121"/>
    <n v="3806845.0181720783"/>
    <n v="3283565.1481157802"/>
    <n v="523279.87005629798"/>
    <n v="1666165"/>
    <n v="1930522"/>
    <n v="20994.827586206899"/>
    <n v="20804"/>
    <n v="23268"/>
    <n v="-732"/>
    <n v="3184"/>
    <n v="1144"/>
    <n v="72034"/>
    <n v="87762"/>
    <n v="398776"/>
    <n v="178276"/>
    <n v="45043"/>
    <n v="69883"/>
    <n v="18901"/>
    <n v="10926"/>
    <n v="9118"/>
    <n v="4862"/>
    <n v="0"/>
    <n v="447"/>
    <n v="0"/>
    <n v="4607"/>
    <n v="2308501"/>
    <n v="0.60640792808225907"/>
    <n v="-1498344.0181720783"/>
    <n v="2.2599130851069349E-2"/>
    <n v="5.9951768094176246E-2"/>
    <n v="5.8085503635947146E-2"/>
    <n v="5.5454839994688587E-2"/>
  </r>
  <r>
    <x v="122"/>
    <n v="39231400"/>
    <n v="2960192.8965517241"/>
    <n v="2.1294097172274592E-2"/>
    <n v="39483198"/>
    <x v="122"/>
    <n v="2883172.567160266"/>
    <n v="2314560.4380195201"/>
    <n v="568612.12914074596"/>
    <n v="2338777"/>
    <n v="2628259"/>
    <n v="20781.896551724101"/>
    <n v="23026"/>
    <n v="21236"/>
    <n v="11669"/>
    <n v="2543"/>
    <n v="740"/>
    <n v="57471"/>
    <n v="66322"/>
    <n v="451270"/>
    <n v="227157"/>
    <n v="37594"/>
    <n v="91628"/>
    <n v="17703"/>
    <n v="19133"/>
    <n v="12817"/>
    <n v="8602"/>
    <n v="0"/>
    <n v="370"/>
    <n v="0"/>
    <n v="5416"/>
    <n v="3082322"/>
    <n v="1.0690730187669215"/>
    <n v="199149.43283973401"/>
    <n v="4.1257143610655245E-2"/>
    <n v="7.5454684170121994E-2"/>
    <n v="7.8066675348840792E-2"/>
    <n v="6.4182771963274821E-3"/>
  </r>
  <r>
    <x v="123"/>
    <n v="35100553"/>
    <n v="4497774.1034482755"/>
    <n v="2.7922519053103733E-2"/>
    <n v="32627546"/>
    <x v="123"/>
    <n v="3791917.7701865463"/>
    <n v="3166007.94079248"/>
    <n v="625909.82939406601"/>
    <n v="3540534"/>
    <n v="4124173"/>
    <n v="14493.103448275901"/>
    <n v="25420"/>
    <n v="86421"/>
    <n v="28207"/>
    <n v="8958"/>
    <n v="5623"/>
    <n v="100498"/>
    <n v="67376"/>
    <n v="625936"/>
    <n v="521359"/>
    <n v="72774"/>
    <n v="170941"/>
    <n v="35858"/>
    <n v="18893"/>
    <n v="12302"/>
    <n v="10593"/>
    <n v="0"/>
    <n v="2031"/>
    <n v="0"/>
    <n v="2109"/>
    <n v="4976725"/>
    <n v="1.3124559396115718"/>
    <n v="1184807.2298134537"/>
    <n v="0.10648620529531061"/>
    <n v="0.12813969350990781"/>
    <n v="0.1525313917264878"/>
    <n v="-7.0454929869623428E-2"/>
  </r>
  <r>
    <x v="124"/>
    <n v="33135134"/>
    <n v="4799597.3103448283"/>
    <n v="4.2426013266360994E-2"/>
    <n v="38637821"/>
    <x v="124"/>
    <n v="5750368.4992179256"/>
    <n v="4850315.21632984"/>
    <n v="900053.28288808605"/>
    <n v="3783300"/>
    <n v="4494478"/>
    <n v="19229.310344827602"/>
    <n v="24526"/>
    <n v="89988"/>
    <n v="55447"/>
    <n v="20578"/>
    <n v="6329"/>
    <n v="75155"/>
    <n v="70316"/>
    <n v="719475"/>
    <n v="610542"/>
    <n v="54500"/>
    <n v="206091"/>
    <n v="28166"/>
    <n v="34471"/>
    <n v="9206"/>
    <n v="15053"/>
    <n v="0"/>
    <n v="4388"/>
    <n v="0"/>
    <n v="4047"/>
    <n v="5525688"/>
    <n v="0.96092763459446418"/>
    <n v="-224680.49921792559"/>
    <n v="0.15128158524678503"/>
    <n v="0.14484918969528923"/>
    <n v="0.14301241263061909"/>
    <n v="0.16606804728781244"/>
  </r>
  <r>
    <x v="125"/>
    <n v="39489714"/>
    <n v="4200470.7241379311"/>
    <n v="4.5273011600508443E-2"/>
    <n v="34646775"/>
    <x v="125"/>
    <n v="6152825.8702747505"/>
    <n v="5175071.3334592404"/>
    <n v="977754.53681551002"/>
    <n v="3194165"/>
    <n v="4088680"/>
    <n v="17851.724137931"/>
    <n v="22236"/>
    <n v="61190"/>
    <n v="15858"/>
    <n v="12303"/>
    <n v="0"/>
    <n v="116730"/>
    <n v="103050"/>
    <n v="705144"/>
    <n v="584166"/>
    <n v="60042"/>
    <n v="168986"/>
    <n v="17079"/>
    <n v="21276"/>
    <n v="15966"/>
    <n v="9621"/>
    <n v="0"/>
    <n v="4594"/>
    <n v="0"/>
    <n v="0"/>
    <n v="5018467"/>
    <n v="0.815636116771155"/>
    <n v="-1134358.8702747505"/>
    <n v="0.19473919224373293"/>
    <n v="0.10636872994668767"/>
    <n v="0.14484658384510535"/>
    <n v="-0.12263798618546595"/>
  </r>
  <r>
    <x v="126"/>
    <n v="45546209"/>
    <n v="2894740.7931034481"/>
    <n v="3.9621648968677751E-2"/>
    <n v="41686093"/>
    <x v="126"/>
    <n v="5371374.2149370881"/>
    <n v="4409425.7740396904"/>
    <n v="961948.44089739805"/>
    <n v="2000980"/>
    <n v="3214171"/>
    <n v="18313.793103448301"/>
    <n v="22409"/>
    <n v="30809"/>
    <n v="45962"/>
    <n v="14752"/>
    <n v="0"/>
    <n v="72647"/>
    <n v="87902"/>
    <n v="653374"/>
    <n v="433044"/>
    <n v="69136"/>
    <n v="142471"/>
    <n v="20501"/>
    <n v="10390"/>
    <n v="14228"/>
    <n v="7381"/>
    <n v="0"/>
    <n v="2879"/>
    <n v="0"/>
    <n v="1248"/>
    <n v="3967857"/>
    <n v="0.73870425727664057"/>
    <n v="-1403517.2149370881"/>
    <n v="0.3707123654916491"/>
    <n v="6.3556130283059301E-2"/>
    <n v="9.5184190084688439E-2"/>
    <n v="-8.4751642008229489E-2"/>
  </r>
  <r>
    <x v="127"/>
    <n v="51077737"/>
    <n v="2085135.0344827585"/>
    <n v="2.7305131041758551E-2"/>
    <n v="43156233"/>
    <x v="127"/>
    <n v="3695975.1329928571"/>
    <n v="2783426.1647910401"/>
    <n v="912548.96820181701"/>
    <n v="1368567"/>
    <n v="1615018"/>
    <n v="19131.034482758601"/>
    <n v="19192"/>
    <n v="16561"/>
    <n v="7092"/>
    <n v="4452"/>
    <n v="1998"/>
    <n v="114101"/>
    <n v="52205"/>
    <n v="495524"/>
    <n v="453556"/>
    <n v="50019"/>
    <n v="262519"/>
    <n v="9383"/>
    <n v="32442"/>
    <n v="7397"/>
    <n v="12700"/>
    <n v="0"/>
    <n v="3174"/>
    <n v="0"/>
    <n v="1464"/>
    <n v="2461360"/>
    <n v="0.66595686156764977"/>
    <n v="-1234615.1329928571"/>
    <n v="0.18043194291758113"/>
    <n v="4.0822776359155426E-2"/>
    <n v="5.7033708201547621E-2"/>
    <n v="-0.15508721539484027"/>
  </r>
  <r>
    <x v="128"/>
    <n v="40072359"/>
    <n v="1746464.8275862068"/>
    <n v="1.9668388096080146E-2"/>
    <n v="60125006"/>
    <x v="128"/>
    <n v="2650696.7502161767"/>
    <n v="1973041.1177855299"/>
    <n v="677655.63243064703"/>
    <n v="1100345"/>
    <n v="1558074"/>
    <n v="16069.8275862069"/>
    <n v="23729"/>
    <n v="8962"/>
    <n v="12190"/>
    <n v="3222"/>
    <n v="4102"/>
    <n v="74464"/>
    <n v="87416"/>
    <n v="461097"/>
    <n v="361074"/>
    <n v="61803"/>
    <n v="192329"/>
    <n v="8257"/>
    <n v="9552"/>
    <n v="12245"/>
    <n v="10260"/>
    <n v="0"/>
    <n v="388"/>
    <n v="0"/>
    <n v="646"/>
    <n v="2259760"/>
    <n v="0.85251547534273997"/>
    <n v="-390936.75021617673"/>
    <n v="0.29390524464395873"/>
    <n v="4.3582780529247273E-2"/>
    <n v="3.7584362153743486E-2"/>
    <n v="0.5004109441123743"/>
  </r>
  <r>
    <x v="129"/>
    <n v="40325337"/>
    <n v="2103151.2758620689"/>
    <n v="1.6473824216204854E-2"/>
    <n v="36716841"/>
    <x v="129"/>
    <n v="2216972.367587375"/>
    <n v="1562118.43848599"/>
    <n v="654853.92910138494"/>
    <n v="1540924"/>
    <n v="1920563"/>
    <n v="20098.275862069"/>
    <n v="20514"/>
    <n v="2643"/>
    <n v="-705"/>
    <n v="4578"/>
    <n v="2209"/>
    <n v="64714"/>
    <n v="48263"/>
    <n v="382228"/>
    <n v="395528"/>
    <n v="63782"/>
    <n v="141929"/>
    <n v="16117"/>
    <n v="24844"/>
    <n v="8067"/>
    <n v="7362"/>
    <n v="0"/>
    <n v="256"/>
    <n v="0"/>
    <n v="0"/>
    <n v="2560763"/>
    <n v="1.1550721323544306"/>
    <n v="343790.63241262501"/>
    <n v="0.21758383687847593"/>
    <n v="5.2154586479018612E-2"/>
    <n v="6.9743554463195787E-2"/>
    <n v="-8.9484583848611132E-2"/>
  </r>
  <r>
    <x v="130"/>
    <n v="23242388"/>
    <n v="3090290.5517241377"/>
    <n v="1.9838329333276245E-2"/>
    <n v="23190846"/>
    <x v="130"/>
    <n v="2692193.9660598803"/>
    <n v="2125563.0218603802"/>
    <n v="566630.94419950002"/>
    <n v="2436435"/>
    <n v="2440025"/>
    <n v="21396.551724137898"/>
    <n v="21672"/>
    <n v="14035"/>
    <n v="29073"/>
    <n v="14004"/>
    <n v="5953"/>
    <n v="75997"/>
    <n v="60459"/>
    <n v="401282"/>
    <n v="409424"/>
    <n v="95820"/>
    <n v="123764"/>
    <n v="24006"/>
    <n v="11328"/>
    <n v="7315"/>
    <n v="10655"/>
    <n v="0"/>
    <n v="991"/>
    <n v="0"/>
    <n v="2109"/>
    <n v="3115453"/>
    <n v="1.1572171393577462"/>
    <n v="423259.03394011967"/>
    <n v="8.1424215149683565E-3"/>
    <n v="0.13295925322837471"/>
    <n v="0.1343397735468555"/>
    <n v="-2.217586248022374E-3"/>
  </r>
  <r>
    <x v="131"/>
    <n v="25300042"/>
    <n v="3459932.4137931033"/>
    <n v="2.9149687140544066E-2"/>
    <n v="22809337"/>
    <x v="131"/>
    <n v="3977917.8176610083"/>
    <n v="3341115.0863910802"/>
    <n v="636802.73126992804"/>
    <n v="2811134"/>
    <n v="2815317"/>
    <n v="23572.413793103398"/>
    <n v="21451"/>
    <n v="40509"/>
    <n v="23262"/>
    <n v="1759"/>
    <n v="3933"/>
    <n v="46794"/>
    <n v="54841"/>
    <n v="386009"/>
    <n v="383123"/>
    <n v="119690"/>
    <n v="135469"/>
    <n v="21353"/>
    <n v="16632"/>
    <n v="9112"/>
    <n v="10371"/>
    <n v="0"/>
    <n v="1022"/>
    <n v="0"/>
    <n v="4650"/>
    <n v="3470071"/>
    <n v="0.87233350688988864"/>
    <n v="-507846.81766100833"/>
    <n v="2.9302844663898764E-3"/>
    <n v="0.13675599486329323"/>
    <n v="0.15213379503314806"/>
    <n v="-9.8446674515402011E-2"/>
  </r>
  <r>
    <x v="132"/>
    <n v="28389964"/>
    <n v="3483171.3103448278"/>
    <n v="3.2636396384549266E-2"/>
    <n v="27932143"/>
    <x v="132"/>
    <n v="4432932.8504142966"/>
    <n v="3786801.4374958398"/>
    <n v="646131.41291845695"/>
    <n v="2777558"/>
    <n v="3700459"/>
    <n v="17204.310344827602"/>
    <n v="26216"/>
    <n v="30525"/>
    <n v="28501"/>
    <n v="2915"/>
    <n v="4829"/>
    <n v="51632"/>
    <n v="57302"/>
    <n v="406451"/>
    <n v="381201"/>
    <n v="166963"/>
    <n v="138856"/>
    <n v="21663"/>
    <n v="19491"/>
    <n v="8260"/>
    <n v="6421"/>
    <n v="0"/>
    <n v="1247"/>
    <n v="0"/>
    <n v="1937"/>
    <n v="4366460"/>
    <n v="0.98500476938014436"/>
    <n v="-66472.850414296612"/>
    <n v="0.25358749569159955"/>
    <n v="0.12269023343406944"/>
    <n v="0.15632384525598339"/>
    <n v="-1.6126156412174408E-2"/>
  </r>
  <r>
    <x v="133"/>
    <n v="37812054"/>
    <n v="3141109.8620689656"/>
    <n v="3.2855601198024269E-2"/>
    <n v="33640854"/>
    <x v="133"/>
    <n v="4463971.3255278813"/>
    <n v="3736889.70819441"/>
    <n v="727081.61733347096"/>
    <n v="2343626"/>
    <n v="2625651"/>
    <n v="17875.8620689655"/>
    <n v="10282"/>
    <n v="48768"/>
    <n v="6634"/>
    <n v="1400"/>
    <n v="0"/>
    <n v="88607"/>
    <n v="62863"/>
    <n v="449212"/>
    <n v="360073"/>
    <n v="166991"/>
    <n v="105100"/>
    <n v="16715"/>
    <n v="12418"/>
    <n v="7915"/>
    <n v="4862"/>
    <n v="0"/>
    <n v="5230"/>
    <n v="0"/>
    <n v="2497"/>
    <n v="3195610"/>
    <n v="0.71586705356403857"/>
    <n v="-1268361.3255278813"/>
    <n v="1.7350599095294461E-2"/>
    <n v="8.3071653871777645E-2"/>
    <n v="9.4991940454305951E-2"/>
    <n v="-0.11031402843125104"/>
  </r>
  <r>
    <x v="134"/>
    <n v="38245451"/>
    <n v="2766953.5517241377"/>
    <n v="2.9629048861539348E-2"/>
    <n v="37321124"/>
    <x v="134"/>
    <n v="4004790.069113472"/>
    <n v="3232522.0098353899"/>
    <n v="772268.05927808199"/>
    <n v="2112541"/>
    <n v="2405121"/>
    <n v="25296.551724137898"/>
    <n v="30006"/>
    <n v="27754"/>
    <n v="17955"/>
    <n v="1869"/>
    <n v="904"/>
    <n v="86382"/>
    <n v="90900"/>
    <n v="369211"/>
    <n v="329128"/>
    <n v="113629"/>
    <n v="99332"/>
    <n v="16988"/>
    <n v="9755"/>
    <n v="13283"/>
    <n v="6678"/>
    <n v="0"/>
    <n v="4507"/>
    <n v="0"/>
    <n v="4607"/>
    <n v="2998893"/>
    <n v="0.74882651730702465"/>
    <n v="-1005897.069113472"/>
    <n v="8.3824843438855989E-2"/>
    <n v="7.2347259069428613E-2"/>
    <n v="8.035376962387307E-2"/>
    <n v="-2.4168286053157018E-2"/>
  </r>
  <r>
    <x v="135"/>
    <n v="44431907"/>
    <n v="2722508.7931034481"/>
    <n v="2.609975632232259E-2"/>
    <n v="44523452"/>
    <x v="135"/>
    <n v="3538923.2997836089"/>
    <n v="2920573.0647547701"/>
    <n v="618350.23502883897"/>
    <n v="2109532"/>
    <n v="2034460"/>
    <n v="21563.793103448301"/>
    <n v="29019"/>
    <n v="-607"/>
    <n v="11244"/>
    <n v="4423"/>
    <n v="0"/>
    <n v="79497"/>
    <n v="59712"/>
    <n v="366239"/>
    <n v="310105"/>
    <n v="114522"/>
    <n v="110133"/>
    <n v="20368"/>
    <n v="19652"/>
    <n v="6971"/>
    <n v="5748"/>
    <n v="0"/>
    <n v="1224"/>
    <n v="0"/>
    <n v="1885"/>
    <n v="2583182"/>
    <n v="0.72993444083909687"/>
    <n v="-955741.29978360888"/>
    <n v="-5.1175883602795014E-2"/>
    <n v="6.1273732705270742E-2"/>
    <n v="5.8018457328960028E-2"/>
    <n v="2.060343707507295E-3"/>
  </r>
  <r>
    <x v="136"/>
    <n v="45518633"/>
    <n v="3370753"/>
    <n v="2.5680523636222155E-2"/>
    <n v="46674763"/>
    <x v="136"/>
    <n v="3493857.9422336142"/>
    <n v="2881546.4649545201"/>
    <n v="612311.47727909405"/>
    <n v="2677032"/>
    <n v="2587277"/>
    <n v="20975"/>
    <n v="27932"/>
    <n v="22100"/>
    <n v="-6421"/>
    <n v="-481"/>
    <n v="2492"/>
    <n v="76910"/>
    <n v="88989"/>
    <n v="427036"/>
    <n v="391486"/>
    <n v="120368"/>
    <n v="132520"/>
    <n v="16748"/>
    <n v="15266"/>
    <n v="10065"/>
    <n v="6798"/>
    <n v="0"/>
    <n v="658"/>
    <n v="0"/>
    <n v="3402"/>
    <n v="3250399"/>
    <n v="0.93031801914706025"/>
    <n v="-243458.94223361416"/>
    <n v="-3.5705375030445685E-2"/>
    <n v="7.4052157937168281E-2"/>
    <n v="6.9639325217355677E-2"/>
    <n v="2.5399049220129255E-2"/>
  </r>
  <r>
    <x v="137"/>
    <n v="26117094"/>
    <n v="3957267.2068965519"/>
    <n v="3.1795196514201887E-2"/>
    <n v="26723469"/>
    <x v="137"/>
    <n v="4314540.9203777462"/>
    <n v="3622551.8246312998"/>
    <n v="691989.09574644605"/>
    <n v="3127249"/>
    <n v="3987638"/>
    <n v="20161.206896551699"/>
    <n v="29579"/>
    <n v="63309"/>
    <n v="37318"/>
    <n v="9654"/>
    <n v="0"/>
    <n v="164587"/>
    <n v="99536"/>
    <n v="398765"/>
    <n v="377581"/>
    <n v="133448"/>
    <n v="105418"/>
    <n v="26159"/>
    <n v="19920"/>
    <n v="13935"/>
    <n v="5481"/>
    <n v="0"/>
    <n v="2264"/>
    <n v="0"/>
    <n v="4693"/>
    <n v="4669428"/>
    <n v="1.0822537289995577"/>
    <n v="354887.07962225378"/>
    <n v="0.17996277629732083"/>
    <n v="0.15152019619397747"/>
    <n v="0.17473135692076505"/>
    <n v="2.3217552458171697E-2"/>
  </r>
  <r>
    <x v="138"/>
    <n v="29370833"/>
    <n v="3973977.5172413792"/>
    <n v="3.7327590749747216E-2"/>
    <n v="28069178"/>
    <x v="138"/>
    <n v="5069955.5931407074"/>
    <n v="4380268.2390230801"/>
    <n v="689687.35411762702"/>
    <n v="3241569"/>
    <n v="4181035"/>
    <n v="22440.517241379301"/>
    <n v="24160"/>
    <n v="94697"/>
    <n v="29139"/>
    <n v="6895"/>
    <n v="3705"/>
    <n v="104955"/>
    <n v="77060"/>
    <n v="334212"/>
    <n v="350122"/>
    <n v="131940"/>
    <n v="81101"/>
    <n v="26309"/>
    <n v="24716"/>
    <n v="10960"/>
    <n v="9017"/>
    <n v="0"/>
    <n v="4981"/>
    <n v="0"/>
    <n v="2454"/>
    <n v="4787490"/>
    <n v="0.94428637727658538"/>
    <n v="-282465.59314070735"/>
    <n v="0.2047098855565086"/>
    <n v="0.13530353453854643"/>
    <n v="0.17056039190032568"/>
    <n v="-4.4317946310886036E-2"/>
  </r>
  <r>
    <x v="139"/>
    <n v="32364229"/>
    <n v="3532226.2413793104"/>
    <n v="3.7485213572074183E-2"/>
    <n v="32746350"/>
    <x v="139"/>
    <n v="5085439.3611811008"/>
    <n v="4478766.5483424496"/>
    <n v="606672.81283865101"/>
    <n v="2735434"/>
    <n v="4079378"/>
    <n v="22517.241379310301"/>
    <n v="21174"/>
    <n v="59374"/>
    <n v="58712"/>
    <n v="11701"/>
    <n v="0"/>
    <n v="96289"/>
    <n v="84547"/>
    <n v="374047"/>
    <n v="418327"/>
    <n v="193832"/>
    <n v="105255"/>
    <n v="28023"/>
    <n v="23214"/>
    <n v="11009"/>
    <n v="10330"/>
    <n v="0"/>
    <n v="1645"/>
    <n v="0"/>
    <n v="4650"/>
    <n v="4807232"/>
    <n v="0.94529334804289422"/>
    <n v="-278207.36118110083"/>
    <n v="0.36096378643141747"/>
    <n v="0.109139823518716"/>
    <n v="0.14680207107051627"/>
    <n v="1.1806893345118752E-2"/>
  </r>
  <r>
    <x v="140"/>
    <n v="36223027"/>
    <n v="3458995.4137931033"/>
    <n v="3.3318320113421507E-2"/>
    <n v="35778618"/>
    <x v="140"/>
    <n v="4523339.2005073801"/>
    <n v="3791950.55459726"/>
    <n v="731388.64591011999"/>
    <n v="2701648"/>
    <n v="3103521"/>
    <n v="22197.4137931035"/>
    <n v="20693"/>
    <n v="57018"/>
    <n v="30196"/>
    <n v="2723"/>
    <n v="-383"/>
    <n v="100755"/>
    <n v="93118"/>
    <n v="368227"/>
    <n v="304721"/>
    <n v="184282"/>
    <n v="98067"/>
    <n v="13230"/>
    <n v="14821"/>
    <n v="8915"/>
    <n v="5605"/>
    <n v="0"/>
    <n v="1786"/>
    <n v="0"/>
    <n v="2765"/>
    <n v="3674910"/>
    <n v="0.81243299188966145"/>
    <n v="-848429.20050738007"/>
    <n v="6.2421183140606296E-2"/>
    <n v="9.5491616804777343E-2"/>
    <n v="0.10271246362841628"/>
    <n v="-1.2268687539558787E-2"/>
  </r>
  <r>
    <x v="141"/>
    <n v="37119549"/>
    <n v="2538117.2758620689"/>
    <n v="3.2627557973922978E-2"/>
    <n v="40503524"/>
    <x v="141"/>
    <n v="4419525.1349156173"/>
    <n v="3727009.4103252999"/>
    <n v="692515.724590317"/>
    <n v="1819774"/>
    <n v="2880995"/>
    <n v="21773.275862069"/>
    <n v="17373"/>
    <n v="44511"/>
    <n v="7090"/>
    <n v="5468"/>
    <n v="1848"/>
    <n v="104707"/>
    <n v="133675"/>
    <n v="359912"/>
    <n v="287211"/>
    <n v="161958"/>
    <n v="103665"/>
    <n v="14507"/>
    <n v="17656"/>
    <n v="5507"/>
    <n v="10102"/>
    <n v="0"/>
    <n v="0"/>
    <n v="0"/>
    <n v="1120"/>
    <n v="3460735"/>
    <n v="0.78305584748440993"/>
    <n v="-958790.13491561729"/>
    <n v="0.36350476509189877"/>
    <n v="6.8376834962678795E-2"/>
    <n v="8.544281233405765E-2"/>
    <n v="9.1164227237782391E-2"/>
  </r>
  <r>
    <x v="142"/>
    <n v="45670035"/>
    <n v="2062777.1379310344"/>
    <n v="2.3941219532290038E-2"/>
    <n v="49237984"/>
    <x v="142"/>
    <n v="3232528.9287060522"/>
    <n v="2579504.3419044302"/>
    <n v="653024.58680162195"/>
    <n v="1467747"/>
    <n v="2252409"/>
    <n v="21924.1379310345"/>
    <n v="21274"/>
    <n v="4053"/>
    <n v="-3235"/>
    <n v="-155"/>
    <n v="3525"/>
    <n v="60410"/>
    <n v="110170"/>
    <n v="342742"/>
    <n v="326147"/>
    <n v="137614"/>
    <n v="99899"/>
    <n v="23925"/>
    <n v="20856"/>
    <n v="4517"/>
    <n v="6566"/>
    <n v="0"/>
    <n v="897"/>
    <n v="0"/>
    <n v="6159"/>
    <n v="2844667"/>
    <n v="0.88001285146694441"/>
    <n v="-387861.92870605225"/>
    <n v="0.37904718240827573"/>
    <n v="4.5166970814255657E-2"/>
    <n v="5.7773831682466935E-2"/>
    <n v="7.8124507677736599E-2"/>
  </r>
  <r>
    <x v="143"/>
    <n v="43078411"/>
    <n v="2328991.931034483"/>
    <n v="1.9457493463780992E-2"/>
    <n v="47019817"/>
    <x v="143"/>
    <n v="2628853.6956993621"/>
    <n v="2015701.05839047"/>
    <n v="613152.63730889198"/>
    <n v="1619702"/>
    <n v="2731286"/>
    <n v="27512.931034482801"/>
    <n v="21174"/>
    <n v="7700"/>
    <n v="0"/>
    <n v="-1294"/>
    <n v="4187"/>
    <n v="100831"/>
    <n v="63021"/>
    <n v="396662"/>
    <n v="343565"/>
    <n v="149588"/>
    <n v="92128"/>
    <n v="19789"/>
    <n v="20143"/>
    <n v="8501"/>
    <n v="11392"/>
    <n v="0"/>
    <n v="4347"/>
    <n v="0"/>
    <n v="6416"/>
    <n v="3297659"/>
    <n v="1.2544094809820574"/>
    <n v="668805.30430063792"/>
    <n v="0.41591688492250722"/>
    <n v="5.4064016684238492E-2"/>
    <n v="7.0133386525090047E-2"/>
    <n v="9.1493764707337943E-2"/>
  </r>
  <r>
    <x v="144"/>
    <n v="26417617"/>
    <n v="4561943.8965517245"/>
    <n v="2.1968609425618523E-2"/>
    <n v="28212621"/>
    <x v="144"/>
    <n v="5985763.6744493097"/>
    <n v="4709965.1085457699"/>
    <n v="1275798.56590354"/>
    <n v="3445706"/>
    <n v="4611370"/>
    <n v="24606.896551724101"/>
    <n v="20489"/>
    <n v="37482"/>
    <n v="30700"/>
    <n v="8128"/>
    <n v="4699"/>
    <n v="96490"/>
    <n v="78900"/>
    <n v="729673"/>
    <n v="902125"/>
    <n v="173445"/>
    <n v="237474"/>
    <n v="31849"/>
    <n v="36431"/>
    <n v="14564"/>
    <n v="12811"/>
    <n v="0"/>
    <n v="3362"/>
    <n v="0"/>
    <n v="7492"/>
    <n v="5945853"/>
    <n v="0.99333240057243299"/>
    <n v="-39910.674449309707"/>
    <n v="0.30335951840493758"/>
    <n v="0.17268567019317921"/>
    <n v="0.21075152854461837"/>
    <n v="6.7947233847776678E-2"/>
  </r>
  <r>
    <x v="145"/>
    <n v="31571706"/>
    <n v="5856325.5517241377"/>
    <n v="4.3031305668978406E-2"/>
    <n v="31205655"/>
    <x v="145"/>
    <n v="7684050.9479068602"/>
    <n v="5592266.5572508499"/>
    <n v="2091784.39065601"/>
    <n v="4079869"/>
    <n v="4676609"/>
    <n v="24421.551724137898"/>
    <n v="26116"/>
    <n v="55831"/>
    <n v="76532"/>
    <n v="10097"/>
    <n v="5544"/>
    <n v="119447"/>
    <n v="91220"/>
    <n v="1213906"/>
    <n v="1074734"/>
    <n v="294966"/>
    <n v="170033"/>
    <n v="45119"/>
    <n v="28875"/>
    <n v="12669"/>
    <n v="10958"/>
    <n v="0"/>
    <n v="3874"/>
    <n v="0"/>
    <n v="3186"/>
    <n v="6167681"/>
    <n v="0.80266008669295452"/>
    <n v="-1516369.9479068602"/>
    <n v="5.316566600096162E-2"/>
    <n v="0.18549284450210379"/>
    <n v="0.19764625994871762"/>
    <n v="-1.1594273682898226E-2"/>
  </r>
  <r>
    <x v="146"/>
    <n v="34320185"/>
    <n v="5668722.2758620689"/>
    <n v="5.5240779068715731E-2"/>
    <n v="33438597"/>
    <x v="146"/>
    <n v="7450207.6240357403"/>
    <n v="5010773.0662852004"/>
    <n v="2439434.5577505399"/>
    <n v="3654732"/>
    <n v="3970639"/>
    <n v="31223.275862069"/>
    <n v="29228"/>
    <n v="60377"/>
    <n v="26769"/>
    <n v="8759"/>
    <n v="11997"/>
    <n v="88703"/>
    <n v="83615"/>
    <n v="1382114"/>
    <n v="850183"/>
    <n v="371492"/>
    <n v="220841"/>
    <n v="45166"/>
    <n v="23508"/>
    <n v="26156"/>
    <n v="11096"/>
    <n v="0"/>
    <n v="6482"/>
    <n v="0"/>
    <n v="4996"/>
    <n v="5239354"/>
    <n v="0.70324939443256318"/>
    <n v="-2210853.6240357403"/>
    <n v="-7.5743395948388192E-2"/>
    <n v="0.16517167013703651"/>
    <n v="0.15668582028127556"/>
    <n v="-2.5687157572140129E-2"/>
  </r>
  <r>
    <x v="147"/>
    <n v="37519109"/>
    <n v="4707434.3793103453"/>
    <n v="5.3471179509583834E-2"/>
    <n v="37446290"/>
    <x v="147"/>
    <n v="6189474.6488193097"/>
    <n v="4109781.6677747699"/>
    <n v="2079692.9810445399"/>
    <n v="2978165"/>
    <n v="3618780"/>
    <n v="27291.379310344801"/>
    <n v="31726"/>
    <n v="44594"/>
    <n v="13833"/>
    <n v="8693"/>
    <n v="1382"/>
    <n v="93162"/>
    <n v="98131"/>
    <n v="1195372"/>
    <n v="756891"/>
    <n v="298834"/>
    <n v="201932"/>
    <n v="46665"/>
    <n v="33137"/>
    <n v="14658"/>
    <n v="11225"/>
    <n v="0"/>
    <n v="4271"/>
    <n v="0"/>
    <n v="2454"/>
    <n v="4773762"/>
    <n v="0.77127095122857192"/>
    <n v="-1415712.6488193097"/>
    <n v="1.4089972444687016E-2"/>
    <n v="0.12546764848041422"/>
    <n v="0.12748290952187788"/>
    <n v="-1.9408509940894714E-3"/>
  </r>
  <r>
    <x v="148"/>
    <n v="43157206"/>
    <n v="4171402.2413793104"/>
    <n v="4.4403669200289202E-2"/>
    <n v="42455021"/>
    <x v="148"/>
    <n v="5485879.74035291"/>
    <n v="3454416.0166014698"/>
    <n v="2031463.7237514399"/>
    <n v="2453304"/>
    <n v="2759171"/>
    <n v="37442.241379310297"/>
    <n v="25341"/>
    <n v="36352"/>
    <n v="29617"/>
    <n v="7638"/>
    <n v="4838"/>
    <n v="113450"/>
    <n v="97357"/>
    <n v="1220737"/>
    <n v="753282"/>
    <n v="249590"/>
    <n v="172862"/>
    <n v="38407"/>
    <n v="24477"/>
    <n v="14482"/>
    <n v="13363"/>
    <n v="0"/>
    <n v="6072"/>
    <n v="0"/>
    <n v="1291"/>
    <n v="3887671"/>
    <n v="0.70866865188515848"/>
    <n v="-1598208.74035291"/>
    <n v="-6.8018192675058819E-2"/>
    <n v="9.6655984666368586E-2"/>
    <n v="9.1571524602472809E-2"/>
    <n v="-1.627039989567447E-2"/>
  </r>
  <r>
    <x v="149"/>
    <n v="51180118"/>
    <n v="3784028.7931034481"/>
    <n v="3.9347455599516606E-2"/>
    <n v="50731319"/>
    <x v="149"/>
    <n v="4983598.2525027702"/>
    <n v="3181448.1200861302"/>
    <n v="1802150.1324166399"/>
    <n v="2260895"/>
    <n v="2444647"/>
    <n v="34463.793103448297"/>
    <n v="31667"/>
    <n v="19296"/>
    <n v="334"/>
    <n v="4141"/>
    <n v="732"/>
    <n v="119066"/>
    <n v="102241"/>
    <n v="1010801"/>
    <n v="813542"/>
    <n v="278925"/>
    <n v="157583"/>
    <n v="39390"/>
    <n v="22067"/>
    <n v="17051"/>
    <n v="9771"/>
    <n v="0"/>
    <n v="1250"/>
    <n v="0"/>
    <n v="8009"/>
    <n v="3591843"/>
    <n v="0.72073285566230616"/>
    <n v="-1391755.2525027702"/>
    <n v="-5.0788670914374334E-2"/>
    <n v="7.3935523030709854E-2"/>
    <n v="7.0801293378553787E-2"/>
    <n v="-8.7690106537073875E-3"/>
  </r>
  <r>
    <x v="150"/>
    <n v="54033676"/>
    <n v="4327176.5517241377"/>
    <n v="3.5693490176266947E-2"/>
    <n v="51664485"/>
    <x v="150"/>
    <n v="5635126.4442096399"/>
    <n v="3688020.1859307298"/>
    <n v="1947106.2582789101"/>
    <n v="2641485"/>
    <n v="2739282"/>
    <n v="39671.551724137898"/>
    <n v="36548"/>
    <n v="-228"/>
    <n v="7405"/>
    <n v="1403"/>
    <n v="4382"/>
    <n v="186803"/>
    <n v="80380"/>
    <n v="1125600"/>
    <n v="1043225"/>
    <n v="278166"/>
    <n v="173161"/>
    <n v="40863"/>
    <n v="23659"/>
    <n v="13413"/>
    <n v="10923"/>
    <n v="0"/>
    <n v="2086"/>
    <n v="0"/>
    <n v="5728"/>
    <n v="4126779"/>
    <n v="0.73233121578673033"/>
    <n v="-1508347.4442096399"/>
    <n v="-4.6311387882773225E-2"/>
    <n v="8.0082957001188254E-2"/>
    <n v="7.9876514785737249E-2"/>
    <n v="-4.3846563391319093E-2"/>
  </r>
  <r>
    <x v="151"/>
    <n v="30821255"/>
    <n v="5295147.3103448283"/>
    <n v="3.7362092448419891E-2"/>
    <n v="28438618"/>
    <x v="151"/>
    <n v="5628230.5453892499"/>
    <n v="3718237.2221329901"/>
    <n v="1909993.32325626"/>
    <n v="3591037"/>
    <n v="4064668"/>
    <n v="32404.310344827602"/>
    <n v="29432"/>
    <n v="47857"/>
    <n v="26689"/>
    <n v="7967"/>
    <n v="10478"/>
    <n v="133459"/>
    <n v="92432"/>
    <n v="1113451"/>
    <n v="904974"/>
    <n v="281772"/>
    <n v="135586"/>
    <n v="68092"/>
    <n v="29579"/>
    <n v="19108"/>
    <n v="10801"/>
    <n v="0"/>
    <n v="8208"/>
    <n v="0"/>
    <n v="8913"/>
    <n v="5321760"/>
    <n v="0.94554762053229746"/>
    <n v="-306470.54538924992"/>
    <n v="5.0258638892217711E-3"/>
    <n v="0.17180180723805141"/>
    <n v="0.18713145624727615"/>
    <n v="-7.73049961787734E-2"/>
  </r>
  <r>
    <x v="152"/>
    <n v="35443743"/>
    <n v="6788915.6896551726"/>
    <n v="4.5864722857891053E-2"/>
    <n v="32512385"/>
    <x v="152"/>
    <n v="6910737.6119030602"/>
    <n v="4968805.8758889297"/>
    <n v="1941931.7360141301"/>
    <n v="4671193"/>
    <n v="4572359"/>
    <n v="32920.689655172398"/>
    <n v="23766"/>
    <n v="51815"/>
    <n v="47963"/>
    <n v="10260"/>
    <n v="15476"/>
    <n v="127803"/>
    <n v="108290"/>
    <n v="1389018"/>
    <n v="930339"/>
    <n v="419059"/>
    <n v="178091"/>
    <n v="74233"/>
    <n v="32506"/>
    <n v="12614"/>
    <n v="12255"/>
    <n v="0"/>
    <n v="4331"/>
    <n v="0"/>
    <n v="4564"/>
    <n v="5929940"/>
    <n v="0.85807627680528142"/>
    <n v="-980797.61190306023"/>
    <n v="-0.12652619783805308"/>
    <n v="0.19154059687361949"/>
    <n v="0.1823901876161961"/>
    <n v="-8.2704527002128381E-2"/>
  </r>
  <r>
    <x v="153"/>
    <n v="35210999"/>
    <n v="4673886.3448275868"/>
    <n v="5.8889586571135459E-2"/>
    <n v="31971655"/>
    <x v="153"/>
    <n v="8873325.0488210805"/>
    <n v="6391028.7994139604"/>
    <n v="2482296.24940712"/>
    <n v="3304777"/>
    <n v="3552563"/>
    <n v="29785.344827586199"/>
    <n v="26173"/>
    <n v="42044"/>
    <n v="32530"/>
    <n v="4685"/>
    <n v="6406"/>
    <n v="147345"/>
    <n v="121708"/>
    <n v="792011"/>
    <n v="539970"/>
    <n v="301527"/>
    <n v="136278"/>
    <n v="38002"/>
    <n v="35037"/>
    <n v="13710"/>
    <n v="7759"/>
    <n v="0"/>
    <n v="4912"/>
    <n v="0"/>
    <n v="1334"/>
    <n v="4464670"/>
    <n v="0.5031563675888534"/>
    <n v="-4408655.0488210805"/>
    <n v="-4.47628224976242E-2"/>
    <n v="0.13273938478222633"/>
    <n v="0.13964463209677447"/>
    <n v="-9.19980713980878E-2"/>
  </r>
  <r>
    <x v="154"/>
    <n v="38609736"/>
    <n v="3575822.1724137929"/>
    <n v="4.0488528709397613E-2"/>
    <n v="34179408"/>
    <x v="154"/>
    <n v="6101558.7720924998"/>
    <n v="4601314.02368386"/>
    <n v="1500244.74840864"/>
    <n v="2405203"/>
    <n v="2797805"/>
    <n v="24530.172413793101"/>
    <n v="20815"/>
    <n v="28287"/>
    <n v="73509"/>
    <n v="7601"/>
    <n v="4322"/>
    <n v="173866"/>
    <n v="88544"/>
    <n v="649458"/>
    <n v="330252"/>
    <n v="251407"/>
    <n v="176072"/>
    <n v="22490"/>
    <n v="20525"/>
    <n v="12980"/>
    <n v="5500"/>
    <n v="0"/>
    <n v="5098"/>
    <n v="0"/>
    <n v="5081"/>
    <n v="3527523"/>
    <n v="0.57813472454519244"/>
    <n v="-2574035.7720924998"/>
    <n v="-1.350715166609906E-2"/>
    <n v="9.2614520141080292E-2"/>
    <n v="0.10320608829737483"/>
    <n v="-0.11474639453634183"/>
  </r>
  <r>
    <x v="155"/>
    <n v="40369746"/>
    <n v="3043546.4827586208"/>
    <n v="3.0947521444187404E-2"/>
    <n v="36164915"/>
    <x v="155"/>
    <n v="4663412.6250081202"/>
    <n v="3436840.55209722"/>
    <n v="1226572.0729109"/>
    <n v="2001508"/>
    <n v="2265727"/>
    <n v="24459.482758620699"/>
    <n v="32888"/>
    <n v="72867"/>
    <n v="13246"/>
    <n v="5878"/>
    <n v="5193"/>
    <n v="128752"/>
    <n v="99255"/>
    <n v="599700"/>
    <n v="351624"/>
    <n v="181701"/>
    <n v="180239"/>
    <n v="19333"/>
    <n v="11727"/>
    <n v="9348"/>
    <n v="6281"/>
    <n v="0"/>
    <n v="4449"/>
    <n v="0"/>
    <n v="1291"/>
    <n v="2971920"/>
    <n v="0.63728437497954094"/>
    <n v="-1691492.6250081202"/>
    <n v="-2.3533888233472799E-2"/>
    <n v="7.5391766962284598E-2"/>
    <n v="8.2176883313565097E-2"/>
    <n v="-0.10415797513316039"/>
  </r>
  <r>
    <x v="156"/>
    <n v="50222961"/>
    <n v="2666977.8965517241"/>
    <n v="2.6303977444996626E-2"/>
    <n v="47697211"/>
    <x v="156"/>
    <n v="3963610.0504163904"/>
    <n v="2902425.7969517601"/>
    <n v="1061184.2534646301"/>
    <n v="1812078"/>
    <n v="2159116"/>
    <n v="25031.896551724101"/>
    <n v="34578"/>
    <n v="25976"/>
    <n v="22387"/>
    <n v="10248"/>
    <n v="1996"/>
    <n v="156778"/>
    <n v="97775"/>
    <n v="495806"/>
    <n v="344708"/>
    <n v="116017"/>
    <n v="188671"/>
    <n v="17934"/>
    <n v="9093"/>
    <n v="7109"/>
    <n v="3824"/>
    <n v="0"/>
    <n v="5418"/>
    <n v="0"/>
    <n v="3100"/>
    <n v="2870666"/>
    <n v="0.72425540441306202"/>
    <n v="-1092944.0504163904"/>
    <n v="7.63741250767902E-2"/>
    <n v="5.3102761036963236E-2"/>
    <n v="6.0185196153292903E-2"/>
    <n v="-5.0290742515161524E-2"/>
  </r>
  <r>
    <x v="157"/>
    <n v="49920221"/>
    <n v="3220669.7586206896"/>
    <n v="2.3041653360050537E-2"/>
    <n v="50902735"/>
    <x v="157"/>
    <n v="3472422.4349578251"/>
    <n v="2638146.18790258"/>
    <n v="834276.24705524498"/>
    <n v="2272542"/>
    <n v="2835754"/>
    <n v="25757.758620689601"/>
    <n v="33462"/>
    <n v="21715"/>
    <n v="1717"/>
    <n v="6780"/>
    <n v="3121"/>
    <n v="85534"/>
    <n v="82366"/>
    <n v="642846"/>
    <n v="526670"/>
    <n v="139716"/>
    <n v="201401"/>
    <n v="16575"/>
    <n v="12585"/>
    <n v="9204"/>
    <n v="6574"/>
    <n v="0"/>
    <n v="2075"/>
    <n v="0"/>
    <n v="3057"/>
    <n v="3708782"/>
    <n v="1.0680676298663085"/>
    <n v="236359.56504217489"/>
    <n v="0.15155612899236015"/>
    <n v="6.4516336148044889E-2"/>
    <n v="7.2860171462299617E-2"/>
    <n v="1.9681683700879526E-2"/>
  </r>
  <r>
    <x v="158"/>
    <n v="28800528"/>
    <n v="4519881.7931034481"/>
    <n v="2.7824672335511912E-2"/>
    <n v="28697109"/>
    <x v="158"/>
    <n v="4193019.4933147803"/>
    <n v="3134115.9000614402"/>
    <n v="1058903.5932533401"/>
    <n v="3416740"/>
    <n v="4038776"/>
    <n v="24238.793103448301"/>
    <n v="28413"/>
    <n v="51991"/>
    <n v="38880"/>
    <n v="11309"/>
    <n v="7184"/>
    <n v="75866"/>
    <n v="129134"/>
    <n v="757315"/>
    <n v="693965"/>
    <n v="142907"/>
    <n v="192882"/>
    <n v="32343"/>
    <n v="27190"/>
    <n v="7172"/>
    <n v="4960"/>
    <n v="0"/>
    <n v="8849"/>
    <n v="0"/>
    <n v="3057"/>
    <n v="5173290"/>
    <n v="1.2337862984534493"/>
    <n v="980270.50668521971"/>
    <n v="0.14456311841905656"/>
    <n v="0.15693746285149524"/>
    <n v="0.18027216609171329"/>
    <n v="-3.5908716673527241E-3"/>
  </r>
  <r>
    <x v="159"/>
    <n v="33842549"/>
    <n v="4898086.7241379311"/>
    <n v="3.9182783622188355E-2"/>
    <n v="32882240"/>
    <x v="159"/>
    <n v="5905700.5773297697"/>
    <n v="4674671.9817084698"/>
    <n v="1231028.5956212999"/>
    <n v="3683319"/>
    <n v="4305103"/>
    <n v="22251.724137931"/>
    <n v="32400"/>
    <n v="65685"/>
    <n v="65678"/>
    <n v="13660"/>
    <n v="1844"/>
    <n v="88024"/>
    <n v="114553"/>
    <n v="829750"/>
    <n v="480602"/>
    <n v="153054"/>
    <n v="174897"/>
    <n v="32493"/>
    <n v="13800"/>
    <n v="9850"/>
    <n v="7381"/>
    <n v="0"/>
    <n v="11271"/>
    <n v="0"/>
    <n v="1636"/>
    <n v="5209165"/>
    <n v="0.88205707888348373"/>
    <n v="-696535.57732976973"/>
    <n v="6.3510160881608213E-2"/>
    <n v="0.14473161357136341"/>
    <n v="0.15841879993577079"/>
    <n v="-2.8375788123997436E-2"/>
  </r>
  <r>
    <x v="160"/>
    <n v="38225481"/>
    <n v="4461529"/>
    <n v="4.2513099127087096E-2"/>
    <n v="37140797"/>
    <x v="160"/>
    <n v="6407621.7256236402"/>
    <n v="5064708.4725375203"/>
    <n v="1342913.2530861199"/>
    <n v="3146636"/>
    <n v="4123039"/>
    <n v="19800"/>
    <n v="28567"/>
    <n v="47481"/>
    <n v="28987"/>
    <n v="1700"/>
    <n v="6055"/>
    <n v="120026"/>
    <n v="132557"/>
    <n v="948224"/>
    <n v="415988"/>
    <n v="139153"/>
    <n v="141262"/>
    <n v="23874"/>
    <n v="21700"/>
    <n v="14635"/>
    <n v="2811"/>
    <n v="0"/>
    <n v="4259"/>
    <n v="0"/>
    <n v="0"/>
    <n v="4905225"/>
    <n v="0.7655297409933457"/>
    <n v="-1502396.7256236402"/>
    <n v="9.9449314349407958E-2"/>
    <n v="0.11671609835334708"/>
    <n v="0.13207107537299212"/>
    <n v="-2.837594116866704E-2"/>
  </r>
  <r>
    <x v="161"/>
    <n v="44572329"/>
    <n v="3866377.3793103448"/>
    <n v="3.8726241967819514E-2"/>
    <n v="35683971"/>
    <x v="161"/>
    <n v="5835819.3199239196"/>
    <n v="4360940.8577481396"/>
    <n v="1474878.46217578"/>
    <n v="2555955"/>
    <n v="2993082"/>
    <n v="25116.379310344801"/>
    <n v="24347"/>
    <n v="47507"/>
    <n v="18478"/>
    <n v="12578"/>
    <n v="2267"/>
    <n v="112328"/>
    <n v="140034"/>
    <n v="947866"/>
    <n v="412479"/>
    <n v="131048"/>
    <n v="215146"/>
    <n v="20426"/>
    <n v="12955"/>
    <n v="13553"/>
    <n v="214"/>
    <n v="0"/>
    <n v="4069"/>
    <n v="0"/>
    <n v="1076"/>
    <n v="3824147"/>
    <n v="0.65528879328804424"/>
    <n v="-2011672.3199239196"/>
    <n v="-1.0922466993606661E-2"/>
    <n v="8.6743893937208105E-2"/>
    <n v="0.10716708070410662"/>
    <n v="-0.19941425990999928"/>
  </r>
  <r>
    <x v="162"/>
    <n v="48087656"/>
    <n v="2794859.3793103448"/>
    <n v="3.3484946395090399E-2"/>
    <n v="38806927"/>
    <x v="162"/>
    <n v="5045229.5474619195"/>
    <n v="3587371.5437153699"/>
    <n v="1457858.0037465501"/>
    <n v="1667347"/>
    <n v="2651227"/>
    <n v="28341.379310344801"/>
    <n v="30709"/>
    <n v="42888"/>
    <n v="11629"/>
    <n v="9320"/>
    <n v="3889"/>
    <n v="114759"/>
    <n v="97304"/>
    <n v="766146"/>
    <n v="566709"/>
    <n v="144596"/>
    <n v="221811"/>
    <n v="10631"/>
    <n v="20101"/>
    <n v="10831"/>
    <n v="2802"/>
    <n v="0"/>
    <n v="6123"/>
    <n v="0"/>
    <n v="2627"/>
    <n v="3614931"/>
    <n v="0.71650476276516428"/>
    <n v="-1430298.5474619195"/>
    <n v="0.29342142461994447"/>
    <n v="5.8120100079536934E-2"/>
    <n v="9.3151694283858139E-2"/>
    <n v="-0.19299607782920425"/>
  </r>
  <r>
    <x v="163"/>
    <n v="63504580"/>
    <n v="2466126.1034482755"/>
    <n v="2.4122060335077859E-2"/>
    <n v="50061401"/>
    <x v="163"/>
    <n v="3633800.0556295104"/>
    <n v="2412639.4745812402"/>
    <n v="1221160.58104827"/>
    <n v="1488514"/>
    <n v="2172069"/>
    <n v="33468.103448275797"/>
    <n v="41533"/>
    <n v="14384"/>
    <n v="29771"/>
    <n v="6930"/>
    <n v="2610"/>
    <n v="78828"/>
    <n v="43950"/>
    <n v="672212"/>
    <n v="427855"/>
    <n v="147847"/>
    <n v="215157"/>
    <n v="11663"/>
    <n v="16395"/>
    <n v="12280"/>
    <n v="3162"/>
    <n v="0"/>
    <n v="-34"/>
    <n v="0"/>
    <n v="3272"/>
    <n v="2955740"/>
    <n v="0.81340193592130783"/>
    <n v="-678060.05562951043"/>
    <n v="0.19853562876088082"/>
    <n v="3.8833830622110647E-2"/>
    <n v="5.9042294881040187E-2"/>
    <n v="-0.21168833806947462"/>
  </r>
  <r>
    <x v="164"/>
    <n v="45983368"/>
    <n v="2738998.7586206896"/>
    <n v="2.1208496756861019E-2"/>
    <n v="53829581"/>
    <x v="164"/>
    <n v="3194761.9660381302"/>
    <n v="2089143.48260971"/>
    <n v="1105618.48342842"/>
    <n v="1664679"/>
    <n v="2966244"/>
    <n v="25457.758620689601"/>
    <n v="39097"/>
    <n v="15670"/>
    <n v="-880"/>
    <n v="5332"/>
    <n v="939"/>
    <n v="91206"/>
    <n v="55568"/>
    <n v="746589"/>
    <n v="506926"/>
    <n v="161202"/>
    <n v="228812"/>
    <n v="18560"/>
    <n v="16003"/>
    <n v="10303"/>
    <n v="2578"/>
    <n v="0"/>
    <n v="3300"/>
    <n v="0"/>
    <n v="3617"/>
    <n v="3822204"/>
    <n v="1.196397115225448"/>
    <n v="627442.03396186978"/>
    <n v="0.39547489314116846"/>
    <n v="5.9564987902162574E-2"/>
    <n v="7.1005642789602988E-2"/>
    <n v="0.17063154225675681"/>
  </r>
  <r>
    <x v="165"/>
    <n v="24591091"/>
    <n v="3924745.068965517"/>
    <n v="2.3661578826843464E-2"/>
    <n v="31869082"/>
    <x v="165"/>
    <n v="3564311.2937797699"/>
    <n v="2337321.3399915602"/>
    <n v="1226989.9537882099"/>
    <n v="2846654"/>
    <n v="4649825"/>
    <n v="25462.068965517199"/>
    <n v="37739"/>
    <n v="27617"/>
    <n v="23981"/>
    <n v="9575"/>
    <n v="1678"/>
    <n v="85369"/>
    <n v="112677"/>
    <n v="742785"/>
    <n v="633681"/>
    <n v="138760"/>
    <n v="215869"/>
    <n v="37149"/>
    <n v="20071"/>
    <n v="11374"/>
    <n v="5767"/>
    <n v="0"/>
    <n v="8348"/>
    <n v="0"/>
    <n v="1550"/>
    <n v="5711186"/>
    <n v="1.6023252542410737"/>
    <n v="2146874.7062202301"/>
    <n v="0.45517375005081595"/>
    <n v="0.1596002824342164"/>
    <n v="0.17920773494511075"/>
    <n v="0.29596047609274434"/>
  </r>
  <r>
    <x v="166"/>
    <n v="30070957"/>
    <n v="4516915.2413793104"/>
    <n v="3.3998593228917177E-2"/>
    <n v="36969775"/>
    <x v="166"/>
    <n v="5123707.1868958799"/>
    <n v="3905344.7047627801"/>
    <n v="1218362.4821331"/>
    <n v="3368273"/>
    <n v="5160916"/>
    <n v="37267.241379310297"/>
    <n v="18791"/>
    <n v="45603"/>
    <n v="35886"/>
    <n v="6054"/>
    <n v="3238"/>
    <n v="78737"/>
    <n v="89042"/>
    <n v="770093"/>
    <n v="748300"/>
    <n v="153147"/>
    <n v="179203"/>
    <n v="41755"/>
    <n v="14440"/>
    <n v="15986"/>
    <n v="6266"/>
    <n v="0"/>
    <n v="8389"/>
    <n v="0"/>
    <n v="2884"/>
    <n v="6267355"/>
    <n v="1.2232070981786494"/>
    <n v="1143647.8131041201"/>
    <n v="0.38752991036558959"/>
    <n v="0.15020856307896388"/>
    <n v="0.16952645776177971"/>
    <n v="0.22941797296308186"/>
  </r>
  <r>
    <x v="167"/>
    <n v="33374116"/>
    <n v="4064742.8620689656"/>
    <n v="3.9069970538775284E-2"/>
    <n v="42471497"/>
    <x v="167"/>
    <n v="5888458.4875598401"/>
    <n v="4603401.4314247901"/>
    <n v="1285057.05613505"/>
    <n v="3013055"/>
    <n v="4780003"/>
    <n v="40300.8620689655"/>
    <n v="32856"/>
    <n v="43913"/>
    <n v="23592"/>
    <n v="7553"/>
    <n v="4187"/>
    <n v="114170"/>
    <n v="135945"/>
    <n v="667867"/>
    <n v="805827"/>
    <n v="125568"/>
    <n v="161698"/>
    <n v="34974"/>
    <n v="17717"/>
    <n v="17342"/>
    <n v="6926"/>
    <n v="0"/>
    <n v="7283"/>
    <n v="0"/>
    <n v="2368"/>
    <n v="5978402"/>
    <n v="1.0152745430115842"/>
    <n v="89943.512440159917"/>
    <n v="0.47079463643045227"/>
    <n v="0.12179327422691781"/>
    <n v="0.14076268609039139"/>
    <n v="0.27258792412658961"/>
  </r>
  <r>
    <x v="168"/>
    <n v="36317478"/>
    <n v="3468062.9310344825"/>
    <n v="3.5100122306859348E-2"/>
    <n v="46880396"/>
    <x v="168"/>
    <n v="5290333.0760039603"/>
    <n v="4182423.4525930402"/>
    <n v="1107909.6234109199"/>
    <n v="2710805"/>
    <n v="3694508"/>
    <n v="40587.931034482703"/>
    <n v="30523"/>
    <n v="31678"/>
    <n v="39366"/>
    <n v="8489"/>
    <n v="4372"/>
    <n v="61076"/>
    <n v="104558"/>
    <n v="455015"/>
    <n v="564730"/>
    <n v="126044"/>
    <n v="163685"/>
    <n v="24483"/>
    <n v="12267"/>
    <n v="9885"/>
    <n v="5509"/>
    <n v="0"/>
    <n v="8214"/>
    <n v="0"/>
    <n v="5684"/>
    <n v="4633416"/>
    <n v="0.87582689661193114"/>
    <n v="-656917.07600396033"/>
    <n v="0.33602419913928916"/>
    <n v="9.5492945050713124E-2"/>
    <n v="9.8834830661413353E-2"/>
    <n v="0.29084943618607006"/>
  </r>
  <r>
    <x v="169"/>
    <n v="38092110"/>
    <n v="3303719.7241379311"/>
    <n v="2.988335287319038E-2"/>
    <n v="49964426"/>
    <x v="169"/>
    <n v="4504623.475328858"/>
    <n v="3698431.7051661098"/>
    <n v="806191.77016274806"/>
    <n v="2155416"/>
    <n v="2520466"/>
    <n v="37026.724137931"/>
    <n v="27134"/>
    <n v="33900"/>
    <n v="6920"/>
    <n v="3527"/>
    <n v="610"/>
    <n v="110621"/>
    <n v="82905"/>
    <n v="822254"/>
    <n v="507387"/>
    <n v="98107"/>
    <n v="155281"/>
    <n v="33075"/>
    <n v="7714"/>
    <n v="9793"/>
    <n v="7124"/>
    <n v="0"/>
    <n v="10528"/>
    <n v="0"/>
    <n v="5426"/>
    <n v="3331495"/>
    <n v="0.73957235676768429"/>
    <n v="-1173128.475328858"/>
    <n v="8.40727367371219E-3"/>
    <n v="8.6729764356396413E-2"/>
    <n v="6.6677339593574039E-2"/>
    <n v="0.3116738873220728"/>
  </r>
  <r>
    <x v="170"/>
    <n v="50963433"/>
    <n v="2900614.7931034481"/>
    <n v="2.8479181498561719E-2"/>
    <n v="63050656"/>
    <x v="170"/>
    <n v="4290912.3452426102"/>
    <n v="3029109.90144003"/>
    <n v="1261802.44380258"/>
    <n v="2319435"/>
    <n v="1707778"/>
    <n v="39113.793103448297"/>
    <n v="37861"/>
    <n v="21973"/>
    <n v="195"/>
    <n v="5556"/>
    <n v="4940"/>
    <n v="84521"/>
    <n v="125997"/>
    <n v="311488"/>
    <n v="378080"/>
    <n v="82471"/>
    <n v="153733"/>
    <n v="25122"/>
    <n v="14491"/>
    <n v="10935"/>
    <n v="5329"/>
    <n v="0"/>
    <n v="5725"/>
    <n v="0"/>
    <n v="603"/>
    <n v="2434732"/>
    <n v="0.56741592558967524"/>
    <n v="-1856180.3452426102"/>
    <n v="-0.16061518896309124"/>
    <n v="5.6915608355964722E-2"/>
    <n v="3.8615490376499813E-2"/>
    <n v="0.237174426612901"/>
  </r>
  <r>
    <x v="171"/>
    <n v="48992029"/>
    <n v="3347668.5172413792"/>
    <n v="2.4951771970098357E-2"/>
    <n v="44356663"/>
    <x v="171"/>
    <n v="3761691.2293913742"/>
    <n v="3198382.5668882602"/>
    <n v="563308.66250311397"/>
    <n v="2913089"/>
    <n v="2286106"/>
    <n v="49765.517241379297"/>
    <n v="30081"/>
    <n v="3999"/>
    <n v="-4507"/>
    <n v="5169"/>
    <n v="-62"/>
    <n v="91234"/>
    <n v="66122"/>
    <n v="100157"/>
    <n v="434484"/>
    <n v="134523"/>
    <n v="171572"/>
    <n v="40627"/>
    <n v="16085"/>
    <n v="9105"/>
    <n v="6203"/>
    <n v="0"/>
    <n v="5780"/>
    <n v="0"/>
    <n v="2584"/>
    <n v="3014448"/>
    <n v="0.80135444835213787"/>
    <n v="-747243.22939137416"/>
    <n v="-9.9538086141207072E-2"/>
    <n v="6.8330881279511396E-2"/>
    <n v="6.795930523448078E-2"/>
    <n v="-9.46146974235339E-2"/>
  </r>
  <r>
    <x v="172"/>
    <n v="31644110"/>
    <n v="5288599.1034482755"/>
    <n v="2.8754856708795826E-2"/>
    <n v="26759670"/>
    <x v="172"/>
    <n v="4336185.2668039147"/>
    <n v="3963613.6803517002"/>
    <n v="372571.58645221498"/>
    <n v="3567197"/>
    <n v="3449372"/>
    <n v="48518.103448275797"/>
    <n v="32572"/>
    <n v="41503"/>
    <n v="60642"/>
    <n v="11366"/>
    <n v="0"/>
    <n v="144879"/>
    <n v="81822"/>
    <n v="1270698"/>
    <n v="607813"/>
    <n v="117470"/>
    <n v="170679"/>
    <n v="71619"/>
    <n v="25030"/>
    <n v="15349"/>
    <n v="4734"/>
    <n v="0"/>
    <n v="5983"/>
    <n v="0"/>
    <n v="1464"/>
    <n v="4440111"/>
    <n v="1.0239670878437088"/>
    <n v="103925.73319608532"/>
    <n v="-0.16043721349478801"/>
    <n v="0.16712744025501983"/>
    <n v="0.16592547665946553"/>
    <n v="-0.154355423489553"/>
  </r>
  <r>
    <x v="173"/>
    <n v="32757630"/>
    <n v="4406506.931034483"/>
    <n v="4.5694196312613712E-2"/>
    <n v="28828276"/>
    <x v="173"/>
    <n v="6885052.9044871293"/>
    <n v="4952666.9300810797"/>
    <n v="1932385.9744060501"/>
    <n v="3442550"/>
    <n v="3607578"/>
    <n v="48212.931034482703"/>
    <n v="31603"/>
    <n v="85752"/>
    <n v="41336"/>
    <n v="8426"/>
    <n v="0"/>
    <n v="104213"/>
    <n v="47149"/>
    <n v="504323"/>
    <n v="522266"/>
    <n v="137554"/>
    <n v="166620"/>
    <n v="60128"/>
    <n v="35881"/>
    <n v="15348"/>
    <n v="14026"/>
    <n v="0"/>
    <n v="6322"/>
    <n v="0"/>
    <n v="5038"/>
    <n v="4477819"/>
    <n v="0.65036813255010928"/>
    <n v="-2407233.9044871293"/>
    <n v="1.6183355678683897E-2"/>
    <n v="0.13451849022760448"/>
    <n v="0.15532732515811906"/>
    <n v="-0.11995232866358163"/>
  </r>
  <r>
    <x v="174"/>
    <n v="36673425"/>
    <n v="4415501.3793103453"/>
    <n v="3.8003525494175572E-2"/>
    <n v="28911259"/>
    <x v="174"/>
    <n v="5729014.832033854"/>
    <n v="4789302.9167269897"/>
    <n v="939711.91530686396"/>
    <n v="3181484"/>
    <n v="3156183"/>
    <n v="41541.379310344797"/>
    <n v="27167"/>
    <n v="19984"/>
    <n v="47227"/>
    <n v="5166"/>
    <n v="1614"/>
    <n v="119359"/>
    <n v="62691"/>
    <n v="869828"/>
    <n v="486332"/>
    <n v="125724"/>
    <n v="165559"/>
    <n v="44086"/>
    <n v="26707"/>
    <n v="8329"/>
    <n v="18093"/>
    <n v="0"/>
    <n v="15844"/>
    <n v="0"/>
    <n v="5384"/>
    <n v="4012801"/>
    <n v="0.70043473749838736"/>
    <n v="-1716213.832033854"/>
    <n v="-9.1201506854300396E-2"/>
    <n v="0.12040057287559984"/>
    <n v="0.13879717240954467"/>
    <n v="-0.211656424236351"/>
  </r>
  <r>
    <x v="175"/>
    <n v="40294476"/>
    <n v="3543329.4137931033"/>
    <n v="3.8140134056121183E-2"/>
    <n v="32990386"/>
    <x v="175"/>
    <n v="5747826.9104707399"/>
    <n v="4375020.1099856403"/>
    <n v="1372806.8004850999"/>
    <n v="2646749"/>
    <n v="2694753"/>
    <n v="43047.413793103398"/>
    <n v="29216"/>
    <n v="27161"/>
    <n v="16753"/>
    <n v="7060"/>
    <n v="1713"/>
    <n v="96473"/>
    <n v="63932"/>
    <n v="505360"/>
    <n v="505290"/>
    <n v="154811"/>
    <n v="132920"/>
    <n v="46738"/>
    <n v="47371"/>
    <n v="15930"/>
    <n v="14247"/>
    <n v="0"/>
    <n v="19034"/>
    <n v="0"/>
    <n v="861"/>
    <n v="3526090"/>
    <n v="0.61346488941352229"/>
    <n v="-2221736.9104707399"/>
    <n v="-4.8653150130483214E-3"/>
    <n v="8.7935860334630064E-2"/>
    <n v="0.10688235051266147"/>
    <n v="-0.18126777476892864"/>
  </r>
  <r>
    <x v="176"/>
    <n v="45550137"/>
    <n v="3003218.9655172415"/>
    <n v="3.0527899795663723E-2"/>
    <n v="37473775"/>
    <x v="176"/>
    <n v="4601271.3508241205"/>
    <n v="3654372.9324046001"/>
    <n v="946898.41841952002"/>
    <n v="2155899"/>
    <n v="2205478"/>
    <n v="39018.965517241399"/>
    <n v="28000"/>
    <n v="39894"/>
    <n v="16158"/>
    <n v="8661"/>
    <n v="1136"/>
    <n v="57827"/>
    <n v="81003"/>
    <n v="506732"/>
    <n v="416030"/>
    <n v="154811"/>
    <n v="171947"/>
    <n v="29295"/>
    <n v="42864"/>
    <n v="11081"/>
    <n v="12244"/>
    <n v="0"/>
    <n v="7750"/>
    <n v="0"/>
    <n v="689"/>
    <n v="2983299"/>
    <n v="0.64836406561105553"/>
    <n v="-1617972.3508241205"/>
    <n v="-6.6328715108558978E-3"/>
    <n v="6.5932160983780172E-2"/>
    <n v="7.961031414635969E-2"/>
    <n v="-0.17730708471853773"/>
  </r>
  <r>
    <x v="177"/>
    <n v="52421787"/>
    <n v="2541734.4137931033"/>
    <n v="2.5673774320798655E-2"/>
    <n v="42913204"/>
    <x v="177"/>
    <n v="3869238.1141088381"/>
    <n v="2975810.10838571"/>
    <n v="893428.00572312798"/>
    <n v="1738073"/>
    <n v="1773131"/>
    <n v="45922.413793103398"/>
    <n v="37159"/>
    <n v="20153"/>
    <n v="7338"/>
    <n v="5603"/>
    <n v="0"/>
    <n v="54501"/>
    <n v="67734"/>
    <n v="502302"/>
    <n v="419596"/>
    <n v="134913"/>
    <n v="154349"/>
    <n v="29728"/>
    <n v="36632"/>
    <n v="10539"/>
    <n v="11823"/>
    <n v="0"/>
    <n v="4627"/>
    <n v="0"/>
    <n v="1463"/>
    <n v="2513852"/>
    <n v="0.64970206688326027"/>
    <n v="-1355386.1141088381"/>
    <n v="-1.0969837620246725E-2"/>
    <n v="4.8486222222701096E-2"/>
    <n v="5.8579918665592999E-2"/>
    <n v="-0.18138609048180676"/>
  </r>
  <r>
    <x v="178"/>
    <n v="53869935"/>
    <n v="2780664.7586206896"/>
    <n v="2.1725192219119671E-2"/>
    <n v="44748131"/>
    <x v="178"/>
    <n v="3273634.5030915751"/>
    <n v="2391835.1135060801"/>
    <n v="881799.389585495"/>
    <n v="2175842"/>
    <n v="2401141"/>
    <n v="46807.758620689601"/>
    <n v="36721"/>
    <n v="7774"/>
    <n v="0"/>
    <n v="4942"/>
    <n v="3416"/>
    <n v="107553"/>
    <n v="51033"/>
    <n v="253751"/>
    <n v="338340"/>
    <n v="130575"/>
    <n v="156455"/>
    <n v="43414"/>
    <n v="51224"/>
    <n v="10006"/>
    <n v="16905"/>
    <n v="0"/>
    <n v="2570"/>
    <n v="0"/>
    <n v="5469"/>
    <n v="3063274"/>
    <n v="0.93574099280389622"/>
    <n v="-210360.50309157511"/>
    <n v="0.10163369766281893"/>
    <n v="5.1618119803201724E-2"/>
    <n v="6.845590936524254E-2"/>
    <n v="-0.16933014676925084"/>
  </r>
  <r>
    <x v="179"/>
    <n v="31090588"/>
    <n v="4938052.4137931038"/>
    <n v="2.3728765016799019E-2"/>
    <n v="26885675"/>
    <x v="179"/>
    <n v="3577224.5959536387"/>
    <n v="3020309.9038648298"/>
    <n v="556914.69208880898"/>
    <n v="3654183"/>
    <n v="3662040"/>
    <n v="47272.413793103398"/>
    <n v="33444"/>
    <n v="48765"/>
    <n v="20991"/>
    <n v="11584"/>
    <n v="963"/>
    <n v="80803"/>
    <n v="80828"/>
    <n v="907574"/>
    <n v="498148"/>
    <n v="118765"/>
    <n v="146434"/>
    <n v="58578"/>
    <n v="52303"/>
    <n v="10528"/>
    <n v="17845"/>
    <n v="0"/>
    <n v="3624"/>
    <n v="0"/>
    <n v="4004"/>
    <n v="4520624"/>
    <n v="1.2637238391778596"/>
    <n v="943399.40404636133"/>
    <n v="-8.4533005892592605E-2"/>
    <n v="0.15882788751994989"/>
    <n v="0.16814247736015556"/>
    <n v="-0.13524713652890707"/>
  </r>
  <r>
    <x v="180"/>
    <n v="35520249"/>
    <n v="4679845.4137931038"/>
    <n v="4.2646701456952443E-2"/>
    <n v="29153329"/>
    <x v="180"/>
    <n v="6427394.1174728405"/>
    <n v="4992392.4947524704"/>
    <n v="1435001.6227203701"/>
    <n v="3679795"/>
    <n v="4003008"/>
    <n v="42322.413793103398"/>
    <n v="33147"/>
    <n v="86850"/>
    <n v="7770"/>
    <n v="9893"/>
    <n v="4521"/>
    <n v="74174"/>
    <n v="83644"/>
    <n v="622788"/>
    <n v="771777"/>
    <n v="102657"/>
    <n v="155445"/>
    <n v="47524"/>
    <n v="49773"/>
    <n v="13842"/>
    <n v="13299"/>
    <n v="0"/>
    <n v="4538"/>
    <n v="0"/>
    <n v="1937"/>
    <n v="5128859"/>
    <n v="0.79796864892059771"/>
    <n v="-1298535.1174728405"/>
    <n v="9.5946243199294567E-2"/>
    <n v="0.13175148107191206"/>
    <n v="0.17592704421508776"/>
    <n v="-0.17924761732385375"/>
  </r>
  <r>
    <x v="181"/>
    <n v="37199061"/>
    <n v="4524076.3103448283"/>
    <n v="4.0246683754001533E-2"/>
    <n v="31749859"/>
    <x v="181"/>
    <n v="6098844.9034075299"/>
    <n v="5047249.3107280601"/>
    <n v="1051595.5926794701"/>
    <n v="3685044"/>
    <n v="3854991"/>
    <n v="36679.310344827602"/>
    <n v="33555"/>
    <n v="54428"/>
    <n v="37725"/>
    <n v="10227"/>
    <n v="3591"/>
    <n v="69019"/>
    <n v="72458"/>
    <n v="520885"/>
    <n v="625555"/>
    <n v="97656"/>
    <n v="147936"/>
    <n v="41854"/>
    <n v="54054"/>
    <n v="8284"/>
    <n v="17511"/>
    <n v="0"/>
    <n v="6232"/>
    <n v="0"/>
    <n v="1455"/>
    <n v="4855063"/>
    <n v="0.79606270972514692"/>
    <n v="-1243781.9034075299"/>
    <n v="7.3161164169210036E-2"/>
    <n v="0.12161802445348899"/>
    <n v="0.15291604917048607"/>
    <n v="-0.14648762236229562"/>
  </r>
  <r>
    <x v="182"/>
    <n v="43524406"/>
    <n v="3572178.5517241377"/>
    <n v="3.8943824808447103E-2"/>
    <n v="37296594"/>
    <x v="182"/>
    <n v="5892162.2488056887"/>
    <n v="4998453.4809855698"/>
    <n v="893708.76782011904"/>
    <n v="2698039"/>
    <n v="2923874"/>
    <n v="35471.551724137898"/>
    <n v="33721"/>
    <n v="41667"/>
    <n v="11767"/>
    <n v="9394"/>
    <n v="4184"/>
    <n v="92502"/>
    <n v="86120"/>
    <n v="552929"/>
    <n v="529374"/>
    <n v="93404"/>
    <n v="154761"/>
    <n v="39271"/>
    <n v="37080"/>
    <n v="9501"/>
    <n v="17915"/>
    <n v="0"/>
    <n v="9869"/>
    <n v="0"/>
    <n v="6287"/>
    <n v="3814952"/>
    <n v="0.64746214359139065"/>
    <n v="-2077210.2488056887"/>
    <n v="6.7962293810505559E-2"/>
    <n v="8.2072999496515531E-2"/>
    <n v="0.10228687370219383"/>
    <n v="-0.14308781146835181"/>
  </r>
  <r>
    <x v="183"/>
    <n v="42164351"/>
    <n v="2896851.1379310344"/>
    <n v="3.0691174719465582E-2"/>
    <n v="41201599"/>
    <x v="183"/>
    <n v="4659102.1493776534"/>
    <n v="3730074.2704468002"/>
    <n v="929027.87893085298"/>
    <n v="2179555"/>
    <n v="2705057"/>
    <n v="32924.1379310345"/>
    <n v="43805"/>
    <n v="12896"/>
    <n v="17931"/>
    <n v="-1764"/>
    <n v="1013"/>
    <n v="107559"/>
    <n v="84930"/>
    <n v="416715"/>
    <n v="337385"/>
    <n v="115888"/>
    <n v="118065"/>
    <n v="27713"/>
    <n v="42831"/>
    <n v="5365"/>
    <n v="10140"/>
    <n v="0"/>
    <n v="10620"/>
    <n v="0"/>
    <n v="1894"/>
    <n v="3373671"/>
    <n v="0.72410324818713045"/>
    <n v="-1285431.1493776534"/>
    <n v="0.16459936647262996"/>
    <n v="6.8703799992819392E-2"/>
    <n v="8.1882040548960242E-2"/>
    <n v="-2.2833317178295953E-2"/>
  </r>
  <r>
    <x v="184"/>
    <n v="52117301"/>
    <n v="2366371.1379310344"/>
    <n v="2.4851997847022678E-2"/>
    <n v="51574094"/>
    <x v="184"/>
    <n v="3778369.2535806466"/>
    <n v="3022320.2831639699"/>
    <n v="756048.97041667695"/>
    <n v="1713969"/>
    <n v="2175054"/>
    <n v="35299.1379310345"/>
    <n v="41461"/>
    <n v="11072"/>
    <n v="4234"/>
    <n v="8150"/>
    <n v="345"/>
    <n v="64081"/>
    <n v="73695"/>
    <n v="404189"/>
    <n v="476598"/>
    <n v="108332"/>
    <n v="108307"/>
    <n v="16902"/>
    <n v="37222"/>
    <n v="4377"/>
    <n v="7925"/>
    <n v="0"/>
    <n v="56771"/>
    <n v="0"/>
    <n v="2583"/>
    <n v="2984195"/>
    <n v="0.7898103122589113"/>
    <n v="-794174.25358064659"/>
    <n v="0.26108493810025979"/>
    <n v="4.5404713838328552E-2"/>
    <n v="5.786228644171626E-2"/>
    <n v="-1.042277688171156E-2"/>
  </r>
  <r>
    <x v="185"/>
    <n v="52957760"/>
    <n v="2778413.5172413792"/>
    <n v="2.0230182147268461E-2"/>
    <n v="39756355"/>
    <x v="185"/>
    <n v="3089334.7146261511"/>
    <n v="2375895.6201392901"/>
    <n v="713439.09448686102"/>
    <n v="2262588"/>
    <n v="2221020"/>
    <n v="39215.517241379297"/>
    <n v="34456"/>
    <n v="24461"/>
    <n v="-5691"/>
    <n v="3632"/>
    <n v="2342"/>
    <n v="74909"/>
    <n v="40115"/>
    <n v="230319"/>
    <n v="421919"/>
    <n v="105857"/>
    <n v="88467"/>
    <n v="29115"/>
    <n v="39269"/>
    <n v="8317"/>
    <n v="5114"/>
    <n v="0"/>
    <n v="13798"/>
    <n v="0"/>
    <n v="3488"/>
    <n v="2864297"/>
    <n v="0.92715657725246403"/>
    <n v="-225037.71462615114"/>
    <n v="3.0910979314516362E-2"/>
    <n v="5.2464709935642659E-2"/>
    <n v="7.2046267823093937E-2"/>
    <n v="-0.24928178608762908"/>
  </r>
  <r>
    <x v="186"/>
    <n v="31819363"/>
    <n v="4749834.4482758623"/>
    <n v="2.3772102132585415E-2"/>
    <n v="28541400"/>
    <x v="186"/>
    <n v="3617125.0987107223"/>
    <n v="3117787.2320695701"/>
    <n v="499337.86664115201"/>
    <n v="3483892"/>
    <n v="3592240"/>
    <n v="35553.448275862102"/>
    <n v="37084"/>
    <n v="63151"/>
    <n v="13165"/>
    <n v="5117"/>
    <n v="3678"/>
    <n v="82044"/>
    <n v="43263"/>
    <n v="867493"/>
    <n v="516899"/>
    <n v="163273"/>
    <n v="122255"/>
    <n v="43008"/>
    <n v="22297"/>
    <n v="6303"/>
    <n v="3480"/>
    <n v="0"/>
    <n v="17060"/>
    <n v="0"/>
    <n v="3660"/>
    <n v="4375081"/>
    <n v="1.2095464991131883"/>
    <n v="757955.90128927771"/>
    <n v="-7.8898212633893738E-2"/>
    <n v="0.14927496971815124"/>
    <n v="0.15328894167770327"/>
    <n v="-0.1030178699680443"/>
  </r>
  <r>
    <x v="187"/>
    <n v="36389509"/>
    <n v="4566477.7931034481"/>
    <n v="4.0912827453969028E-2"/>
    <n v="33738698"/>
    <x v="187"/>
    <n v="6201328.78786078"/>
    <n v="4757774.7285575103"/>
    <n v="1443554.05930327"/>
    <n v="3544388"/>
    <n v="3881350"/>
    <n v="38138.793103448297"/>
    <n v="42546"/>
    <n v="75946"/>
    <n v="27712"/>
    <n v="5502"/>
    <n v="2534"/>
    <n v="59539"/>
    <n v="61051"/>
    <n v="634734"/>
    <n v="691715"/>
    <n v="168311"/>
    <n v="150430"/>
    <n v="34428"/>
    <n v="17456"/>
    <n v="5491"/>
    <n v="2549"/>
    <n v="0"/>
    <n v="8033"/>
    <n v="0"/>
    <n v="6201"/>
    <n v="4891577"/>
    <n v="0.78879497722735747"/>
    <n v="-1309751.78786078"/>
    <n v="7.1192551814778238E-2"/>
    <n v="0.12548885430422951"/>
    <n v="0.14498416625324428"/>
    <n v="-7.2845473127983174E-2"/>
  </r>
  <r>
    <x v="188"/>
    <n v="38311714"/>
    <n v="4237273.6896551717"/>
    <n v="3.9299134985300424E-2"/>
    <n v="35555231"/>
    <x v="188"/>
    <n v="5954114.5623109192"/>
    <n v="4827468.8657110296"/>
    <n v="1126645.69659989"/>
    <n v="3310758"/>
    <n v="3404528"/>
    <n v="33820.689655172398"/>
    <n v="36707"/>
    <n v="39814"/>
    <n v="48817"/>
    <n v="5684"/>
    <n v="4184"/>
    <n v="93614"/>
    <n v="89941"/>
    <n v="580420"/>
    <n v="628785"/>
    <n v="132668"/>
    <n v="147851"/>
    <n v="37975"/>
    <n v="25750"/>
    <n v="2520"/>
    <n v="5197"/>
    <n v="0"/>
    <n v="8617"/>
    <n v="0"/>
    <n v="1205"/>
    <n v="4401582"/>
    <n v="0.73925047191091531"/>
    <n v="-1552532.5623109192"/>
    <n v="3.8776893441169191E-2"/>
    <n v="0.11059995096160855"/>
    <n v="0.12379562377192824"/>
    <n v="-7.1948830062784408E-2"/>
  </r>
  <r>
    <x v="189"/>
    <n v="39604287"/>
    <n v="3522206.5862068967"/>
    <n v="3.6773129906496477E-2"/>
    <n v="39454207"/>
    <x v="189"/>
    <n v="5523727.9248078503"/>
    <n v="4516542.5124049"/>
    <n v="1007185.41240295"/>
    <n v="2584721"/>
    <n v="3166533"/>
    <n v="34077.5862068965"/>
    <n v="41275"/>
    <n v="28434"/>
    <n v="14603"/>
    <n v="4376"/>
    <n v="4141"/>
    <n v="129021"/>
    <n v="38529"/>
    <n v="532963"/>
    <n v="318377"/>
    <n v="167845"/>
    <n v="87484"/>
    <n v="35189"/>
    <n v="14199"/>
    <n v="5580"/>
    <n v="6363"/>
    <n v="0"/>
    <n v="6495"/>
    <n v="0"/>
    <n v="1248"/>
    <n v="3699247"/>
    <n v="0.66970116022299975"/>
    <n v="-1824480.9248078503"/>
    <n v="5.0264063012771754E-2"/>
    <n v="8.8934982877154095E-2"/>
    <n v="9.3760520899583658E-2"/>
    <n v="-3.7894887490336204E-3"/>
  </r>
  <r>
    <x v="190"/>
    <n v="39558146"/>
    <n v="2798016.4482758623"/>
    <n v="3.0567428454838425E-2"/>
    <n v="35709440"/>
    <x v="190"/>
    <n v="4596175.445665908"/>
    <n v="3605036.3985091401"/>
    <n v="991139.04715676804"/>
    <n v="1939583"/>
    <n v="2597860"/>
    <n v="35028.448275862102"/>
    <n v="41411"/>
    <n v="26271"/>
    <n v="28875"/>
    <n v="5444"/>
    <n v="5451"/>
    <n v="85348"/>
    <n v="161497"/>
    <n v="527863"/>
    <n v="363067"/>
    <n v="153400"/>
    <n v="95870"/>
    <n v="20782"/>
    <n v="14517"/>
    <n v="4297"/>
    <n v="6109"/>
    <n v="0"/>
    <n v="5021"/>
    <n v="0"/>
    <n v="2326"/>
    <n v="3322004"/>
    <n v="0.72277571630399284"/>
    <n v="-1274171.445665908"/>
    <n v="0.18727107628227802"/>
    <n v="7.0731738749229098E-2"/>
    <n v="9.3028734138647928E-2"/>
    <n v="-9.7292375633579953E-2"/>
  </r>
  <r>
    <x v="191"/>
    <n v="50882667"/>
    <n v="2609361.5862068962"/>
    <n v="2.4282552855663067E-2"/>
    <n v="47590736"/>
    <x v="191"/>
    <n v="3655864.8694691798"/>
    <n v="2711818.4159696698"/>
    <n v="944046.45349950995"/>
    <n v="1839299"/>
    <n v="1964012"/>
    <n v="37977.5862068965"/>
    <n v="40374"/>
    <n v="10430"/>
    <n v="270"/>
    <n v="6547"/>
    <n v="-18"/>
    <n v="71218"/>
    <n v="105814"/>
    <n v="483286"/>
    <n v="233528"/>
    <n v="135225"/>
    <n v="72542"/>
    <n v="12782"/>
    <n v="18682"/>
    <n v="12597"/>
    <n v="9069"/>
    <n v="0"/>
    <n v="7197"/>
    <n v="0"/>
    <n v="0"/>
    <n v="2451470"/>
    <n v="0.67055815450748479"/>
    <n v="-1204394.8694691798"/>
    <n v="-6.0509661459535624E-2"/>
    <n v="5.1281934302046236E-2"/>
    <n v="5.151149585078911E-2"/>
    <n v="-6.4696510503272187E-2"/>
  </r>
  <r>
    <x v="192"/>
    <n v="53364930"/>
    <n v="2637981.4137931033"/>
    <n v="2.2645313852836503E-2"/>
    <n v="39283967"/>
    <x v="192"/>
    <n v="3408776.2226847699"/>
    <n v="2548198.6682652398"/>
    <n v="860577.55441952997"/>
    <n v="1908062"/>
    <n v="20069"/>
    <n v="38972.413793103398"/>
    <n v="1278"/>
    <n v="978"/>
    <n v="0"/>
    <n v="654"/>
    <n v="0"/>
    <n v="51478"/>
    <n v="33609"/>
    <n v="452704"/>
    <n v="38750"/>
    <n v="140269"/>
    <n v="6662"/>
    <n v="31653"/>
    <n v="1861"/>
    <n v="13211"/>
    <n v="794"/>
    <n v="0"/>
    <n v="1636"/>
    <n v="0"/>
    <n v="861"/>
    <n v="105520"/>
    <n v="3.0955390763929905E-2"/>
    <n v="-3303256.2226847699"/>
    <n v="-0.95999971817531693"/>
    <n v="4.9432865625291804E-2"/>
    <n v="2.6860831035725083E-3"/>
    <n v="-0.26386173466357021"/>
  </r>
  <r>
    <x v="193"/>
    <n v="31077373"/>
    <n v="3858302.6551724137"/>
    <n v="2.289369069011717E-2"/>
    <n v="21016462"/>
    <x v="193"/>
    <n v="3445638.9128600401"/>
    <n v="2593151.3675055699"/>
    <n v="852487.54535447003"/>
    <n v="2840112"/>
    <n v="-4439"/>
    <n v="38589.655172413797"/>
    <n v="0"/>
    <n v="41758"/>
    <n v="0"/>
    <n v="3383"/>
    <n v="0"/>
    <n v="79566"/>
    <n v="-9316"/>
    <n v="679280"/>
    <n v="0"/>
    <n v="124738"/>
    <n v="154243"/>
    <n v="35820"/>
    <n v="0"/>
    <n v="15056"/>
    <n v="21040"/>
    <n v="0"/>
    <n v="0"/>
    <n v="0"/>
    <n v="0"/>
    <n v="161528"/>
    <n v="4.6878969063512306E-2"/>
    <n v="-3284110.9128600401"/>
    <n v="-0.9581349587017346"/>
    <n v="0.1241515058294153"/>
    <n v="7.6857846006620906E-3"/>
    <n v="-0.32373749866180779"/>
  </r>
  <r>
    <x v="194"/>
    <n v="32826678"/>
    <n v="4127129.7586206896"/>
    <n v="3.3484234238544491E-2"/>
    <n v="21232389"/>
    <x v="194"/>
    <n v="5036455.9523825301"/>
    <n v="3893865.4667282598"/>
    <n v="1142590.48565427"/>
    <n v="3030753"/>
    <n v="0"/>
    <n v="41557.758620689601"/>
    <n v="0"/>
    <n v="41277"/>
    <n v="0"/>
    <n v="10445"/>
    <n v="0"/>
    <n v="72001"/>
    <n v="284"/>
    <n v="731523"/>
    <n v="0"/>
    <n v="137392"/>
    <n v="70218"/>
    <n v="41913"/>
    <n v="0"/>
    <n v="20268"/>
    <n v="7454"/>
    <n v="0"/>
    <n v="0"/>
    <n v="0"/>
    <n v="0"/>
    <n v="77956"/>
    <n v="1.5478344442409425E-2"/>
    <n v="-4958499.9523825301"/>
    <n v="-0.98111132807560353"/>
    <n v="0.12572486800585456"/>
    <n v="3.6715604635917326E-3"/>
    <n v="-0.35319714654038403"/>
  </r>
  <r>
    <x v="195"/>
    <n v="31130597"/>
    <n v="4171609.8620689656"/>
    <n v="3.5817247095756254E-2"/>
    <n v="19955592"/>
    <x v="195"/>
    <n v="5388037.1156272702"/>
    <n v="4143600.4593508798"/>
    <n v="1244436.65627639"/>
    <n v="3000776"/>
    <n v="0"/>
    <n v="43500.8620689655"/>
    <n v="0"/>
    <n v="50474"/>
    <n v="0"/>
    <n v="7851"/>
    <n v="0"/>
    <n v="87553"/>
    <n v="-2878"/>
    <n v="786889"/>
    <n v="821406"/>
    <n v="104771"/>
    <n v="136915"/>
    <n v="62833"/>
    <n v="83688"/>
    <n v="26962"/>
    <n v="11645"/>
    <n v="0"/>
    <n v="11673"/>
    <n v="0"/>
    <n v="8697"/>
    <n v="1071146"/>
    <n v="0.19880078347888258"/>
    <n v="-4316891.1156272702"/>
    <n v="-0.74322958392164917"/>
    <n v="0.13400352913466343"/>
    <n v="5.3676483263438136E-2"/>
    <n v="-0.35897175373797041"/>
  </r>
  <r>
    <x v="196"/>
    <n v="39024266"/>
    <n v="3727069"/>
    <n v="3.6203267150668253E-2"/>
    <n v="28580201"/>
    <x v="196"/>
    <n v="5447721.4874883704"/>
    <n v="4135978.5753871999"/>
    <n v="1311742.91210117"/>
    <n v="2683648"/>
    <n v="-239835"/>
    <n v="39650"/>
    <n v="0"/>
    <n v="18997"/>
    <n v="0"/>
    <n v="6904"/>
    <n v="0"/>
    <n v="157886"/>
    <n v="8753"/>
    <n v="648054"/>
    <n v="87233"/>
    <n v="111421"/>
    <n v="97345"/>
    <n v="44791"/>
    <n v="0"/>
    <n v="15718"/>
    <n v="10653"/>
    <n v="0"/>
    <n v="0"/>
    <n v="0"/>
    <n v="0"/>
    <n v="-35851"/>
    <n v="-6.5809164588053904E-3"/>
    <n v="-5483572.4874883704"/>
    <n v="-1.0096190867408144"/>
    <n v="9.5506447193651256E-2"/>
    <n v="-1.2543998553404155E-3"/>
    <n v="-0.26763001769206884"/>
  </r>
  <r>
    <x v="197"/>
    <n v="42222744"/>
    <n v="3149721.6551724137"/>
    <n v="3.234532450478305E-2"/>
    <n v="38646290"/>
    <x v="197"/>
    <n v="4864915.8388651898"/>
    <n v="3768983.5749953599"/>
    <n v="1095932.2638698299"/>
    <n v="2251369"/>
    <n v="4729379"/>
    <n v="44689.655172413797"/>
    <n v="83907"/>
    <n v="10825"/>
    <n v="0"/>
    <n v="8554"/>
    <n v="4938"/>
    <n v="102621"/>
    <n v="-929"/>
    <n v="610477"/>
    <n v="148708"/>
    <n v="69555"/>
    <n v="89719"/>
    <n v="31664"/>
    <n v="5039"/>
    <n v="19967"/>
    <n v="9778"/>
    <n v="0"/>
    <n v="1649"/>
    <n v="0"/>
    <n v="0"/>
    <n v="5072188"/>
    <n v="1.042605497813331"/>
    <n v="207272.16113481019"/>
    <n v="0.61036070970606193"/>
    <n v="7.459774890927065E-2"/>
    <n v="0.13124644047332876"/>
    <n v="-8.4704442705097471E-2"/>
  </r>
  <r>
    <x v="198"/>
    <n v="48194941"/>
    <n v="2813694.068965517"/>
    <n v="2.7334822359418115E-2"/>
    <n v="44716609"/>
    <x v="198"/>
    <n v="4112858.3879952449"/>
    <n v="3134969.68775257"/>
    <n v="977888.70024267503"/>
    <n v="1984365"/>
    <n v="4211778"/>
    <n v="43837.068965517203"/>
    <n v="61308"/>
    <n v="7363"/>
    <n v="0"/>
    <n v="4630"/>
    <n v="7997"/>
    <n v="162628"/>
    <n v="-3153"/>
    <n v="508767"/>
    <n v="7881"/>
    <n v="55690"/>
    <n v="89442"/>
    <n v="34679"/>
    <n v="12372"/>
    <n v="11735"/>
    <n v="5327"/>
    <n v="0"/>
    <n v="7154"/>
    <n v="0"/>
    <n v="0"/>
    <n v="4400106"/>
    <n v="1.0698413572524605"/>
    <n v="287247.61200475506"/>
    <n v="0.56381820203279709"/>
    <n v="5.8381523259163591E-2"/>
    <n v="9.839981381414678E-2"/>
    <n v="-7.2172139395294654E-2"/>
  </r>
  <r>
    <x v="199"/>
    <n v="49418322"/>
    <n v="2876821.4482758623"/>
    <n v="2.4418610902527716E-2"/>
    <n v="40711839"/>
    <x v="199"/>
    <n v="3672367.3183367951"/>
    <n v="2855920.6096663498"/>
    <n v="816446.70867044502"/>
    <n v="2341728"/>
    <n v="3287464"/>
    <n v="48778.448275862102"/>
    <n v="42596"/>
    <n v="7001"/>
    <n v="0"/>
    <n v="5776"/>
    <n v="7508"/>
    <n v="121377"/>
    <n v="-7157"/>
    <n v="238970"/>
    <n v="91612"/>
    <n v="55955"/>
    <n v="75633"/>
    <n v="41650"/>
    <n v="32156"/>
    <n v="15586"/>
    <n v="2714"/>
    <n v="0"/>
    <n v="8746"/>
    <n v="0"/>
    <n v="0"/>
    <n v="3541272"/>
    <n v="0.96430223151093508"/>
    <n v="-131095.31833679508"/>
    <n v="0.23096690693903033"/>
    <n v="5.8213661084564189E-2"/>
    <n v="8.6983837797157723E-2"/>
    <n v="-0.17617925189770711"/>
  </r>
  <r>
    <x v="200"/>
    <n v="33737301"/>
    <n v="5029885.7931034481"/>
    <n v="2.4966461121809849E-2"/>
    <n v="29142685"/>
    <x v="200"/>
    <n v="3743850.333635712"/>
    <n v="3273177.00101378"/>
    <n v="470673.33262193197"/>
    <n v="3558327"/>
    <n v="4166837"/>
    <n v="45088.793103448297"/>
    <n v="43873"/>
    <n v="41407"/>
    <n v="0"/>
    <n v="3984"/>
    <n v="13564"/>
    <n v="148938"/>
    <n v="4700"/>
    <n v="1077744"/>
    <n v="382320"/>
    <n v="70738"/>
    <n v="67710"/>
    <n v="68483"/>
    <n v="22398"/>
    <n v="15176"/>
    <n v="5837"/>
    <n v="0"/>
    <n v="4939"/>
    <n v="0"/>
    <n v="0"/>
    <n v="4712178"/>
    <n v="1.258644865598548"/>
    <n v="968327.66636428796"/>
    <n v="-6.3164017270344819E-2"/>
    <n v="0.14908975063249572"/>
    <n v="0.16169333745329231"/>
    <n v="-0.13618801338020492"/>
  </r>
  <r>
    <x v="201"/>
    <n v="35193931"/>
    <n v="4443268.2413793104"/>
    <n v="4.3651804729112634E-2"/>
    <n v="34240943"/>
    <x v="201"/>
    <n v="6570500.00690269"/>
    <n v="4923708.0261605801"/>
    <n v="1646791.9807421099"/>
    <n v="3287363"/>
    <n v="4405412"/>
    <n v="43017.241379310297"/>
    <n v="48043"/>
    <n v="45721"/>
    <n v="-5352"/>
    <n v="7885"/>
    <n v="29247"/>
    <n v="127866"/>
    <n v="3125"/>
    <n v="797541"/>
    <n v="384714"/>
    <n v="74451"/>
    <n v="72953"/>
    <n v="41790"/>
    <n v="26680"/>
    <n v="17634"/>
    <n v="6091"/>
    <n v="0"/>
    <n v="5410"/>
    <n v="0"/>
    <n v="861"/>
    <n v="4977184"/>
    <n v="0.75750460311561985"/>
    <n v="-1593316.00690269"/>
    <n v="0.120162846268977"/>
    <n v="0.12625097893666129"/>
    <n v="0.14535767896345611"/>
    <n v="-2.7078191407490126E-2"/>
  </r>
  <r>
    <x v="202"/>
    <n v="37862518"/>
    <n v="4308608.1724137925"/>
    <n v="3.8560851202167311E-2"/>
    <n v="33913656"/>
    <x v="202"/>
    <n v="5797917.8047500104"/>
    <n v="4553053.459245"/>
    <n v="1244864.3455050101"/>
    <n v="3324693"/>
    <n v="2355041"/>
    <n v="47655.172413793101"/>
    <n v="44422"/>
    <n v="29991"/>
    <n v="-4595"/>
    <n v="3101"/>
    <n v="8901"/>
    <n v="106991"/>
    <n v="87466"/>
    <n v="677329"/>
    <n v="-140136"/>
    <n v="77441"/>
    <n v="59192"/>
    <n v="28165"/>
    <n v="24678"/>
    <n v="13242"/>
    <n v="2622"/>
    <n v="0"/>
    <n v="4318"/>
    <n v="0"/>
    <n v="-44"/>
    <n v="2441865"/>
    <n v="0.42116240385461728"/>
    <n v="-3356052.8047500104"/>
    <n v="-0.43325897777518141"/>
    <n v="0.11379613401342702"/>
    <n v="7.2002411064144775E-2"/>
    <n v="-0.10429475398334576"/>
  </r>
  <r>
    <x v="203"/>
    <n v="40833224"/>
    <n v="3661084.3448275863"/>
    <n v="3.7392205376579925E-2"/>
    <n v="40007982"/>
    <x v="203"/>
    <n v="5617917.5547398403"/>
    <n v="4553804.0329502802"/>
    <n v="1064113.5217895601"/>
    <n v="2646867"/>
    <n v="3083278"/>
    <n v="44960.344827586203"/>
    <n v="42541"/>
    <n v="35095"/>
    <n v="32416"/>
    <n v="7885"/>
    <n v="5616"/>
    <n v="163118"/>
    <n v="120117"/>
    <n v="660447"/>
    <n v="231502"/>
    <n v="62295"/>
    <n v="72242"/>
    <n v="26946"/>
    <n v="8011"/>
    <n v="13471"/>
    <n v="4728"/>
    <n v="0"/>
    <n v="2732"/>
    <n v="0"/>
    <n v="2454"/>
    <n v="3605637"/>
    <n v="0.64181023748878652"/>
    <n v="-2012280.5547398403"/>
    <n v="-1.5145060753905537E-2"/>
    <n v="8.9659448512505069E-2"/>
    <n v="9.0122940967130014E-2"/>
    <n v="-2.0210062276738161E-2"/>
  </r>
  <r>
    <x v="204"/>
    <n v="41355051"/>
    <n v="3089100.5862068967"/>
    <n v="3.1772677450519253E-2"/>
    <n v="38494412"/>
    <x v="204"/>
    <n v="4777092.2588771898"/>
    <n v="3757108.2463078802"/>
    <n v="1019984.01256931"/>
    <n v="2242610"/>
    <n v="2278603"/>
    <n v="44752.5862068965"/>
    <n v="42639"/>
    <n v="-1659"/>
    <n v="39758"/>
    <n v="4160"/>
    <n v="9405"/>
    <n v="125791"/>
    <n v="125561"/>
    <n v="585838"/>
    <n v="-79945"/>
    <n v="65896"/>
    <n v="65983"/>
    <n v="16520"/>
    <n v="21720"/>
    <n v="5192"/>
    <n v="1719"/>
    <n v="0"/>
    <n v="4659"/>
    <n v="0"/>
    <n v="689"/>
    <n v="2510791"/>
    <n v="0.52558980734237226"/>
    <n v="-2266301.2588771898"/>
    <n v="-0.18720969747281757"/>
    <n v="7.4697056623310581E-2"/>
    <n v="6.522481756572876E-2"/>
    <n v="-6.9172662850784494E-2"/>
  </r>
  <r>
    <x v="205"/>
    <n v="46933783"/>
    <n v="2553876.2068965519"/>
    <n v="2.680872312500188E-2"/>
    <n v="43265279"/>
    <x v="205"/>
    <n v="4031932.8562442842"/>
    <n v="3131852.8554466101"/>
    <n v="900080.00079767394"/>
    <n v="1814470"/>
    <n v="2296703"/>
    <n v="48636.206896551703"/>
    <n v="40406"/>
    <n v="22502"/>
    <n v="-1119"/>
    <n v="8441"/>
    <n v="2696"/>
    <n v="137101"/>
    <n v="111534"/>
    <n v="418048"/>
    <n v="213421"/>
    <n v="74083"/>
    <n v="59424"/>
    <n v="22565"/>
    <n v="16459"/>
    <n v="8030"/>
    <n v="2879"/>
    <n v="0"/>
    <n v="4612"/>
    <n v="0"/>
    <n v="689"/>
    <n v="2747704"/>
    <n v="0.68148555493542273"/>
    <n v="-1284228.8562442842"/>
    <n v="7.5895531889929035E-2"/>
    <n v="5.4414454656181284E-2"/>
    <n v="6.3508292642698555E-2"/>
    <n v="-7.816339884641299E-2"/>
  </r>
  <r>
    <x v="206"/>
    <n v="47081332"/>
    <n v="3234996.3103448278"/>
    <n v="2.2163784640722627E-2"/>
    <n v="43046323"/>
    <x v="206"/>
    <n v="3331988.1964123314"/>
    <n v="2633349.8222933002"/>
    <n v="698638.37411903101"/>
    <n v="2492742"/>
    <n v="3026716"/>
    <n v="46004.310344827602"/>
    <n v="41577"/>
    <n v="188"/>
    <n v="-2437"/>
    <n v="5260"/>
    <n v="-2118"/>
    <n v="96913"/>
    <n v="77488"/>
    <n v="456920"/>
    <n v="286083"/>
    <n v="102581"/>
    <n v="100894"/>
    <n v="25564"/>
    <n v="1340"/>
    <n v="8824"/>
    <n v="3747"/>
    <n v="0"/>
    <n v="7694"/>
    <n v="0"/>
    <n v="0"/>
    <n v="3540984"/>
    <n v="1.0627240528080806"/>
    <n v="208995.80358766858"/>
    <n v="9.4586719829227839E-2"/>
    <n v="6.8710806872346514E-2"/>
    <n v="8.225984830341955E-2"/>
    <n v="-8.5702949100930237E-2"/>
  </r>
  <r>
    <x v="207"/>
    <n v="31605607"/>
    <n v="4663929.6896551717"/>
    <n v="2.8074877451927861E-2"/>
    <n v="29411304"/>
    <x v="207"/>
    <n v="4217898.0455742115"/>
    <n v="3424148.2696549399"/>
    <n v="793749.77591927198"/>
    <n v="3484387"/>
    <n v="4417927"/>
    <n v="44995.689655172398"/>
    <n v="45240"/>
    <n v="50334"/>
    <n v="73371"/>
    <n v="7472"/>
    <n v="3507"/>
    <n v="92406"/>
    <n v="87576"/>
    <n v="769591"/>
    <n v="340627"/>
    <n v="185943"/>
    <n v="129532"/>
    <n v="24718"/>
    <n v="9756"/>
    <n v="4083"/>
    <n v="10295"/>
    <n v="0"/>
    <n v="6328"/>
    <n v="0"/>
    <n v="3358"/>
    <n v="5127517"/>
    <n v="1.2156569325757507"/>
    <n v="909618.95442578848"/>
    <n v="9.9398434623293674E-2"/>
    <n v="0.14756652797888589"/>
    <n v="0.1743383088352696"/>
    <n v="-6.9427649340827458E-2"/>
  </r>
  <r>
    <x v="208"/>
    <n v="34983760"/>
    <n v="4911503.0344827585"/>
    <n v="4.0475858987152814E-2"/>
    <n v="31625771"/>
    <x v="208"/>
    <n v="6086120.65077102"/>
    <n v="4770528.5356123"/>
    <n v="1315592.1151587199"/>
    <n v="3757033"/>
    <n v="3634734"/>
    <n v="48606.034482758601"/>
    <n v="42976"/>
    <n v="41706"/>
    <n v="19778"/>
    <n v="2828"/>
    <n v="1549"/>
    <n v="125933"/>
    <n v="119572"/>
    <n v="723558"/>
    <n v="359776"/>
    <n v="178272"/>
    <n v="124232"/>
    <n v="20718"/>
    <n v="3776"/>
    <n v="12849"/>
    <n v="12332"/>
    <n v="0"/>
    <n v="4861"/>
    <n v="0"/>
    <n v="1636"/>
    <n v="4325222"/>
    <n v="0.71066977606696957"/>
    <n v="-1760898.65077102"/>
    <n v="-0.11936896513482476"/>
    <n v="0.14039380085167399"/>
    <n v="0.13676257884748486"/>
    <n v="-9.5987080862663166E-2"/>
  </r>
  <r>
    <x v="209"/>
    <n v="38292331"/>
    <n v="4557922.9655172415"/>
    <n v="4.2624421350012973E-2"/>
    <n v="34751018"/>
    <x v="209"/>
    <n v="6405135.2441936303"/>
    <n v="5154950.1773788603"/>
    <n v="1250185.06681477"/>
    <n v="3422418"/>
    <n v="3823589"/>
    <n v="44943.965517241399"/>
    <n v="45162"/>
    <n v="35371"/>
    <n v="9832"/>
    <n v="6861"/>
    <n v="6476"/>
    <n v="146730"/>
    <n v="73400"/>
    <n v="716501"/>
    <n v="422769"/>
    <n v="157888"/>
    <n v="119136"/>
    <n v="21031"/>
    <n v="13325"/>
    <n v="6179"/>
    <n v="8955"/>
    <n v="0"/>
    <n v="9537"/>
    <n v="0"/>
    <n v="689"/>
    <n v="4532870"/>
    <n v="0.70769309736420127"/>
    <n v="-1872265.2441936303"/>
    <n v="-5.4965750204157837E-3"/>
    <n v="0.11902965545548119"/>
    <n v="0.13043848096766547"/>
    <n v="-9.248099834925172E-2"/>
  </r>
  <r>
    <x v="210"/>
    <n v="42257151"/>
    <n v="4406171.068965517"/>
    <n v="3.955588087783142E-2"/>
    <n v="39086770"/>
    <x v="210"/>
    <n v="5945371.52413911"/>
    <n v="4740358.4590393398"/>
    <n v="1205013.06509977"/>
    <n v="3229434"/>
    <n v="3050571"/>
    <n v="53487.068965517203"/>
    <n v="48847"/>
    <n v="38487"/>
    <n v="5466"/>
    <n v="4745"/>
    <n v="0"/>
    <n v="157866"/>
    <n v="119208"/>
    <n v="760045"/>
    <n v="525363"/>
    <n v="130193"/>
    <n v="148304"/>
    <n v="26548"/>
    <n v="15409"/>
    <n v="5366"/>
    <n v="8317"/>
    <n v="0"/>
    <n v="9625"/>
    <n v="0"/>
    <n v="3832"/>
    <n v="3934942"/>
    <n v="0.66184963950924491"/>
    <n v="-2010429.52413911"/>
    <n v="-0.10694752010074637"/>
    <n v="0.10427042440616778"/>
    <n v="0.10067196649915049"/>
    <n v="-7.5025905082905409E-2"/>
  </r>
  <r>
    <x v="211"/>
    <n v="42166401"/>
    <n v="3719323.8275862071"/>
    <n v="3.8238903827451674E-2"/>
    <n v="38926840"/>
    <x v="211"/>
    <n v="5749450.9926290801"/>
    <n v="4516968.2502925303"/>
    <n v="1232482.74233655"/>
    <n v="2745483"/>
    <n v="2903566"/>
    <n v="43694.827586206899"/>
    <n v="49697"/>
    <n v="12201"/>
    <n v="28578"/>
    <n v="2825"/>
    <n v="11071"/>
    <n v="168709"/>
    <n v="72428"/>
    <n v="619607"/>
    <n v="381868"/>
    <n v="90655"/>
    <n v="115054"/>
    <n v="24972"/>
    <n v="16287"/>
    <n v="11177"/>
    <n v="8524"/>
    <n v="0"/>
    <n v="12321"/>
    <n v="0"/>
    <n v="3617"/>
    <n v="3603011"/>
    <n v="0.62667044290300722"/>
    <n v="-2146439.9926290801"/>
    <n v="-3.1272573450989993E-2"/>
    <n v="8.8205863895906289E-2"/>
    <n v="9.2558527740756763E-2"/>
    <n v="-7.682801764371594E-2"/>
  </r>
  <r>
    <x v="212"/>
    <n v="52987530"/>
    <n v="3065174.4827586208"/>
    <n v="2.5617418980320671E-2"/>
    <n v="47869700"/>
    <x v="212"/>
    <n v="4918875.4135660902"/>
    <n v="3866025.8284156998"/>
    <n v="1052849.5851503899"/>
    <n v="2144459"/>
    <n v="2446126"/>
    <n v="42634.482758620703"/>
    <n v="48403"/>
    <n v="10464"/>
    <n v="6004"/>
    <n v="4246"/>
    <n v="1786"/>
    <n v="87668"/>
    <n v="85521"/>
    <n v="684341"/>
    <n v="329279"/>
    <n v="63880"/>
    <n v="108433"/>
    <n v="21198"/>
    <n v="26082"/>
    <n v="6284"/>
    <n v="12102"/>
    <n v="0"/>
    <n v="5795"/>
    <n v="0"/>
    <n v="2041"/>
    <n v="3071572"/>
    <n v="0.62444598444772748"/>
    <n v="-1847303.4135660902"/>
    <n v="2.0871625016340989E-3"/>
    <n v="5.7847091245027286E-2"/>
    <n v="6.4165265293076826E-2"/>
    <n v="-9.6585555129669154E-2"/>
  </r>
  <r>
    <x v="213"/>
    <n v="54307415"/>
    <n v="3585173.9310344825"/>
    <n v="2.1111864041043975E-2"/>
    <n v="49204889"/>
    <x v="213"/>
    <n v="4071434.6100753602"/>
    <n v="2977267.21201998"/>
    <n v="1094167.39805538"/>
    <n v="2587395"/>
    <n v="2980176"/>
    <n v="45812.931034482703"/>
    <n v="54927"/>
    <n v="9328"/>
    <n v="0"/>
    <n v="2300"/>
    <n v="2470"/>
    <n v="132317"/>
    <n v="72324"/>
    <n v="692254"/>
    <n v="378023"/>
    <n v="69290"/>
    <n v="109603"/>
    <n v="36198"/>
    <n v="27620"/>
    <n v="10279"/>
    <n v="16588"/>
    <n v="0"/>
    <n v="6225"/>
    <n v="0"/>
    <n v="861"/>
    <n v="3648817"/>
    <n v="0.89619933744495583"/>
    <n v="-422617.61007536016"/>
    <n v="1.7751738183356069E-2"/>
    <n v="6.6016287665956533E-2"/>
    <n v="7.415557832068273E-2"/>
    <n v="-9.3956340952704109E-2"/>
  </r>
  <r>
    <x v="214"/>
    <n v="34014104"/>
    <n v="4860602.7931034481"/>
    <n v="2.4693440788197914E-2"/>
    <n v="31269737"/>
    <x v="214"/>
    <n v="4751209.9008082803"/>
    <n v="3611456.3673758898"/>
    <n v="1139753.5334323901"/>
    <n v="3838217"/>
    <n v="4221939"/>
    <n v="45938.793103448297"/>
    <n v="46928"/>
    <n v="56057"/>
    <n v="52670"/>
    <n v="1839"/>
    <n v="2247"/>
    <n v="73598"/>
    <n v="65922"/>
    <n v="691486"/>
    <n v="437544"/>
    <n v="97155"/>
    <n v="118991"/>
    <n v="44478"/>
    <n v="35120"/>
    <n v="11834"/>
    <n v="9760"/>
    <n v="0"/>
    <n v="11524"/>
    <n v="0"/>
    <n v="1378"/>
    <n v="5004023"/>
    <n v="1.0532102568545143"/>
    <n v="252813.09919171967"/>
    <n v="2.9506670880419694E-2"/>
    <n v="0.14289962755166058"/>
    <n v="0.16002766508717359"/>
    <n v="-8.0683207177822514E-2"/>
  </r>
  <r>
    <x v="215"/>
    <n v="36175205"/>
    <n v="4811715.7931034481"/>
    <n v="3.3478154637763088E-2"/>
    <n v="34390488"/>
    <x v="215"/>
    <n v="6413866.4549796497"/>
    <n v="5222018.5112575199"/>
    <n v="1191847.94372213"/>
    <n v="3763555"/>
    <n v="4338817"/>
    <n v="44913.793103448297"/>
    <n v="52837"/>
    <n v="51008"/>
    <n v="38712"/>
    <n v="6626"/>
    <n v="7853"/>
    <n v="103650"/>
    <n v="80292"/>
    <n v="708997"/>
    <n v="401548"/>
    <n v="83531"/>
    <n v="100971"/>
    <n v="38553"/>
    <n v="28918"/>
    <n v="10882"/>
    <n v="15532"/>
    <n v="0"/>
    <n v="6075"/>
    <n v="0"/>
    <n v="1809"/>
    <n v="5073364"/>
    <n v="0.79099931930467626"/>
    <n v="-1340502.4549796497"/>
    <n v="5.4377319473350338E-2"/>
    <n v="0.13301143125805226"/>
    <n v="0.14752230326013402"/>
    <n v="-4.9335366586035878E-2"/>
  </r>
  <r>
    <x v="216"/>
    <n v="37816388"/>
    <n v="4851603.7586206896"/>
    <n v="3.3141437852738292E-2"/>
    <n v="37626260"/>
    <x v="216"/>
    <n v="6349963.68176034"/>
    <n v="5162333.2807319798"/>
    <n v="1187630.40102836"/>
    <n v="3783964"/>
    <n v="3961812"/>
    <n v="41382.758620689601"/>
    <n v="50879"/>
    <n v="54972"/>
    <n v="36417"/>
    <n v="5869"/>
    <n v="15109"/>
    <n v="93840"/>
    <n v="79655"/>
    <n v="761176"/>
    <n v="395590"/>
    <n v="70344"/>
    <n v="91725"/>
    <n v="37254"/>
    <n v="30739"/>
    <n v="2802"/>
    <n v="8694"/>
    <n v="0"/>
    <n v="8108"/>
    <n v="0"/>
    <n v="904"/>
    <n v="4679632"/>
    <n v="0.7369541362010924"/>
    <n v="-1670331.68176034"/>
    <n v="-3.5446373442002077E-2"/>
    <n v="0.12829368470147623"/>
    <n v="0.12437143633196603"/>
    <n v="-5.027661552446494E-3"/>
  </r>
  <r>
    <x v="217"/>
    <n v="42821886"/>
    <n v="4267874.9655172415"/>
    <n v="3.3416172393825813E-2"/>
    <n v="42043061"/>
    <x v="217"/>
    <n v="6405096.0189463003"/>
    <n v="5175695.0186568704"/>
    <n v="1229401.0002894299"/>
    <n v="3146416"/>
    <n v="3534572"/>
    <n v="39518.965517241399"/>
    <n v="51525"/>
    <n v="64553"/>
    <n v="41165"/>
    <n v="11511"/>
    <n v="14122"/>
    <n v="133747"/>
    <n v="85303"/>
    <n v="769223"/>
    <n v="451607"/>
    <n v="62096"/>
    <n v="155591"/>
    <n v="32591"/>
    <n v="25766"/>
    <n v="8219"/>
    <n v="15513"/>
    <n v="0"/>
    <n v="6476"/>
    <n v="0"/>
    <n v="2153"/>
    <n v="4383793"/>
    <n v="0.6844226826627926"/>
    <n v="-2021303.0189463003"/>
    <n v="2.7160597585292656E-2"/>
    <n v="9.9665740213246132E-2"/>
    <n v="0.104269120652276"/>
    <n v="-1.8187545499513957E-2"/>
  </r>
  <r>
    <x v="218"/>
    <n v="44195500"/>
    <n v="3766393.7241379311"/>
    <n v="2.9395649912589576E-2"/>
    <n v="42322930"/>
    <x v="218"/>
    <n v="5646066.1847261796"/>
    <n v="4415885.1506208098"/>
    <n v="1230181.0341053701"/>
    <n v="2760929"/>
    <n v="3007032"/>
    <n v="36501.724137931"/>
    <n v="49458"/>
    <n v="22813"/>
    <n v="15410"/>
    <n v="1010"/>
    <n v="753"/>
    <n v="84465"/>
    <n v="96092"/>
    <n v="765638"/>
    <n v="376897"/>
    <n v="51057"/>
    <n v="182901"/>
    <n v="38417"/>
    <n v="15451"/>
    <n v="5563"/>
    <n v="10998"/>
    <n v="0"/>
    <n v="6179"/>
    <n v="0"/>
    <n v="4565"/>
    <n v="3765736"/>
    <n v="0.66696632253215948"/>
    <n v="-1880330.1847261796"/>
    <n v="-1.746296818933013E-4"/>
    <n v="8.5221204062357725E-2"/>
    <n v="8.8976259441395006E-2"/>
    <n v="-4.2370150807208851E-2"/>
  </r>
  <r>
    <x v="219"/>
    <n v="52547670"/>
    <n v="2958518.7241379311"/>
    <n v="2.5941620183878796E-2"/>
    <n v="54566301"/>
    <x v="219"/>
    <n v="4992670.0877949502"/>
    <n v="3778645.48647033"/>
    <n v="1214024.60132462"/>
    <n v="2172261"/>
    <n v="3117315"/>
    <n v="36326.724137931"/>
    <n v="49755"/>
    <n v="7009"/>
    <n v="-2143"/>
    <n v="11103"/>
    <n v="16358"/>
    <n v="91684"/>
    <n v="107597"/>
    <n v="517547"/>
    <n v="405849"/>
    <n v="91885"/>
    <n v="220499"/>
    <n v="25396"/>
    <n v="32535"/>
    <n v="5307"/>
    <n v="11591"/>
    <n v="0"/>
    <n v="10109"/>
    <n v="0"/>
    <n v="2067"/>
    <n v="3971532"/>
    <n v="0.79547254878882989"/>
    <n v="-1021138.0877949502"/>
    <n v="0.34240556518946685"/>
    <n v="5.6301615735539393E-2"/>
    <n v="7.2783603198611532E-2"/>
    <n v="3.8415233253919823E-2"/>
  </r>
  <r>
    <x v="220"/>
    <n v="53492448"/>
    <n v="3499537.5172413792"/>
    <n v="2.0377255982722969E-2"/>
    <n v="56796162"/>
    <x v="220"/>
    <n v="3917807.2143991757"/>
    <n v="3014865.1768484898"/>
    <n v="902942.03755068604"/>
    <n v="2525352"/>
    <n v="3596880"/>
    <n v="36340.517241379297"/>
    <n v="57414"/>
    <n v="7272"/>
    <n v="14662"/>
    <n v="5023"/>
    <n v="6852"/>
    <n v="153753"/>
    <n v="58728"/>
    <n v="597616"/>
    <n v="433070"/>
    <n v="139394"/>
    <n v="212540"/>
    <n v="29128"/>
    <n v="26298"/>
    <n v="5659"/>
    <n v="11364"/>
    <n v="0"/>
    <n v="5631"/>
    <n v="0"/>
    <n v="2540"/>
    <n v="4425979"/>
    <n v="1.1297082163035315"/>
    <n v="508171.78560082428"/>
    <n v="0.26473254771359533"/>
    <n v="6.5421150986422968E-2"/>
    <n v="7.7927431082403062E-2"/>
    <n v="6.1760381577601331E-2"/>
  </r>
  <r>
    <x v="221"/>
    <n v="33293539"/>
    <n v="5333277.6896551717"/>
    <n v="2.4103606723242677E-2"/>
    <n v="34686047"/>
    <x v="221"/>
    <n v="4635857.42575958"/>
    <n v="3547199.63364462"/>
    <n v="1088657.79211496"/>
    <n v="3999839"/>
    <n v="4582140"/>
    <n v="32970.689655172398"/>
    <n v="47910"/>
    <n v="56378"/>
    <n v="22732"/>
    <n v="5019"/>
    <n v="9417"/>
    <n v="135073"/>
    <n v="120697"/>
    <n v="700812"/>
    <n v="489155"/>
    <n v="356162"/>
    <n v="205946"/>
    <n v="39654"/>
    <n v="44324"/>
    <n v="7370"/>
    <n v="9798"/>
    <n v="0"/>
    <n v="7778"/>
    <n v="0"/>
    <n v="1464"/>
    <n v="5541361"/>
    <n v="1.195326018701288"/>
    <n v="905503.57424042001"/>
    <n v="3.9016027751272331E-2"/>
    <n v="0.160189569803774"/>
    <n v="0.15975763972181667"/>
    <n v="4.1825172145262268E-2"/>
  </r>
  <r>
    <x v="222"/>
    <n v="36360304"/>
    <n v="5661373.8620689651"/>
    <n v="3.6733776204413184E-2"/>
    <n v="39106187"/>
    <x v="222"/>
    <n v="7057070.1327542793"/>
    <n v="5499826.4207687099"/>
    <n v="1557243.7119855699"/>
    <n v="4225069"/>
    <n v="4741330"/>
    <n v="32825.8620689655"/>
    <n v="54809"/>
    <n v="72043"/>
    <n v="44133"/>
    <n v="15704"/>
    <n v="4828"/>
    <n v="97751"/>
    <n v="136695"/>
    <n v="651028"/>
    <n v="425261"/>
    <n v="527190"/>
    <n v="184068"/>
    <n v="34217"/>
    <n v="28255"/>
    <n v="5546"/>
    <n v="12530"/>
    <n v="0"/>
    <n v="14828"/>
    <n v="0"/>
    <n v="6805"/>
    <n v="5653542"/>
    <n v="0.80111744585900813"/>
    <n v="-1403528.1327542793"/>
    <n v="-1.3833854219447161E-3"/>
    <n v="0.15570204974273497"/>
    <n v="0.14456899109084709"/>
    <n v="7.5518703033945922E-2"/>
  </r>
  <r>
    <x v="223"/>
    <n v="39197019"/>
    <n v="5613852.4482758623"/>
    <n v="3.8993589413530386E-2"/>
    <n v="41672796"/>
    <x v="223"/>
    <n v="7496285.1541164294"/>
    <n v="5778262.7903368799"/>
    <n v="1718022.36377955"/>
    <n v="4089143"/>
    <n v="4494722"/>
    <n v="34528.448275862"/>
    <n v="58059"/>
    <n v="43939"/>
    <n v="50719"/>
    <n v="4540"/>
    <n v="6868"/>
    <n v="176005"/>
    <n v="135678"/>
    <n v="668270"/>
    <n v="452304"/>
    <n v="554038"/>
    <n v="214357"/>
    <n v="35960"/>
    <n v="33975"/>
    <n v="7429"/>
    <n v="9612"/>
    <n v="0"/>
    <n v="10923"/>
    <n v="0"/>
    <n v="3591"/>
    <n v="5470808"/>
    <n v="0.72980254719843729"/>
    <n v="-2025477.1541164294"/>
    <n v="-2.548062130129447E-2"/>
    <n v="0.14322141304357514"/>
    <n v="0.13128008017508591"/>
    <n v="6.316237977178818E-2"/>
  </r>
  <r>
    <x v="224"/>
    <n v="44165103"/>
    <n v="4652571.6551724132"/>
    <n v="3.8643177120503212E-2"/>
    <n v="45632674"/>
    <x v="224"/>
    <n v="7439742.5948454794"/>
    <n v="5654414.4560906999"/>
    <n v="1785328.1387547799"/>
    <n v="3070125"/>
    <n v="3681443"/>
    <n v="38764.655172413797"/>
    <n v="51171"/>
    <n v="46072"/>
    <n v="38856"/>
    <n v="4716"/>
    <n v="15603"/>
    <n v="195600"/>
    <n v="100446"/>
    <n v="651924"/>
    <n v="469013"/>
    <n v="601203"/>
    <n v="191108"/>
    <n v="40376"/>
    <n v="37897"/>
    <n v="3791"/>
    <n v="13748"/>
    <n v="0"/>
    <n v="6868"/>
    <n v="0"/>
    <n v="2756"/>
    <n v="4608909"/>
    <n v="0.61949844920618857"/>
    <n v="-2830833.5948454794"/>
    <n v="-9.3846282031727624E-3"/>
    <n v="0.10534497463240182"/>
    <n v="0.10100019560545587"/>
    <n v="3.3229199080549998E-2"/>
  </r>
  <r>
    <x v="225"/>
    <n v="44038774"/>
    <n v="3229228.931034483"/>
    <n v="3.2045307951544102E-2"/>
    <n v="47566437"/>
    <x v="225"/>
    <n v="6193156.7474197801"/>
    <n v="4363259.4794024397"/>
    <n v="1829897.26801734"/>
    <n v="2011046"/>
    <n v="3263047"/>
    <n v="34462.931034482703"/>
    <n v="53656"/>
    <n v="24847"/>
    <n v="30164"/>
    <n v="5456"/>
    <n v="15984"/>
    <n v="178158"/>
    <n v="120703"/>
    <n v="507359"/>
    <n v="516985"/>
    <n v="433481"/>
    <n v="216650"/>
    <n v="26228"/>
    <n v="33945"/>
    <n v="8191"/>
    <n v="10550"/>
    <n v="0"/>
    <n v="10464"/>
    <n v="0"/>
    <n v="1903"/>
    <n v="4274051"/>
    <n v="0.69012479004034144"/>
    <n v="-1919105.7474197801"/>
    <n v="0.32355156332344892"/>
    <n v="7.3326948907217152E-2"/>
    <n v="8.9854344146062484E-2"/>
    <n v="8.0103569640698868E-2"/>
  </r>
  <r>
    <x v="226"/>
    <n v="60948845"/>
    <n v="4888870.137931034"/>
    <n v="2.2241814465338055E-2"/>
    <n v="61569045"/>
    <x v="226"/>
    <n v="4306751.3905300098"/>
    <n v="2931100.39722447"/>
    <n v="1375650.9933055399"/>
    <n v="3412516"/>
    <n v="3131893"/>
    <n v="47499.1379310345"/>
    <n v="62359"/>
    <n v="28829"/>
    <n v="-4461"/>
    <n v="2060"/>
    <n v="3375"/>
    <n v="162266"/>
    <n v="200572"/>
    <n v="782613"/>
    <n v="493567"/>
    <n v="397386"/>
    <n v="253687"/>
    <n v="46230"/>
    <n v="29680"/>
    <n v="9471"/>
    <n v="7085"/>
    <n v="0"/>
    <n v="10393"/>
    <n v="0"/>
    <n v="6245"/>
    <n v="4194395"/>
    <n v="0.97391156806100609"/>
    <n v="-112356.39053000975"/>
    <n v="-0.14205227758922134"/>
    <n v="8.0212678975803961E-2"/>
    <n v="6.8125061871594728E-2"/>
    <n v="1.0175746562547605E-2"/>
  </r>
  <r>
    <x v="227"/>
    <n v="62131899"/>
    <n v="3941924.6551724137"/>
    <n v="3.3672850353833453E-2"/>
    <n v="65717622"/>
    <x v="227"/>
    <n v="6493659.7613584399"/>
    <n v="4750643.8728327602"/>
    <n v="1743015.8885256799"/>
    <n v="2730517"/>
    <n v="3769446"/>
    <n v="40964.655172413797"/>
    <n v="60816"/>
    <n v="3525"/>
    <n v="12907"/>
    <n v="11086"/>
    <n v="1416"/>
    <n v="183162"/>
    <n v="121507"/>
    <n v="524015"/>
    <n v="480467"/>
    <n v="403338"/>
    <n v="261280"/>
    <n v="35960"/>
    <n v="34538"/>
    <n v="7429"/>
    <n v="2595"/>
    <n v="1928"/>
    <n v="6215"/>
    <n v="0"/>
    <n v="2842"/>
    <n v="4754029"/>
    <n v="0.73210318598606128"/>
    <n v="-1739630.7613584399"/>
    <n v="0.20601721642801563"/>
    <n v="6.344445797757467E-2"/>
    <n v="7.2340246882335452E-2"/>
    <n v="5.7711466375750087E-2"/>
  </r>
  <r>
    <x v="228"/>
    <n v="38507747"/>
    <n v="6164465.0517241377"/>
    <n v="2.7150616660863266E-2"/>
    <n v="40824335"/>
    <x v="228"/>
    <n v="5233267.7604187597"/>
    <n v="3861268.6794992299"/>
    <n v="1371999.08091953"/>
    <n v="4641789"/>
    <n v="5336867"/>
    <n v="35684.482758620703"/>
    <n v="56728"/>
    <n v="59195"/>
    <n v="55656"/>
    <n v="10114"/>
    <n v="16254"/>
    <n v="136276"/>
    <n v="166309"/>
    <n v="856553"/>
    <n v="260464"/>
    <n v="371767"/>
    <n v="286210"/>
    <n v="47937"/>
    <n v="20932"/>
    <n v="4445"/>
    <n v="2353"/>
    <n v="704.56896551724196"/>
    <n v="7205"/>
    <n v="0"/>
    <n v="3101"/>
    <n v="6212079"/>
    <n v="1.1870363383628812"/>
    <n v="978811.23958124034"/>
    <n v="7.723938391466012E-3"/>
    <n v="0.16008376318988846"/>
    <n v="0.15216607937398122"/>
    <n v="6.0159011639917548E-2"/>
  </r>
  <r>
    <x v="229"/>
    <n v="42791164"/>
    <n v="5908650.5517241377"/>
    <n v="4.2458707910369799E-2"/>
    <n v="45092079"/>
    <x v="229"/>
    <n v="8157498.6179166595"/>
    <n v="6350011.3561475696"/>
    <n v="1807487.2617690901"/>
    <n v="4674224"/>
    <n v="5654946"/>
    <n v="38029.310344827602"/>
    <n v="49156"/>
    <n v="63390"/>
    <n v="49650"/>
    <n v="4385"/>
    <n v="13529"/>
    <n v="133373"/>
    <n v="131515"/>
    <n v="669054"/>
    <n v="874101"/>
    <n v="282672"/>
    <n v="238455"/>
    <n v="39386"/>
    <n v="52443"/>
    <n v="3720"/>
    <n v="8603"/>
    <n v="73.275862068965495"/>
    <n v="14092"/>
    <n v="343.96551724137902"/>
    <n v="8931"/>
    <n v="7095421"/>
    <n v="0.86980351849720527"/>
    <n v="-1062077.6179166595"/>
    <n v="0.20085304383579827"/>
    <n v="0.13808108963159166"/>
    <n v="0.15735404437661879"/>
    <n v="5.377079716737776E-2"/>
  </r>
  <r>
    <x v="230"/>
    <n v="46267625"/>
    <n v="5807236.9655172406"/>
    <n v="4.069674591632793E-2"/>
    <n v="0"/>
    <x v="230"/>
    <n v="7793317.8955410402"/>
    <n v="6389469.67933382"/>
    <n v="1403848.21620722"/>
    <n v="4567064"/>
    <n v="0"/>
    <n v="35700.8620689655"/>
    <n v="0"/>
    <n v="58510"/>
    <n v="0"/>
    <n v="15761"/>
    <n v="0"/>
    <n v="230412"/>
    <n v="0"/>
    <n v="657997"/>
    <n v="0"/>
    <n v="205256"/>
    <n v="0"/>
    <n v="29971"/>
    <n v="0"/>
    <n v="4086"/>
    <n v="0"/>
    <n v="2479.10344827586"/>
    <n v="0"/>
    <n v="0"/>
    <n v="0"/>
    <n v="0"/>
    <n v="0"/>
    <n v="-7793317.8955410402"/>
    <n v="-1"/>
    <n v="0.12551404930590754"/>
    <e v="#DIV/0!"/>
    <n v="-1"/>
  </r>
  <r>
    <x v="231"/>
    <n v="55157049"/>
    <n v="4963643.3103448264"/>
    <n v="3.9998244132511754E-2"/>
    <n v="0"/>
    <x v="231"/>
    <n v="7650924.6914080195"/>
    <n v="6381727.7150928797"/>
    <n v="1269196.97631514"/>
    <n v="3915278"/>
    <n v="0"/>
    <n v="41030.172413793101"/>
    <n v="0"/>
    <n v="35238"/>
    <n v="0"/>
    <n v="9197"/>
    <n v="0"/>
    <n v="143792"/>
    <n v="0"/>
    <n v="605960"/>
    <n v="0"/>
    <n v="173300"/>
    <n v="0"/>
    <n v="28936"/>
    <n v="0"/>
    <n v="11397"/>
    <n v="0"/>
    <n v="203.068965517241"/>
    <n v="0"/>
    <n v="-687.93103448275895"/>
    <n v="0"/>
    <n v="0"/>
    <n v="0"/>
    <n v="-7650924.6914080195"/>
    <n v="-1"/>
    <n v="8.9991096339197302E-2"/>
    <e v="#DIV/0!"/>
    <n v="-1"/>
  </r>
  <r>
    <x v="232"/>
    <n v="54388306"/>
    <n v="3985056.8620689656"/>
    <n v="3.4187862161088482E-2"/>
    <n v="0"/>
    <x v="232"/>
    <n v="6545015.7147723902"/>
    <n v="5389623.2256290102"/>
    <n v="1155392.48914338"/>
    <n v="3000765"/>
    <n v="0"/>
    <n v="35025.8620689655"/>
    <n v="0"/>
    <n v="36025"/>
    <n v="0"/>
    <n v="6236"/>
    <n v="0"/>
    <n v="178245"/>
    <n v="0"/>
    <n v="579403"/>
    <n v="0"/>
    <n v="113017"/>
    <n v="0"/>
    <n v="25208"/>
    <n v="0"/>
    <n v="11132"/>
    <n v="0"/>
    <n v="0"/>
    <n v="0"/>
    <n v="0"/>
    <n v="0"/>
    <n v="0"/>
    <n v="0"/>
    <n v="-6545015.7147723902"/>
    <n v="-1"/>
    <n v="7.3270472186961769E-2"/>
    <e v="#DIV/0!"/>
    <n v="-1"/>
  </r>
  <r>
    <x v="233"/>
    <n v="71145940"/>
    <n v="4157647.0086206896"/>
    <n v="2.7447696416979025E-2"/>
    <n v="0"/>
    <x v="233"/>
    <n v="5262495.1695219995"/>
    <n v="4234543.1917588096"/>
    <n v="1027951.9777631901"/>
    <n v="3117784"/>
    <n v="0"/>
    <n v="47162.931034482703"/>
    <n v="0"/>
    <n v="19293"/>
    <n v="0"/>
    <n v="5273"/>
    <n v="0"/>
    <n v="203525"/>
    <n v="0"/>
    <n v="648055"/>
    <n v="0"/>
    <n v="76037"/>
    <n v="0"/>
    <n v="28466"/>
    <n v="0"/>
    <n v="11786"/>
    <n v="0"/>
    <n v="265.07758620689702"/>
    <n v="0"/>
    <n v="0"/>
    <n v="0"/>
    <n v="0"/>
    <n v="0"/>
    <n v="-5262495.1695219995"/>
    <n v="-1"/>
    <n v="5.8438289080454758E-2"/>
    <e v="#DIV/0!"/>
    <n v="-1"/>
  </r>
  <r>
    <x v="234"/>
    <n v="76021625"/>
    <n v="4558674.8706896557"/>
    <n v="2.8636437785315279E-2"/>
    <n v="0"/>
    <x v="234"/>
    <n v="5490882.4495420801"/>
    <n v="4412363.5770457499"/>
    <n v="1078518.8724963299"/>
    <n v="3423344"/>
    <n v="0"/>
    <n v="43106.896551724101"/>
    <n v="0"/>
    <n v="5283"/>
    <n v="0"/>
    <n v="5236"/>
    <n v="0"/>
    <n v="165029"/>
    <n v="0"/>
    <n v="757892"/>
    <n v="0"/>
    <n v="97355"/>
    <n v="0"/>
    <n v="44629"/>
    <n v="0"/>
    <n v="14410"/>
    <n v="0"/>
    <n v="2389.9741379310299"/>
    <n v="0"/>
    <n v="0"/>
    <n v="0"/>
    <n v="0"/>
    <n v="0"/>
    <n v="-5490882.4495420801"/>
    <n v="-1"/>
    <n v="5.9965501535775588E-2"/>
    <e v="#DIV/0!"/>
    <n v="-1"/>
  </r>
  <r>
    <x v="235"/>
    <n v="46309068"/>
    <n v="6388825.4741379302"/>
    <n v="3.1398579303944539E-2"/>
    <n v="0"/>
    <x v="235"/>
    <n v="6029133.3442718405"/>
    <n v="4736116.6027066"/>
    <n v="1293016.7415652401"/>
    <n v="5203886"/>
    <n v="0"/>
    <n v="38813.793103448297"/>
    <n v="0"/>
    <n v="56753"/>
    <n v="0"/>
    <n v="4215"/>
    <n v="0"/>
    <n v="137354"/>
    <n v="0"/>
    <n v="801333"/>
    <n v="0"/>
    <n v="95156"/>
    <n v="0"/>
    <n v="42338"/>
    <n v="0"/>
    <n v="7580"/>
    <n v="0"/>
    <n v="1311.33620689655"/>
    <n v="0"/>
    <n v="85.344827586206904"/>
    <n v="0"/>
    <n v="0"/>
    <n v="0"/>
    <n v="-6029133.3442718405"/>
    <n v="-1"/>
    <n v="0.13796057122414837"/>
    <e v="#DIV/0!"/>
    <n v="-1"/>
  </r>
  <r>
    <x v="236"/>
    <n v="53790769"/>
    <n v="7102112.818965517"/>
    <n v="4.4004025072846058E-2"/>
    <n v="0"/>
    <x v="236"/>
    <n v="8412520.1364019103"/>
    <n v="7075596.2266776804"/>
    <n v="1336923.9097242299"/>
    <n v="5685559"/>
    <n v="0"/>
    <n v="40163.793103448297"/>
    <n v="0"/>
    <n v="95169"/>
    <n v="0"/>
    <n v="522"/>
    <n v="0"/>
    <n v="206180"/>
    <n v="0"/>
    <n v="931011"/>
    <n v="0"/>
    <n v="80136"/>
    <n v="0"/>
    <n v="46712"/>
    <n v="0"/>
    <n v="15753"/>
    <n v="0"/>
    <n v="992.37068965517199"/>
    <n v="0"/>
    <n v="-85.344827586206904"/>
    <n v="0"/>
    <n v="0"/>
    <n v="0"/>
    <n v="-8412520.1364019103"/>
    <n v="-1"/>
    <n v="0.13203218602369335"/>
    <e v="#DIV/0!"/>
    <n v="-1"/>
  </r>
  <r>
    <x v="237"/>
    <n v="56826362"/>
    <n v="5768049.3017241377"/>
    <n v="4.8916902147512459E-2"/>
    <n v="0"/>
    <x v="237"/>
    <n v="9354046.4810934905"/>
    <n v="7838384.3182702204"/>
    <n v="1515662.1628232701"/>
    <n v="4516794"/>
    <n v="0"/>
    <n v="37898.275862069"/>
    <n v="0"/>
    <n v="51151"/>
    <n v="0"/>
    <n v="2199"/>
    <n v="0"/>
    <n v="144834"/>
    <n v="0"/>
    <n v="864251"/>
    <n v="0"/>
    <n v="85695"/>
    <n v="0"/>
    <n v="46707"/>
    <n v="0"/>
    <n v="16838"/>
    <n v="0"/>
    <n v="1079.4396551724101"/>
    <n v="0"/>
    <n v="602.58620689655197"/>
    <n v="0"/>
    <n v="0"/>
    <n v="0"/>
    <n v="-9354046.4810934905"/>
    <n v="-1"/>
    <n v="0.10150305419382888"/>
    <e v="#DIV/0!"/>
    <n v="-1"/>
  </r>
  <r>
    <x v="238"/>
    <n v="63734827"/>
    <n v="5054660.6293103443"/>
    <n v="3.9728333028024962E-2"/>
    <n v="0"/>
    <x v="238"/>
    <n v="7612671.9237513505"/>
    <n v="6180720.2253777403"/>
    <n v="1431951.6983736099"/>
    <n v="3868560"/>
    <n v="0"/>
    <n v="31270.689655172398"/>
    <n v="0"/>
    <n v="38622"/>
    <n v="0"/>
    <n v="4537"/>
    <n v="0"/>
    <n v="232069"/>
    <n v="0"/>
    <n v="646678"/>
    <n v="0"/>
    <n v="183692"/>
    <n v="0"/>
    <n v="35183"/>
    <n v="0"/>
    <n v="12747"/>
    <n v="0"/>
    <n v="1301.9396551724101"/>
    <n v="0"/>
    <n v="0"/>
    <n v="0"/>
    <n v="0"/>
    <n v="0"/>
    <n v="-7612671.9237513505"/>
    <n v="-1"/>
    <n v="7.9307670032749036E-2"/>
    <e v="#DIV/0!"/>
    <n v="-1"/>
  </r>
  <r>
    <x v="239"/>
    <n v="65931437"/>
    <n v="4667974.1982758613"/>
    <n v="3.4814758043913069E-2"/>
    <n v="0"/>
    <x v="239"/>
    <n v="6670038.5053026695"/>
    <n v="5429316.5206810199"/>
    <n v="1240721.9846216501"/>
    <n v="3565076"/>
    <n v="0"/>
    <n v="41705.172413793101"/>
    <n v="0"/>
    <n v="58290"/>
    <n v="0"/>
    <n v="-1718"/>
    <n v="0"/>
    <n v="175197"/>
    <n v="0"/>
    <n v="594390"/>
    <n v="0"/>
    <n v="186981"/>
    <n v="0"/>
    <n v="36599"/>
    <n v="0"/>
    <n v="9709"/>
    <n v="0"/>
    <n v="711.40517241379303"/>
    <n v="0"/>
    <n v="1033.6206896551701"/>
    <n v="0"/>
    <n v="0"/>
    <n v="0"/>
    <n v="-6670038.5053026695"/>
    <n v="-1"/>
    <n v="7.0800431640461001E-2"/>
    <e v="#DIV/0!"/>
    <n v="-1"/>
  </r>
  <r>
    <x v="240"/>
    <n v="86172681"/>
    <n v="3821966.4482758618"/>
    <n v="3.2151395353000503E-2"/>
    <n v="0"/>
    <x v="240"/>
    <n v="6161658.7453408297"/>
    <n v="4991715.1867080601"/>
    <n v="1169943.5586327701"/>
    <n v="2504987"/>
    <n v="0"/>
    <n v="48545.689655172398"/>
    <n v="0"/>
    <n v="23754"/>
    <n v="0"/>
    <n v="1397"/>
    <n v="0"/>
    <n v="164566"/>
    <n v="0"/>
    <n v="758218"/>
    <n v="0"/>
    <n v="270836"/>
    <n v="0"/>
    <n v="35654"/>
    <n v="0"/>
    <n v="13751"/>
    <n v="0"/>
    <n v="257.758620689655"/>
    <n v="0"/>
    <n v="0"/>
    <n v="0"/>
    <n v="0"/>
    <n v="0"/>
    <n v="-6161658.7453408297"/>
    <n v="-1"/>
    <n v="4.4352414290973051E-2"/>
    <e v="#DIV/0!"/>
    <n v="-1"/>
  </r>
  <r>
    <x v="241"/>
    <n v="82032386"/>
    <n v="4134668.9913793104"/>
    <n v="2.632438592951248E-2"/>
    <n v="0"/>
    <x v="241"/>
    <n v="5088951.2944574002"/>
    <n v="3567368.0222272598"/>
    <n v="1521583.2722301399"/>
    <n v="2787596"/>
    <n v="0"/>
    <n v="44080.172413793101"/>
    <n v="0"/>
    <n v="9613"/>
    <n v="0"/>
    <n v="3315"/>
    <n v="0"/>
    <n v="201703"/>
    <n v="0"/>
    <n v="650854"/>
    <n v="0"/>
    <n v="373478"/>
    <n v="0"/>
    <n v="47088"/>
    <n v="0"/>
    <n v="16121"/>
    <n v="0"/>
    <n v="820.81896551724105"/>
    <n v="0"/>
    <n v="0"/>
    <n v="0"/>
    <n v="0"/>
    <n v="0"/>
    <n v="-5088951.2944574002"/>
    <n v="-1"/>
    <n v="5.0402885896544694E-2"/>
    <e v="#DIV/0!"/>
    <n v="-1"/>
  </r>
  <r>
    <x v="242"/>
    <n v="31649055"/>
    <n v="4990529.0517241387"/>
    <n v="2.8478173132304021E-2"/>
    <n v="0"/>
    <x v="242"/>
    <n v="5496657.1747764302"/>
    <n v="3961469.0685033901"/>
    <n v="1535188.1062730399"/>
    <n v="3909270"/>
    <n v="0"/>
    <n v="26356.896551724101"/>
    <n v="0"/>
    <n v="17828"/>
    <n v="0"/>
    <n v="10082"/>
    <n v="0"/>
    <n v="117359"/>
    <n v="0"/>
    <n v="480576"/>
    <n v="0"/>
    <n v="371920"/>
    <n v="0"/>
    <n v="38723"/>
    <n v="0"/>
    <n v="18027"/>
    <n v="0"/>
    <n v="387.15517241379303"/>
    <n v="0"/>
    <n v="0"/>
    <n v="0"/>
    <n v="0"/>
    <n v="0"/>
    <n v="-5496657.1747764302"/>
    <n v="-1"/>
    <n v="0.15768335110555873"/>
    <e v="#DIV/0!"/>
    <n v="-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x v="0"/>
    <n v="-29064"/>
    <n v="-29107"/>
    <n v="-3.3795058862703904E-4"/>
    <n v="1767787"/>
    <x v="0"/>
    <n v="-36578.827797188496"/>
    <n v="-91461.011238662599"/>
    <n v="54882.183441474102"/>
    <n v="-70516"/>
    <n v="1117875"/>
    <n v="0"/>
    <n v="17319"/>
    <n v="-1214"/>
    <n v="0"/>
    <n v="0"/>
    <n v="1884"/>
    <n v="0"/>
    <n v="0"/>
    <n v="-35912"/>
    <n v="511381"/>
    <n v="79921"/>
    <n v="78269"/>
    <n v="-1386"/>
    <n v="31357"/>
    <n v="0"/>
    <n v="7591"/>
    <m/>
    <n v="2016"/>
    <n v="0"/>
    <n v="0"/>
    <n v="1767692"/>
    <n v="-48.325550774917602"/>
    <n v="1804270.8277971884"/>
    <n v="-0.49927091429544146"/>
    <n v="9.9204946942109018E-2"/>
    <n v="0.99994626049405277"/>
    <n v="-0.95032252797750527"/>
  </r>
  <r>
    <x v="1"/>
    <n v="35585285"/>
    <n v="3530236.3103448278"/>
    <n v="4.0988265333891542E-2"/>
    <n v="37878399"/>
    <x v="1"/>
    <n v="4512263.3008681601"/>
    <n v="3388095.96883546"/>
    <n v="1124167.3320327001"/>
    <n v="2533552"/>
    <n v="1824628"/>
    <n v="48254.310344827602"/>
    <n v="32072"/>
    <n v="21696"/>
    <n v="15461"/>
    <n v="5984"/>
    <n v="5339"/>
    <n v="47691"/>
    <n v="100874"/>
    <n v="671816"/>
    <n v="906403"/>
    <n v="116771"/>
    <n v="134485"/>
    <n v="84472"/>
    <n v="28403"/>
    <n v="0"/>
    <n v="8334"/>
    <n v="0"/>
    <n v="1412"/>
    <n v="0"/>
    <n v="0"/>
    <n v="3057411"/>
    <n v="0.67757814563076446"/>
    <n v="-1454852.3008681601"/>
    <n v="0.44064509957862086"/>
    <n v="4.7098927499513062E-2"/>
    <n v="8.0716479067660704E-2"/>
    <n v="-0.15936819988512507"/>
  </r>
  <r>
    <x v="2"/>
    <n v="45059441"/>
    <n v="2122251.3448275863"/>
    <n v="2.4640673762291131E-2"/>
    <n v="45280774"/>
    <x v="2"/>
    <n v="2715709.2287748121"/>
    <n v="1721884.99003478"/>
    <n v="993824.23874003196"/>
    <n v="1249824"/>
    <n v="1844500"/>
    <n v="33610.344827586203"/>
    <n v="30385"/>
    <n v="21922"/>
    <n v="4998"/>
    <n v="4267"/>
    <n v="903"/>
    <n v="40797"/>
    <n v="60781"/>
    <n v="650641"/>
    <n v="517553"/>
    <n v="73651"/>
    <n v="118746"/>
    <n v="47539"/>
    <n v="27889"/>
    <n v="0"/>
    <n v="13091"/>
    <n v="0"/>
    <n v="688"/>
    <n v="0"/>
    <n v="0"/>
    <n v="2619534"/>
    <n v="0.96458559415869372"/>
    <n v="-96175.228774812073"/>
    <n v="0.99679850842739448"/>
    <n v="2.4863123636672625E-2"/>
    <n v="5.7850910410674521E-2"/>
    <n v="-0.1418173397770226"/>
  </r>
  <r>
    <x v="3"/>
    <n v="52763562"/>
    <n v="1311866.9655172415"/>
    <n v="1.5231601099286058E-2"/>
    <n v="49319936"/>
    <x v="3"/>
    <n v="1677704.5316270911"/>
    <n v="1166795.35022248"/>
    <n v="510909.18140461098"/>
    <n v="805491"/>
    <n v="1894237"/>
    <n v="33443.965517241399"/>
    <n v="35794"/>
    <n v="-972"/>
    <n v="2820"/>
    <n v="125"/>
    <n v="1256"/>
    <n v="76993"/>
    <n v="34216"/>
    <n v="272764"/>
    <n v="181111"/>
    <n v="79911"/>
    <n v="111132"/>
    <n v="44111"/>
    <n v="24171"/>
    <n v="0"/>
    <n v="11093"/>
    <n v="0"/>
    <n v="0"/>
    <n v="0"/>
    <n v="0"/>
    <n v="2295830"/>
    <n v="1.3684352379816433"/>
    <n v="618125.46837290889"/>
    <n v="0.25859475988907188"/>
    <n v="3.6651870994486441E-2"/>
    <n v="4.6549735993169174E-2"/>
    <n v="-9.0200988345000566E-3"/>
  </r>
  <r>
    <x v="4"/>
    <n v="49768856"/>
    <n v="1824121.6896551724"/>
    <n v="2.1179200836441904E-2"/>
    <n v="42820052"/>
    <x v="4"/>
    <n v="2331411.9850357091"/>
    <n v="1764555.7592998201"/>
    <n v="566856.22573588905"/>
    <n v="1228466"/>
    <n v="2243868"/>
    <n v="26220.689655172398"/>
    <n v="29134"/>
    <n v="6650"/>
    <n v="10063"/>
    <n v="4220"/>
    <n v="4612"/>
    <n v="118329"/>
    <n v="91070"/>
    <n v="311434"/>
    <n v="1061982"/>
    <n v="74826"/>
    <n v="81808"/>
    <n v="53976"/>
    <n v="39071"/>
    <n v="0"/>
    <n v="9717"/>
    <n v="0"/>
    <n v="11108"/>
    <n v="0"/>
    <n v="0"/>
    <n v="3582433"/>
    <n v="1.5365937135924648"/>
    <n v="1251021.0149642909"/>
    <n v="0.14221213563707935"/>
    <n v="0.13734875221439025"/>
    <n v="8.3662509330908796E-2"/>
    <n v="0.87516980841892411"/>
  </r>
  <r>
    <x v="5"/>
    <n v="22835293"/>
    <n v="3136399"/>
    <n v="3.6415566297428682E-2"/>
    <n v="22329279"/>
    <x v="5"/>
    <n v="4010122.98131203"/>
    <n v="2882759.7789909402"/>
    <n v="1127363.20232109"/>
    <n v="2147376"/>
    <n v="2374462"/>
    <n v="18700"/>
    <n v="21733"/>
    <n v="36331"/>
    <n v="67853"/>
    <n v="-500"/>
    <n v="-114"/>
    <n v="58951"/>
    <n v="66697"/>
    <n v="714238"/>
    <n v="650825"/>
    <n v="83712"/>
    <n v="87785"/>
    <n v="77591"/>
    <n v="32894"/>
    <n v="0"/>
    <n v="14047"/>
    <n v="0"/>
    <n v="11280"/>
    <n v="0"/>
    <n v="1120"/>
    <n v="3328582"/>
    <n v="0.8300448678287059"/>
    <n v="-681540.98131203"/>
    <n v="0.13904915701476583"/>
    <n v="0.12331394465472259"/>
    <n v="0.14906804648730484"/>
    <n v="-5.7741427374984999E-2"/>
  </r>
  <r>
    <x v="6"/>
    <n v="23697613"/>
    <n v="2922246.1379310344"/>
    <n v="3.39291167906993E-2"/>
    <n v="23046004"/>
    <x v="6"/>
    <n v="3730440.5306519461"/>
    <n v="3282709.6617250899"/>
    <n v="447730.86892685603"/>
    <n v="2444768"/>
    <n v="2461726"/>
    <n v="20049.1379310345"/>
    <n v="24949"/>
    <n v="54064"/>
    <n v="16759"/>
    <n v="-344"/>
    <n v="5667"/>
    <n v="55989"/>
    <n v="41847"/>
    <n v="209116"/>
    <n v="438746"/>
    <n v="80417"/>
    <n v="113224"/>
    <n v="58187"/>
    <n v="5778"/>
    <n v="0"/>
    <n v="10555"/>
    <n v="0"/>
    <n v="14781"/>
    <n v="0"/>
    <n v="0"/>
    <n v="3134032"/>
    <n v="0.84012383369968491"/>
    <n v="-596408.53065194609"/>
    <n v="-3.413856918982805E-2"/>
    <n v="0.12075113730590367"/>
    <n v="0.13599025670567444"/>
    <n v="-0.14237336500763365"/>
  </r>
  <r>
    <x v="7"/>
    <n v="26871838"/>
    <n v="3244805"/>
    <n v="3.7674228183253493E-2"/>
    <n v="26562197"/>
    <x v="7"/>
    <n v="4145459.9903342789"/>
    <n v="3314567.1934480299"/>
    <n v="830892.79688624898"/>
    <n v="2443314"/>
    <n v="2651325"/>
    <n v="26275"/>
    <n v="23867"/>
    <n v="56169"/>
    <n v="32696"/>
    <n v="3661"/>
    <n v="1757"/>
    <n v="70092"/>
    <n v="21864"/>
    <n v="538812"/>
    <n v="443664"/>
    <n v="68361"/>
    <n v="108455"/>
    <n v="38121"/>
    <n v="25645"/>
    <n v="0"/>
    <n v="3530"/>
    <n v="0"/>
    <n v="21246"/>
    <n v="0"/>
    <n v="947"/>
    <n v="3334996"/>
    <n v="0.80449359245439844"/>
    <n v="-810463.9903342789"/>
    <n v="0.32317466696803576"/>
    <n v="8.9849805819880682E-2"/>
    <n v="0.12555422279264022"/>
    <n v="-5.3102442526272053E-2"/>
  </r>
  <r>
    <x v="8"/>
    <n v="28051817"/>
    <n v="2520450.3103448278"/>
    <n v="2.9264014360333865E-2"/>
    <n v="26952477"/>
    <x v="8"/>
    <n v="3216481.4532837071"/>
    <n v="2937064.2735133902"/>
    <n v="279417.17977031699"/>
    <n v="2184366"/>
    <n v="1967914"/>
    <n v="24654.310344827602"/>
    <n v="27977"/>
    <n v="59780"/>
    <n v="732"/>
    <n v="2734"/>
    <n v="3382"/>
    <n v="31913"/>
    <n v="81797"/>
    <n v="73729"/>
    <n v="357183"/>
    <n v="68117"/>
    <n v="88348"/>
    <n v="75157"/>
    <n v="22372"/>
    <n v="0"/>
    <n v="11805"/>
    <n v="0"/>
    <n v="15175"/>
    <n v="0"/>
    <n v="689"/>
    <n v="2577374"/>
    <n v="0.80130230422089266"/>
    <n v="-639107.45328370715"/>
    <n v="0.13099388728805006"/>
    <n v="7.940374639091588E-2"/>
    <n v="9.5626609754643335E-2"/>
    <n v="-6.0876966920436537E-2"/>
  </r>
  <r>
    <x v="9"/>
    <n v="28699623"/>
    <n v="2278857.5862068962"/>
    <n v="2.645897078557783E-2"/>
    <n v="35436338"/>
    <x v="9"/>
    <n v="2907315.8971540579"/>
    <n v="2742553.4611221598"/>
    <n v="164762.43603189799"/>
    <n v="2007643"/>
    <n v="1571666"/>
    <n v="26027.5862068965"/>
    <n v="27994"/>
    <n v="69118"/>
    <n v="71315"/>
    <n v="2178"/>
    <n v="-96"/>
    <n v="45932"/>
    <n v="34126"/>
    <n v="27229"/>
    <n v="488987"/>
    <n v="63746"/>
    <n v="120073"/>
    <n v="36984"/>
    <n v="23228"/>
    <n v="0"/>
    <n v="6392"/>
    <n v="0"/>
    <n v="-1487"/>
    <n v="0"/>
    <n v="689"/>
    <n v="2342887"/>
    <n v="0.80585910952897422"/>
    <n v="-564428.89715405786"/>
    <n v="2.4056750193658161E-2"/>
    <n v="5.7045662063983836E-2"/>
    <n v="6.6115381335396448E-2"/>
    <n v="-0.11642352920055743"/>
  </r>
  <r>
    <x v="10"/>
    <n v="40105570"/>
    <n v="2287848.7931034481"/>
    <n v="2.656336435630505E-2"/>
    <n v="37766104"/>
    <x v="10"/>
    <n v="2924099.1380594317"/>
    <n v="2213442.91315501"/>
    <n v="710656.22490442195"/>
    <n v="1623013"/>
    <n v="1877762"/>
    <n v="27638.793103448301"/>
    <n v="29948"/>
    <n v="37575"/>
    <n v="-1145"/>
    <n v="943"/>
    <n v="2935"/>
    <n v="46764"/>
    <n v="32600"/>
    <n v="466722"/>
    <n v="182133"/>
    <n v="44669"/>
    <n v="111049"/>
    <n v="40524"/>
    <n v="31695"/>
    <n v="0"/>
    <n v="9041"/>
    <n v="0"/>
    <n v="1612"/>
    <n v="0"/>
    <n v="947"/>
    <n v="2278577"/>
    <n v="0.77924067975074529"/>
    <n v="-645522.13805943169"/>
    <n v="-0.21026597193598584"/>
    <n v="6.94730620038988E-2"/>
    <n v="6.0333917419705244E-2"/>
    <n v="-9.0640166515014831E-2"/>
  </r>
  <r>
    <x v="11"/>
    <n v="41530429"/>
    <n v="2885246.068965517"/>
    <n v="3.3499522703842613E-2"/>
    <n v="22002628"/>
    <x v="11"/>
    <n v="3687836.1608523969"/>
    <n v="2770711.5214145798"/>
    <n v="917124.63943781704"/>
    <n v="2046304"/>
    <n v="2815225"/>
    <n v="27737.068965517199"/>
    <n v="28391"/>
    <n v="14675"/>
    <n v="25098"/>
    <n v="-1465"/>
    <n v="689"/>
    <n v="85731"/>
    <n v="78900"/>
    <n v="581035"/>
    <n v="1028542"/>
    <n v="51721"/>
    <n v="130772"/>
    <n v="79508"/>
    <n v="38266"/>
    <n v="0"/>
    <n v="9160"/>
    <n v="0"/>
    <n v="15529"/>
    <n v="0"/>
    <n v="0"/>
    <n v="4170572"/>
    <n v="1.1308994809129549"/>
    <n v="482735.83914760314"/>
    <n v="-1.3654924009407599E-2"/>
    <n v="0.16820643360770607"/>
    <n v="0.18954881207826629"/>
    <n v="-0.124713124182525"/>
  </r>
  <r>
    <x v="12"/>
    <n v="25137619"/>
    <n v="4228309.2413793104"/>
    <n v="4.9093331398676845E-2"/>
    <n v="24135120"/>
    <x v="12"/>
    <n v="5407470.0200807396"/>
    <n v="3758578.6426933599"/>
    <n v="1648891.37738738"/>
    <n v="2797894"/>
    <n v="3308864"/>
    <n v="21892.241379310301"/>
    <n v="29276"/>
    <n v="62339"/>
    <n v="24647"/>
    <n v="7660"/>
    <n v="3108"/>
    <n v="57950"/>
    <n v="43565"/>
    <n v="1124689"/>
    <n v="536006"/>
    <n v="34111"/>
    <n v="110255"/>
    <n v="121774"/>
    <n v="39605"/>
    <n v="0"/>
    <n v="8501"/>
    <n v="0"/>
    <n v="11906"/>
    <n v="0"/>
    <n v="0"/>
    <n v="4115733"/>
    <n v="0.76111989242957423"/>
    <n v="-1291737.0200807396"/>
    <n v="1.5798528426369973E-2"/>
    <n v="0.15045566684290435"/>
    <n v="0.17052879786800315"/>
    <n v="-0.10377222566988564"/>
  </r>
  <r>
    <x v="13"/>
    <n v="26929672"/>
    <n v="4051721.7586206896"/>
    <n v="4.7043039587688316E-2"/>
    <n v="26317522"/>
    <x v="13"/>
    <n v="5176861.7710896097"/>
    <n v="4086946.3913297802"/>
    <n v="1089915.37975983"/>
    <n v="3014987"/>
    <n v="3212173"/>
    <n v="25132.758620689601"/>
    <n v="27929"/>
    <n v="88823"/>
    <n v="49002"/>
    <n v="264"/>
    <n v="2343"/>
    <n v="76057"/>
    <n v="31865"/>
    <n v="657218"/>
    <n v="514044"/>
    <n v="100302"/>
    <n v="119118"/>
    <n v="88938"/>
    <n v="41245"/>
    <n v="0"/>
    <n v="5948"/>
    <n v="0"/>
    <n v="15693"/>
    <n v="0"/>
    <n v="0"/>
    <n v="4019360"/>
    <n v="0.77640859998354128"/>
    <n v="-1157501.7710896097"/>
    <n v="-1.9482148014491329E-3"/>
    <n v="0.13257363870486771"/>
    <n v="0.15272562515574226"/>
    <n v="-0.13364010365168211"/>
  </r>
  <r>
    <x v="14"/>
    <n v="30377124"/>
    <n v="4027205.8620689656"/>
    <n v="4.6758394599528262E-2"/>
    <n v="30903967"/>
    <x v="14"/>
    <n v="5143957.0845599538"/>
    <n v="4222888.4682110501"/>
    <n v="921068.61634890398"/>
    <n v="3145541"/>
    <n v="2833552"/>
    <n v="28275.8620689655"/>
    <n v="36431"/>
    <n v="68859"/>
    <n v="39316"/>
    <n v="5179"/>
    <n v="1033"/>
    <n v="64024"/>
    <n v="49218"/>
    <n v="635340"/>
    <n v="512619"/>
    <n v="1022"/>
    <n v="120851"/>
    <n v="78965"/>
    <n v="38749"/>
    <n v="0"/>
    <n v="11568"/>
    <n v="0"/>
    <n v="6953"/>
    <n v="0"/>
    <n v="947"/>
    <n v="3651237"/>
    <n v="0.70981093737339174"/>
    <n v="-1492720.0845599538"/>
    <n v="-7.9351619519181127E-2"/>
    <n v="0.11528328710943882"/>
    <n v="0.11814784166705847"/>
    <n v="-0.10167320810734404"/>
  </r>
  <r>
    <x v="15"/>
    <n v="34401698"/>
    <n v="3965940.8275862071"/>
    <n v="4.6047068991746487E-2"/>
    <n v="32703579"/>
    <x v="15"/>
    <n v="5071028.3538970798"/>
    <n v="3617419.8450337602"/>
    <n v="1453608.5088633201"/>
    <n v="2652789"/>
    <n v="2640237"/>
    <n v="24219.827586206899"/>
    <n v="35873"/>
    <n v="86898"/>
    <n v="-6459"/>
    <n v="9752"/>
    <n v="3002"/>
    <n v="63370"/>
    <n v="52074"/>
    <n v="467016"/>
    <n v="435351"/>
    <n v="578857"/>
    <n v="150561"/>
    <n v="83039"/>
    <n v="53754"/>
    <n v="0"/>
    <n v="6324"/>
    <n v="0"/>
    <n v="8858"/>
    <n v="0"/>
    <n v="947"/>
    <n v="3380522"/>
    <n v="0.66663441102672449"/>
    <n v="-1690506.3538970798"/>
    <n v="0.38939152347505024"/>
    <n v="7.3679759498603212E-2"/>
    <n v="0.10336856403392423"/>
    <n v="-9.6599071895485666E-3"/>
  </r>
  <r>
    <x v="16"/>
    <n v="33022574"/>
    <n v="2433095.3103448274"/>
    <n v="2.8249767833054683E-2"/>
    <n v="45086574"/>
    <x v="16"/>
    <n v="3109301.8861852051"/>
    <n v="2398359.80986901"/>
    <n v="710942.07631619496"/>
    <n v="1736223"/>
    <n v="2128824"/>
    <n v="19429.310344827602"/>
    <n v="41848"/>
    <n v="37364"/>
    <n v="39673"/>
    <n v="4728"/>
    <n v="3597"/>
    <n v="83214"/>
    <n v="57603"/>
    <n v="307736"/>
    <n v="457229"/>
    <n v="197102"/>
    <n v="118233"/>
    <n v="47299"/>
    <n v="37402"/>
    <n v="0"/>
    <n v="6671"/>
    <n v="0"/>
    <n v="930"/>
    <n v="0"/>
    <n v="0"/>
    <n v="2892010"/>
    <n v="0.9301155390698328"/>
    <n v="-217291.88618520508"/>
    <n v="-0.14007765440637321"/>
    <n v="7.4387092788570072E-2"/>
    <n v="6.4143485375491166E-2"/>
    <n v="-2.7494929815679026E-3"/>
  </r>
  <r>
    <x v="17"/>
    <n v="45210881"/>
    <n v="3363106"/>
    <n v="3.9047777246542986E-2"/>
    <n v="44463837"/>
    <x v="17"/>
    <n v="4296573.7917584404"/>
    <n v="3437831.0841278601"/>
    <n v="858742.70763057994"/>
    <n v="2580220"/>
    <n v="2552466"/>
    <n v="28300"/>
    <n v="37032"/>
    <n v="17517"/>
    <n v="-1059"/>
    <n v="6155"/>
    <n v="2557"/>
    <n v="63991"/>
    <n v="43820"/>
    <n v="488099"/>
    <n v="167676"/>
    <n v="140441"/>
    <n v="113618"/>
    <n v="38383"/>
    <n v="53156"/>
    <n v="0"/>
    <n v="3354"/>
    <n v="0"/>
    <n v="586"/>
    <n v="0"/>
    <n v="0"/>
    <n v="2973206"/>
    <n v="0.69199463202589817"/>
    <n v="-1323367.7917584404"/>
    <n v="0.15947741726666975"/>
    <n v="6.0481443791329512E-2"/>
    <n v="6.6867958336569111E-2"/>
    <n v="4.8736494791087992E-2"/>
  </r>
  <r>
    <x v="18"/>
    <n v="42397530"/>
    <n v="2564263.8275862066"/>
    <n v="2.9772716869748951E-2"/>
    <n v="25877600"/>
    <x v="18"/>
    <n v="3274810.033961595"/>
    <n v="2742589.4709522198"/>
    <n v="532220.56300937501"/>
    <n v="2028149"/>
    <n v="3650682"/>
    <n v="25069.827586206899"/>
    <n v="29279"/>
    <n v="22533"/>
    <n v="39416"/>
    <n v="9941"/>
    <n v="1876"/>
    <n v="65234"/>
    <n v="66465"/>
    <n v="193047"/>
    <n v="827888"/>
    <n v="170098"/>
    <n v="129619"/>
    <n v="50192"/>
    <n v="40872"/>
    <n v="0"/>
    <n v="7344"/>
    <n v="0"/>
    <n v="6161"/>
    <n v="0"/>
    <n v="861"/>
    <n v="4800463"/>
    <n v="1.4658752569512545"/>
    <n v="1525652.966038405"/>
    <n v="0.2183948127082882"/>
    <n v="0.16207265010517771"/>
    <n v="0.18550649982996878"/>
    <n v="6.4482788209734965E-2"/>
  </r>
  <r>
    <x v="19"/>
    <n v="24310022"/>
    <n v="3939989.6896551722"/>
    <n v="4.5745759947896737E-2"/>
    <n v="26671750"/>
    <x v="19"/>
    <n v="5033500.0450277738"/>
    <n v="4035457.5665356298"/>
    <n v="998042.47849214403"/>
    <n v="3051836"/>
    <n v="3539014"/>
    <n v="24870.689655172398"/>
    <n v="35261"/>
    <n v="62489"/>
    <n v="50393"/>
    <n v="2112"/>
    <n v="1403"/>
    <n v="23575"/>
    <n v="82775"/>
    <n v="601975"/>
    <n v="541048"/>
    <n v="119622"/>
    <n v="103829"/>
    <n v="47661"/>
    <n v="59350"/>
    <n v="5849"/>
    <n v="5233"/>
    <n v="0"/>
    <n v="8443"/>
    <n v="0"/>
    <n v="0"/>
    <n v="4426749"/>
    <n v="0.87945742731697429"/>
    <n v="-606751.04502777383"/>
    <n v="7.2818113938435181E-2"/>
    <n v="0.16321942835556549"/>
    <n v="0.16597144919249768"/>
    <n v="5.5029404987821717E-2"/>
  </r>
  <r>
    <x v="20"/>
    <n v="25280575"/>
    <n v="4126281"/>
    <n v="4.7908719304310551E-2"/>
    <n v="28758026"/>
    <x v="20"/>
    <n v="5274251.9281716105"/>
    <n v="3946053.64431941"/>
    <n v="1328198.2838522"/>
    <n v="2969811"/>
    <n v="3499850"/>
    <n v="20875"/>
    <n v="30801"/>
    <n v="56684"/>
    <n v="35803"/>
    <n v="6612"/>
    <n v="5841"/>
    <n v="40784"/>
    <n v="48687"/>
    <n v="884541"/>
    <n v="482866"/>
    <n v="85285"/>
    <n v="118197"/>
    <n v="44091"/>
    <n v="45226"/>
    <n v="17598"/>
    <n v="2767"/>
    <n v="0"/>
    <n v="9702"/>
    <n v="0"/>
    <n v="0"/>
    <n v="4279740"/>
    <n v="0.81144019252103283"/>
    <n v="-994511.92817161046"/>
    <n v="0.23412692754306108"/>
    <n v="0.12693205599114116"/>
    <n v="0.14881897665715998"/>
    <n v="5.2622936844620938E-2"/>
  </r>
  <r>
    <x v="21"/>
    <n v="27320349"/>
    <n v="3467828.068965517"/>
    <n v="4.0263666374558166E-2"/>
    <n v="30590251"/>
    <x v="21"/>
    <n v="4428192.7170130024"/>
    <n v="3765420.4664375"/>
    <n v="662772.25057550205"/>
    <n v="2805417"/>
    <n v="2626517"/>
    <n v="19287.068965517199"/>
    <n v="29293"/>
    <n v="90551"/>
    <n v="89330"/>
    <n v="1592"/>
    <n v="878"/>
    <n v="36254"/>
    <n v="73394"/>
    <n v="374553"/>
    <n v="421869"/>
    <n v="69855"/>
    <n v="87416"/>
    <n v="52088"/>
    <n v="44135"/>
    <n v="18231"/>
    <n v="5521"/>
    <n v="0"/>
    <n v="12903"/>
    <n v="0"/>
    <n v="0"/>
    <n v="3391256"/>
    <n v="0.76583297447079979"/>
    <n v="-1036936.7170130024"/>
    <n v="0.46494247318480597"/>
    <n v="8.0202948521850087E-2"/>
    <n v="0.11086067910982489"/>
    <n v="5.9823074400597642E-2"/>
  </r>
  <r>
    <x v="22"/>
    <n v="28863545"/>
    <n v="2314941.4137931033"/>
    <n v="2.6877926733379916E-2"/>
    <n v="31338795"/>
    <x v="22"/>
    <n v="2956642.8508414202"/>
    <n v="2451396.6176754502"/>
    <n v="505246.23316597001"/>
    <n v="1788443"/>
    <n v="2207677"/>
    <n v="22197.413793103398"/>
    <n v="27000"/>
    <n v="61174"/>
    <n v="50125"/>
    <n v="1316"/>
    <n v="1962"/>
    <n v="49423"/>
    <n v="62478"/>
    <n v="276672"/>
    <n v="395456"/>
    <n v="49661"/>
    <n v="87113"/>
    <n v="52812"/>
    <n v="29785"/>
    <n v="13243"/>
    <n v="3177"/>
    <n v="0"/>
    <n v="1034"/>
    <n v="0"/>
    <n v="947"/>
    <n v="2866754"/>
    <n v="0.9695976635068253"/>
    <n v="-89888.850841420237"/>
    <n v="0.4456803127485105"/>
    <n v="6.2174082952338339E-2"/>
    <n v="9.1476203855317351E-2"/>
    <n v="-1.7407326723434702E-2"/>
  </r>
  <r>
    <x v="23"/>
    <n v="31893984"/>
    <n v="1982979.2068965517"/>
    <n v="2.3023636589338259E-2"/>
    <n v="40446079"/>
    <x v="23"/>
    <n v="2533154.491659618"/>
    <n v="2049687.0457852299"/>
    <n v="483467.44587438798"/>
    <n v="1462778"/>
    <n v="1954073"/>
    <n v="19311.206896551699"/>
    <n v="30833"/>
    <n v="70610"/>
    <n v="29064"/>
    <n v="2246"/>
    <n v="1720"/>
    <n v="52560"/>
    <n v="60413"/>
    <n v="296224"/>
    <n v="400858"/>
    <n v="49215"/>
    <n v="71989"/>
    <n v="15576"/>
    <n v="36844"/>
    <n v="14459"/>
    <n v="3208"/>
    <n v="0"/>
    <n v="0"/>
    <n v="0"/>
    <n v="0"/>
    <n v="2589002"/>
    <n v="1.0220466254720189"/>
    <n v="55847.508340382017"/>
    <n v="0.63732854987748655"/>
    <n v="3.9850527150980357E-2"/>
    <n v="6.4011198712241049E-2"/>
    <n v="1.9327979238270787E-2"/>
  </r>
  <r>
    <x v="24"/>
    <n v="39679161"/>
    <n v="1581235.4827586208"/>
    <n v="1.835913911279885E-2"/>
    <n v="40762958"/>
    <x v="24"/>
    <n v="2021056.664635597"/>
    <n v="1521692.2749335"/>
    <n v="499364.38970209699"/>
    <n v="1103959"/>
    <n v="2194390"/>
    <n v="21284.482758620699"/>
    <n v="31112"/>
    <n v="11116"/>
    <n v="5527"/>
    <n v="430"/>
    <n v="1670"/>
    <n v="56626"/>
    <n v="80142"/>
    <n v="295266"/>
    <n v="329347"/>
    <n v="41484"/>
    <n v="91250"/>
    <n v="39494"/>
    <n v="31562"/>
    <n v="11576"/>
    <n v="3487"/>
    <n v="0"/>
    <n v="1118"/>
    <n v="0"/>
    <n v="0"/>
    <n v="2769605"/>
    <n v="1.3703747393442671"/>
    <n v="748548.33536440297"/>
    <n v="0.39243008797744872"/>
    <n v="5.274575340215281E-2"/>
    <n v="6.7944161461491584E-2"/>
    <n v="8.0957840532367653E-2"/>
  </r>
  <r>
    <x v="25"/>
    <n v="37710035"/>
    <n v="1989044.2068965517"/>
    <n v="2.309405505637447E-2"/>
    <n v="22718693"/>
    <x v="25"/>
    <n v="2539442.467794071"/>
    <n v="2204317.74082126"/>
    <n v="335124.72697281098"/>
    <n v="1640079"/>
    <n v="3117837"/>
    <n v="18636.206896551699"/>
    <n v="23290"/>
    <n v="20959"/>
    <n v="4291"/>
    <n v="6107"/>
    <n v="1531"/>
    <n v="42996"/>
    <n v="43342"/>
    <n v="181222"/>
    <n v="517922"/>
    <n v="38455"/>
    <n v="78533"/>
    <n v="33258"/>
    <n v="42966"/>
    <n v="7332"/>
    <n v="8314"/>
    <n v="0"/>
    <n v="10462"/>
    <n v="0"/>
    <n v="1378"/>
    <n v="3849866"/>
    <n v="1.5160280450630765"/>
    <n v="1310423.532205929"/>
    <n v="0.22874839525266855"/>
    <n v="0.13755661359750712"/>
    <n v="0.16945807577927127"/>
    <n v="-2.5705919469449778E-3"/>
  </r>
  <r>
    <x v="26"/>
    <n v="22777244"/>
    <n v="3133160.5517241377"/>
    <n v="3.6377965874813303E-2"/>
    <n v="24708209"/>
    <x v="26"/>
    <n v="4004192.1455097869"/>
    <n v="3061733.6027988298"/>
    <n v="942458.542710957"/>
    <n v="2287434"/>
    <n v="3426615"/>
    <n v="20571.551724137898"/>
    <n v="27817"/>
    <n v="48184"/>
    <n v="57382"/>
    <n v="6325"/>
    <n v="5403"/>
    <n v="38707"/>
    <n v="52302"/>
    <n v="428538"/>
    <n v="411232"/>
    <n v="34661"/>
    <n v="82440"/>
    <n v="41258"/>
    <n v="37763"/>
    <n v="227482"/>
    <n v="5270"/>
    <n v="0"/>
    <n v="1490"/>
    <n v="0"/>
    <n v="0"/>
    <n v="4107714"/>
    <n v="1.0258533683520408"/>
    <n v="103521.8544902131"/>
    <n v="0.30908557788406954"/>
    <n v="0.12911391243744394"/>
    <n v="0.1662489579880112"/>
    <n v="1.667500790130183E-2"/>
  </r>
  <r>
    <x v="27"/>
    <n v="24302957"/>
    <n v="3137849.8620689656"/>
    <n v="3.6432411719156226E-2"/>
    <n v="25710859"/>
    <x v="27"/>
    <n v="4005238.3203741871"/>
    <n v="3569081.8583861999"/>
    <n v="436156.46198798699"/>
    <n v="2625912"/>
    <n v="2794957"/>
    <n v="24700.8620689655"/>
    <n v="1396"/>
    <n v="92321"/>
    <n v="24203"/>
    <n v="6877"/>
    <n v="1791"/>
    <n v="49308"/>
    <n v="86934"/>
    <n v="276028"/>
    <n v="411456"/>
    <n v="43571"/>
    <n v="58025"/>
    <n v="14912"/>
    <n v="39072"/>
    <n v="4220"/>
    <n v="4163"/>
    <n v="0"/>
    <n v="4865"/>
    <n v="0"/>
    <n v="0"/>
    <n v="3426862"/>
    <n v="0.85559502978086144"/>
    <n v="-578376.32037418708"/>
    <n v="0.19070967743172274"/>
    <n v="0.10689573881845187"/>
    <n v="0.1332846172117392"/>
    <n v="-4.5037654381814063E-2"/>
  </r>
  <r>
    <x v="28"/>
    <n v="26923427"/>
    <n v="2877999.6206896552"/>
    <n v="3.3415386878773629E-2"/>
    <n v="28535339"/>
    <x v="28"/>
    <n v="3673363.8788741999"/>
    <n v="3293279.3602577699"/>
    <n v="380084.51861643"/>
    <n v="2418581"/>
    <n v="2450518"/>
    <n v="20333.620689655199"/>
    <n v="497"/>
    <n v="55131"/>
    <n v="6335"/>
    <n v="6277"/>
    <n v="6576"/>
    <n v="82493"/>
    <n v="61831"/>
    <n v="224454"/>
    <n v="318201"/>
    <n v="43095"/>
    <n v="69719"/>
    <n v="21531"/>
    <n v="44859"/>
    <n v="6104"/>
    <n v="6441"/>
    <n v="0"/>
    <n v="10362"/>
    <n v="0"/>
    <n v="0"/>
    <n v="2975339"/>
    <n v="0.80997665848227152"/>
    <n v="-698024.87887419993"/>
    <n v="0.16397907955130342"/>
    <n v="8.3151058018140225E-2"/>
    <n v="0.10426857028052129"/>
    <n v="-7.1761589179929697E-2"/>
  </r>
  <r>
    <x v="29"/>
    <n v="30741390"/>
    <n v="2556179.1034482759"/>
    <n v="2.9678848134348498E-2"/>
    <n v="32375122"/>
    <x v="29"/>
    <n v="3262796.9441023073"/>
    <n v="2905514.8698601602"/>
    <n v="357282.07424214698"/>
    <n v="2124088"/>
    <n v="1981506"/>
    <n v="20593.103448275899"/>
    <n v="23867"/>
    <n v="61017"/>
    <n v="19840"/>
    <n v="4303"/>
    <n v="1512"/>
    <n v="68703"/>
    <n v="79127"/>
    <n v="188379"/>
    <n v="341849"/>
    <n v="64182"/>
    <n v="52697"/>
    <n v="18890"/>
    <n v="28869"/>
    <n v="6024"/>
    <n v="3232"/>
    <n v="0"/>
    <n v="4079"/>
    <n v="0"/>
    <n v="0"/>
    <n v="2536578"/>
    <n v="0.77742441330436152"/>
    <n v="-726218.94410230732"/>
    <n v="7.8650300444107257E-2"/>
    <n v="6.4031004668086047E-2"/>
    <n v="7.8349604365969647E-2"/>
    <n v="-0.11847592617879743"/>
  </r>
  <r>
    <x v="30"/>
    <n v="36726305"/>
    <n v="2351622.2068965519"/>
    <n v="2.7303813826540225E-2"/>
    <n v="38921712"/>
    <x v="30"/>
    <n v="3002659.2343073953"/>
    <n v="2574832.3794489601"/>
    <n v="427826.85485843499"/>
    <n v="1896380"/>
    <n v="1742488"/>
    <n v="18311.206896551699"/>
    <n v="31058"/>
    <n v="57647"/>
    <n v="21274"/>
    <n v="630"/>
    <n v="662"/>
    <n v="46392"/>
    <n v="34276"/>
    <n v="251795"/>
    <n v="350135"/>
    <n v="49925"/>
    <n v="69841"/>
    <n v="25033"/>
    <n v="46260"/>
    <n v="5509"/>
    <n v="4173"/>
    <n v="0"/>
    <n v="418"/>
    <n v="0"/>
    <n v="0"/>
    <n v="2300585"/>
    <n v="0.76618251372459245"/>
    <n v="-702074.23430739529"/>
    <n v="0.29668857279889682"/>
    <n v="4.6944260201903065E-2"/>
    <n v="5.9108011487264488E-2"/>
    <n v="2.9844926781563919E-2"/>
  </r>
  <r>
    <x v="31"/>
    <n v="37793760"/>
    <n v="1774200.1034482759"/>
    <n v="2.2985735780986245E-2"/>
    <n v="37738958"/>
    <x v="31"/>
    <n v="2165003.3801577878"/>
    <n v="1726695.11515695"/>
    <n v="438308.26500083797"/>
    <n v="1345714"/>
    <n v="2180837"/>
    <n v="19268.103448275899"/>
    <n v="31669"/>
    <n v="24746"/>
    <n v="-2281"/>
    <n v="1652"/>
    <n v="715"/>
    <n v="52485"/>
    <n v="55760"/>
    <n v="259164"/>
    <n v="327974"/>
    <n v="40620"/>
    <n v="76980"/>
    <n v="24306"/>
    <n v="25893"/>
    <n v="6245"/>
    <n v="4383"/>
    <n v="0"/>
    <n v="774"/>
    <n v="0"/>
    <n v="0"/>
    <n v="2702704"/>
    <n v="1.2483601756792748"/>
    <n v="537700.61984221218"/>
    <n v="0.5647568275225805"/>
    <n v="5.5090669928898349E-2"/>
    <n v="7.1615755792727498E-2"/>
    <n v="0.2036946472160317"/>
  </r>
  <r>
    <x v="32"/>
    <n v="31352601"/>
    <n v="1727235.7931034483"/>
    <n v="2.2377287372813828E-2"/>
    <n v="33698919"/>
    <x v="32"/>
    <n v="2103380.961465802"/>
    <n v="1720370.9096490799"/>
    <n v="383010.05181672203"/>
    <n v="1308491"/>
    <n v="2671764"/>
    <n v="20338.793103448301"/>
    <n v="30355"/>
    <n v="36076"/>
    <n v="15499"/>
    <n v="6773"/>
    <n v="3214"/>
    <n v="66898"/>
    <n v="64407"/>
    <n v="214500"/>
    <n v="374619"/>
    <n v="45990"/>
    <n v="115869"/>
    <n v="25758"/>
    <n v="34782"/>
    <n v="2411"/>
    <n v="5635"/>
    <n v="0"/>
    <n v="-148"/>
    <n v="0"/>
    <n v="0"/>
    <n v="3315996"/>
    <n v="1.5765075660327132"/>
    <n v="1212615.038534198"/>
    <n v="0.3746834449610974"/>
    <n v="6.6206441467751315E-2"/>
    <n v="9.8400663831382837E-2"/>
    <n v="-7.5078404029252366E-2"/>
  </r>
  <r>
    <x v="33"/>
    <n v="36434352"/>
    <n v="2412188.7931034481"/>
    <n v="3.1251229297286756E-2"/>
    <n v="22551540"/>
    <x v="33"/>
    <n v="2922007.819726577"/>
    <n v="2544037.1818093001"/>
    <n v="377970.637917277"/>
    <n v="2010759"/>
    <n v="3181814"/>
    <n v="23738.793103448301"/>
    <n v="22774"/>
    <n v="37153"/>
    <n v="13358"/>
    <n v="756"/>
    <n v="6483"/>
    <n v="54921"/>
    <n v="67690"/>
    <n v="213227"/>
    <n v="395638"/>
    <n v="32459"/>
    <n v="87196"/>
    <n v="34007"/>
    <n v="25879"/>
    <n v="5168"/>
    <n v="4357"/>
    <n v="0"/>
    <n v="4453"/>
    <n v="0"/>
    <n v="0"/>
    <n v="3809642"/>
    <n v="1.3037754294430608"/>
    <n v="887634.18027342297"/>
    <n v="0.38293318112670693"/>
    <n v="0.12300746706274648"/>
    <n v="0.16893045885114719"/>
    <n v="6.9889638867066672E-3"/>
  </r>
  <r>
    <x v="34"/>
    <n v="22395022"/>
    <n v="2754754.931034483"/>
    <n v="3.5689361568100944E-2"/>
    <n v="25170911"/>
    <x v="34"/>
    <n v="3319448.0760512371"/>
    <n v="3065365.0201185001"/>
    <n v="254083.05593273701"/>
    <n v="2354728"/>
    <n v="3050065"/>
    <n v="23787.931034482801"/>
    <n v="23209"/>
    <n v="132035"/>
    <n v="39499"/>
    <n v="2563"/>
    <n v="6199"/>
    <n v="50149"/>
    <n v="60063"/>
    <n v="79913"/>
    <n v="318098"/>
    <n v="56003"/>
    <n v="80270"/>
    <n v="51486"/>
    <n v="22916"/>
    <n v="4090"/>
    <n v="4100"/>
    <n v="0"/>
    <n v="2376"/>
    <n v="0"/>
    <n v="0"/>
    <n v="3606795"/>
    <n v="1.0865646689947885"/>
    <n v="287346.92394876294"/>
    <n v="0.28456237872379608"/>
    <n v="0.10993904630214808"/>
    <n v="0.14329219153013573"/>
    <n v="-1.4436437014000103E-2"/>
  </r>
  <r>
    <x v="35"/>
    <n v="25539612"/>
    <n v="2807800.5862068967"/>
    <n v="3.637659713513345E-2"/>
    <n v="29563607"/>
    <x v="35"/>
    <n v="3392250.4827303328"/>
    <n v="3043285.0022227098"/>
    <n v="348965.480507623"/>
    <n v="2362602"/>
    <n v="2711541"/>
    <n v="24452.5862068965"/>
    <n v="22425"/>
    <n v="110188"/>
    <n v="48724"/>
    <n v="-697"/>
    <n v="4521"/>
    <n v="48254"/>
    <n v="63963"/>
    <n v="151535"/>
    <n v="334593"/>
    <n v="57305"/>
    <n v="91963"/>
    <n v="46066"/>
    <n v="28657"/>
    <n v="8095"/>
    <n v="3153"/>
    <n v="0"/>
    <n v="5982"/>
    <n v="0"/>
    <n v="0"/>
    <n v="3315522"/>
    <n v="0.97738124495200129"/>
    <n v="-76728.482730332762"/>
    <n v="0.43416881489632564"/>
    <n v="7.8628449947565418E-2"/>
    <n v="0.11214876452660191"/>
    <n v="5.5079193644305136E-3"/>
  </r>
  <r>
    <x v="36"/>
    <n v="29401665"/>
    <n v="2311807.3448275859"/>
    <n v="2.9950732559124452E-2"/>
    <n v="30256382"/>
    <x v="36"/>
    <n v="2791498.0163448001"/>
    <n v="2519546.1381414402"/>
    <n v="271951.87820336001"/>
    <n v="1988730"/>
    <n v="2349247"/>
    <n v="22460.344827586199"/>
    <n v="22391"/>
    <n v="52855"/>
    <n v="29006"/>
    <n v="2503"/>
    <n v="4581"/>
    <n v="40300"/>
    <n v="74959"/>
    <n v="119932"/>
    <n v="291618"/>
    <n v="56342"/>
    <n v="85249"/>
    <n v="22237"/>
    <n v="20982"/>
    <n v="6448"/>
    <n v="3548"/>
    <n v="0"/>
    <n v="3560"/>
    <n v="0"/>
    <n v="0"/>
    <n v="2885141"/>
    <n v="1.0335457819088176"/>
    <n v="93642.983655199874"/>
    <n v="0.35482282992813063"/>
    <n v="6.6513666103679037E-2"/>
    <n v="9.5356444137967317E-2"/>
    <n v="-5.4974898087656987E-2"/>
  </r>
  <r>
    <x v="37"/>
    <n v="32016485"/>
    <n v="2129533.7931034481"/>
    <n v="2.758927868949046E-2"/>
    <n v="41295456"/>
    <x v="37"/>
    <n v="2583432.1280934871"/>
    <n v="2211064.8195330701"/>
    <n v="372367.30856041698"/>
    <n v="1675481"/>
    <n v="2093587"/>
    <n v="23913.793103448301"/>
    <n v="26676"/>
    <n v="91347"/>
    <n v="31006"/>
    <n v="4838"/>
    <n v="2429"/>
    <n v="53316"/>
    <n v="69984"/>
    <n v="166819"/>
    <n v="282237"/>
    <n v="60494"/>
    <n v="81965"/>
    <n v="49141"/>
    <n v="25885"/>
    <n v="4184"/>
    <n v="5353"/>
    <n v="0"/>
    <n v="-930"/>
    <n v="0"/>
    <n v="0"/>
    <n v="2618192"/>
    <n v="1.013454919728108"/>
    <n v="34759.871906512883"/>
    <n v="0.32527597447820367"/>
    <n v="4.6322878643969896E-2"/>
    <n v="6.3401455114092939E-2"/>
    <n v="-3.1716259113478751E-2"/>
  </r>
  <r>
    <x v="38"/>
    <n v="42648094"/>
    <n v="1975582.4827586208"/>
    <n v="2.5594754996337052E-2"/>
    <n v="41339084"/>
    <x v="38"/>
    <n v="2409947.8152849339"/>
    <n v="1929957.57339174"/>
    <n v="479990.24189319398"/>
    <n v="1541898"/>
    <n v="2397497"/>
    <n v="17559.482758620699"/>
    <n v="25171"/>
    <n v="13396"/>
    <n v="5807"/>
    <n v="921"/>
    <n v="4467"/>
    <n v="40059"/>
    <n v="69643"/>
    <n v="260206"/>
    <n v="234501"/>
    <n v="70792"/>
    <n v="58072"/>
    <n v="28263"/>
    <n v="17667"/>
    <n v="2488"/>
    <n v="2741"/>
    <n v="0"/>
    <n v="0"/>
    <n v="0"/>
    <n v="0"/>
    <n v="2815566"/>
    <n v="1.1683099451956842"/>
    <n v="405618.18471506611"/>
    <n v="0.21078873712828927"/>
    <n v="5.5642586853894366E-2"/>
    <n v="6.8109056310971958E-2"/>
    <n v="-1.0830260813277759E-2"/>
  </r>
  <r>
    <x v="39"/>
    <n v="41791699"/>
    <n v="2325398.2413793104"/>
    <n v="3.0126810080796044E-2"/>
    <n v="22422064"/>
    <x v="39"/>
    <n v="2824472.7189859231"/>
    <n v="2383121.9642348401"/>
    <n v="441350.75475108298"/>
    <n v="1896294"/>
    <n v="2252123"/>
    <n v="21667.241379310301"/>
    <n v="10066"/>
    <n v="30139"/>
    <n v="16050"/>
    <n v="3695"/>
    <n v="1868"/>
    <n v="40975"/>
    <n v="58213"/>
    <n v="191313"/>
    <n v="451605"/>
    <n v="87339"/>
    <n v="67176"/>
    <n v="48851"/>
    <n v="11686"/>
    <n v="5125"/>
    <n v="3093"/>
    <n v="0"/>
    <n v="586"/>
    <n v="0"/>
    <n v="0"/>
    <n v="2872466"/>
    <n v="1.0169919435551524"/>
    <n v="47993.2810140769"/>
    <n v="-0.32071831501279491"/>
    <n v="0.16013515436776288"/>
    <n v="0.12810890201722733"/>
    <n v="-0.15090305379408775"/>
  </r>
  <r>
    <x v="40"/>
    <n v="26406954"/>
    <n v="4228681.6551724132"/>
    <n v="5.4784890970744092E-2"/>
    <n v="27571599"/>
    <x v="40"/>
    <n v="5112241.9672708018"/>
    <n v="4552736.9921622202"/>
    <n v="559504.97510858194"/>
    <n v="3630208"/>
    <n v="4002151"/>
    <n v="20464.655172413801"/>
    <n v="21961"/>
    <n v="83992"/>
    <n v="55589"/>
    <n v="8959"/>
    <n v="3319"/>
    <n v="63382"/>
    <n v="62975"/>
    <n v="281151"/>
    <n v="557077"/>
    <n v="78555"/>
    <n v="78209"/>
    <n v="59569"/>
    <n v="21078"/>
    <n v="2401"/>
    <n v="953"/>
    <n v="0"/>
    <n v="844"/>
    <n v="0"/>
    <n v="0"/>
    <n v="4804156"/>
    <n v="0.93973564450915947"/>
    <n v="-308085.96727080178"/>
    <n v="0.34016253170717681"/>
    <n v="0.12462434560396962"/>
    <n v="0.17424292294400481"/>
    <n v="-4.1471092799337916E-2"/>
  </r>
  <r>
    <x v="41"/>
    <n v="28764494"/>
    <n v="3584756.2413793104"/>
    <n v="4.6442483935966235E-2"/>
    <n v="29524043"/>
    <x v="41"/>
    <n v="4365978.1275330884"/>
    <n v="3565403.93838902"/>
    <n v="800574.18914406805"/>
    <n v="2855454"/>
    <n v="3104553"/>
    <n v="16592.241379310301"/>
    <n v="22795"/>
    <n v="62364"/>
    <n v="17436"/>
    <n v="4603"/>
    <n v="696"/>
    <n v="42383"/>
    <n v="83559"/>
    <n v="448251"/>
    <n v="555761"/>
    <n v="107546"/>
    <n v="71762"/>
    <n v="43052"/>
    <n v="24671"/>
    <n v="4511"/>
    <n v="4503"/>
    <n v="0"/>
    <n v="-435"/>
    <n v="0"/>
    <n v="0"/>
    <n v="3885301"/>
    <n v="0.88990390847315448"/>
    <n v="-480677.12753308844"/>
    <n v="0.10155406762092167"/>
    <n v="0.10342440514974581"/>
    <n v="0.13159786415430977"/>
    <n v="-0.13427489939816295"/>
  </r>
  <r>
    <x v="42"/>
    <n v="34103254"/>
    <n v="3527108.7586206896"/>
    <n v="4.5695629167694457E-2"/>
    <n v="33200957"/>
    <x v="42"/>
    <n v="4277322.4882151699"/>
    <n v="3676481.8466480798"/>
    <n v="600840.64156708994"/>
    <n v="2929364"/>
    <n v="2317644"/>
    <n v="19632.758620689601"/>
    <n v="25410"/>
    <n v="23666"/>
    <n v="26530"/>
    <n v="8628"/>
    <n v="5396"/>
    <n v="92989"/>
    <n v="99852"/>
    <n v="286849"/>
    <n v="459284"/>
    <n v="127459"/>
    <n v="89138"/>
    <n v="36103"/>
    <n v="11692"/>
    <n v="2418"/>
    <n v="1959"/>
    <n v="0"/>
    <n v="3313"/>
    <n v="0"/>
    <n v="0"/>
    <n v="3040218"/>
    <n v="0.7107759605165086"/>
    <n v="-1237104.4882151699"/>
    <n v="0.39384321814183254"/>
    <n v="5.521319907078874E-2"/>
    <n v="9.1570191786941563E-2"/>
    <n v="-0.15956774169704713"/>
  </r>
  <r>
    <x v="43"/>
    <n v="39504620"/>
    <n v="2181176.4482758623"/>
    <n v="2.825833762174652E-2"/>
    <n v="35824613"/>
    <x v="43"/>
    <n v="2657293.8448046688"/>
    <n v="2162315.3934833198"/>
    <n v="494978.45132134901"/>
    <n v="1665220"/>
    <n v="1758784"/>
    <n v="18078.448275862102"/>
    <n v="18612"/>
    <n v="39150"/>
    <n v="25664"/>
    <n v="4561"/>
    <n v="3330"/>
    <n v="81122"/>
    <n v="68260"/>
    <n v="288539"/>
    <n v="399606"/>
    <n v="74526"/>
    <n v="59102"/>
    <n v="6407"/>
    <n v="14235"/>
    <n v="3573"/>
    <n v="7832"/>
    <n v="0"/>
    <n v="2440"/>
    <n v="0"/>
    <n v="0"/>
    <n v="2357865"/>
    <n v="0.88731812803085797"/>
    <n v="-299428.8448046688"/>
    <n v="0.26356387324255204"/>
    <n v="5.7251596949853857E-2"/>
    <n v="6.5816900799458747E-2"/>
    <n v="9.912573689391535E-2"/>
  </r>
  <r>
    <x v="44"/>
    <n v="32593735"/>
    <n v="1866043.3793103448"/>
    <n v="2.4175615810934793E-2"/>
    <n v="40028256"/>
    <x v="44"/>
    <n v="2270349.9137066589"/>
    <n v="1877501.19573291"/>
    <n v="392848.71797374898"/>
    <n v="1401802"/>
    <n v="1400645"/>
    <n v="14241.379310344801"/>
    <n v="19588"/>
    <n v="55802"/>
    <n v="-861"/>
    <n v="2882"/>
    <n v="1446"/>
    <n v="95242"/>
    <n v="76825"/>
    <n v="211719"/>
    <n v="365354"/>
    <n v="60511"/>
    <n v="48474"/>
    <n v="20710"/>
    <n v="16510"/>
    <n v="3134"/>
    <n v="7433"/>
    <n v="0"/>
    <n v="0"/>
    <n v="0"/>
    <n v="0"/>
    <n v="1935414"/>
    <n v="0.85247388004616875"/>
    <n v="-334935.91370665887"/>
    <n v="4.2515562088233816E-2"/>
    <n v="4.3829553983324686E-2"/>
    <n v="4.8351194716052578E-2"/>
    <n v="-5.4976978845317603E-2"/>
  </r>
  <r>
    <x v="45"/>
    <n v="42356911"/>
    <n v="1856484.5172413792"/>
    <n v="2.4051775508221979E-2"/>
    <n v="41384863"/>
    <x v="45"/>
    <n v="2257526.4806165611"/>
    <n v="1878780.9565178"/>
    <n v="378745.52409876097"/>
    <n v="1480367"/>
    <n v="2149329"/>
    <n v="20915.517241379301"/>
    <n v="28370"/>
    <n v="13567"/>
    <n v="178"/>
    <n v="1142"/>
    <n v="0"/>
    <n v="55048"/>
    <n v="68941"/>
    <n v="234704"/>
    <n v="492948"/>
    <n v="34552"/>
    <n v="50253"/>
    <n v="16189"/>
    <n v="25710"/>
    <n v="0"/>
    <n v="9189"/>
    <n v="0"/>
    <n v="0"/>
    <n v="0"/>
    <n v="0"/>
    <n v="2824918"/>
    <n v="1.2513332730557722"/>
    <n v="567391.51938343886"/>
    <n v="0.10856448943964403"/>
    <n v="5.7415459552348488E-2"/>
    <n v="6.8259691955486243E-2"/>
    <n v="-6.7550148833097734E-2"/>
  </r>
  <r>
    <x v="46"/>
    <n v="44382937"/>
    <n v="2548266.7241379311"/>
    <n v="3.3014193554983903E-2"/>
    <n v="23766868"/>
    <x v="46"/>
    <n v="3113257.5784652401"/>
    <n v="2446400.3494434399"/>
    <n v="666857.22902179998"/>
    <n v="1932100"/>
    <n v="3080170"/>
    <n v="24901.724137931"/>
    <n v="24995"/>
    <n v="13663"/>
    <n v="27259"/>
    <n v="2471"/>
    <n v="2265"/>
    <n v="72548"/>
    <n v="98172"/>
    <n v="370770"/>
    <n v="460199"/>
    <n v="101714"/>
    <n v="48934"/>
    <n v="26966"/>
    <n v="24099"/>
    <n v="3133"/>
    <n v="5432"/>
    <n v="0"/>
    <n v="430"/>
    <n v="0"/>
    <n v="0"/>
    <n v="3771955"/>
    <n v="1.2115781958071974"/>
    <n v="658697.42153475992"/>
    <n v="1.1901192684481643E-2"/>
    <n v="0.15490853877118541"/>
    <n v="0.15870643956957223"/>
    <n v="-1.2313957992503122E-2"/>
  </r>
  <r>
    <x v="47"/>
    <n v="24063181"/>
    <n v="3727592.2068965519"/>
    <n v="4.8293002238281896E-2"/>
    <n v="26877030"/>
    <x v="47"/>
    <n v="4527911.4958415478"/>
    <n v="3817315.6570827002"/>
    <n v="710595.83875884803"/>
    <n v="3064112"/>
    <n v="3594147"/>
    <n v="18136.206896551699"/>
    <n v="26861"/>
    <n v="41372"/>
    <n v="48038"/>
    <n v="9059"/>
    <n v="4918"/>
    <n v="59366"/>
    <n v="78213"/>
    <n v="381579"/>
    <n v="470863"/>
    <n v="106292"/>
    <n v="44216"/>
    <n v="40654"/>
    <n v="21475"/>
    <n v="7022"/>
    <n v="6664"/>
    <n v="0"/>
    <n v="0"/>
    <n v="0"/>
    <n v="947"/>
    <n v="4296342"/>
    <n v="0.94885732725689931"/>
    <n v="-231569.49584154785"/>
    <n v="0.18106489174471552"/>
    <n v="0.12968883163442441"/>
    <n v="0.15985181398391116"/>
    <n v="-4.1794258836333698E-2"/>
  </r>
  <r>
    <x v="48"/>
    <n v="28049331"/>
    <n v="3637684.9655172415"/>
    <n v="4.7128204597291098E-2"/>
    <n v="29417270"/>
    <x v="48"/>
    <n v="4405712.1677858885"/>
    <n v="3843840.0746160601"/>
    <n v="561872.09316982795"/>
    <n v="3088415"/>
    <n v="3559563"/>
    <n v="23043.965517241399"/>
    <n v="23843"/>
    <n v="65981"/>
    <n v="14662"/>
    <n v="7052"/>
    <n v="1851"/>
    <n v="29733"/>
    <n v="91613"/>
    <n v="361184"/>
    <n v="453814"/>
    <n v="44740"/>
    <n v="39979"/>
    <n v="15384"/>
    <n v="30090"/>
    <n v="2152"/>
    <n v="3873"/>
    <n v="0"/>
    <n v="3359"/>
    <n v="0"/>
    <n v="0"/>
    <n v="4222647"/>
    <n v="0.9584482233940651"/>
    <n v="-183065.16778588854"/>
    <n v="0.16932575788320281"/>
    <n v="0.12503380727632435"/>
    <n v="0.14354312959700202"/>
    <n v="1.8545797802250519E-2"/>
  </r>
  <r>
    <x v="49"/>
    <n v="28881637"/>
    <n v="3611181.0344827585"/>
    <n v="4.6784831628970291E-2"/>
    <n v="35456665"/>
    <x v="49"/>
    <n v="4363204.7398105757"/>
    <n v="3910862.27764954"/>
    <n v="452342.46216103598"/>
    <n v="3113676"/>
    <n v="3329797"/>
    <n v="21506.034482758601"/>
    <n v="27971"/>
    <n v="65670"/>
    <n v="23965"/>
    <n v="2633"/>
    <n v="344"/>
    <n v="66784"/>
    <n v="65256"/>
    <n v="295101"/>
    <n v="368888"/>
    <n v="30136"/>
    <n v="35313"/>
    <n v="13695"/>
    <n v="25716"/>
    <n v="1980"/>
    <n v="7482"/>
    <n v="0"/>
    <n v="1990"/>
    <n v="0"/>
    <n v="689"/>
    <n v="3887411"/>
    <n v="0.89095314838899087"/>
    <n v="-475793.73981057573"/>
    <n v="0.30409152807698292"/>
    <n v="8.2832267329381856E-2"/>
    <n v="0.10963837123429403"/>
    <n v="-1.4753166618853841E-2"/>
  </r>
  <r>
    <x v="50"/>
    <n v="35987596"/>
    <n v="2980934.1724137929"/>
    <n v="3.861963773671593E-2"/>
    <n v="36977163"/>
    <x v="50"/>
    <n v="3619504.3435171871"/>
    <n v="3065838.8788276301"/>
    <n v="553665.46468955697"/>
    <n v="2421357"/>
    <n v="2545784"/>
    <n v="22405.172413793101"/>
    <n v="20127"/>
    <n v="55891"/>
    <n v="11485"/>
    <n v="2576"/>
    <n v="1656"/>
    <n v="61430"/>
    <n v="148228"/>
    <n v="357973"/>
    <n v="360812"/>
    <n v="24350"/>
    <n v="21316"/>
    <n v="28074"/>
    <n v="16275"/>
    <n v="6878"/>
    <n v="3147"/>
    <n v="0"/>
    <n v="1306"/>
    <n v="0"/>
    <n v="0"/>
    <n v="3130136"/>
    <n v="0.86479686247823306"/>
    <n v="-489368.34351718705"/>
    <n v="0.2648172257583794"/>
    <n v="6.8589700146051091E-2"/>
    <n v="8.4650517942655573E-2"/>
    <n v="2.4842332483971941E-2"/>
  </r>
  <r>
    <x v="51"/>
    <n v="36080831"/>
    <n v="2474773.3793103448"/>
    <n v="3.2062046949544898E-2"/>
    <n v="49550104"/>
    <x v="51"/>
    <n v="3012995.8169579371"/>
    <n v="2471476.4277911601"/>
    <n v="541519.38916677702"/>
    <n v="1897795"/>
    <n v="2157328"/>
    <n v="20191.379310344801"/>
    <n v="28829"/>
    <n v="54966"/>
    <n v="12510"/>
    <n v="2375"/>
    <n v="215"/>
    <n v="91325"/>
    <n v="61838"/>
    <n v="346747"/>
    <n v="366612"/>
    <n v="33465"/>
    <n v="23690"/>
    <n v="19690"/>
    <n v="14858"/>
    <n v="8219"/>
    <n v="4463"/>
    <n v="0"/>
    <n v="1379"/>
    <n v="0"/>
    <n v="0"/>
    <n v="2671722"/>
    <n v="0.88673272792575486"/>
    <n v="-341273.81695793709"/>
    <n v="0.20995999008294253"/>
    <n v="4.6938850337801472E-2"/>
    <n v="5.3919604285795245E-2"/>
    <n v="5.3311344575149633E-2"/>
  </r>
  <r>
    <x v="52"/>
    <n v="47042220"/>
    <n v="2208107.7241379311"/>
    <n v="2.860724707677768E-2"/>
    <n v="40534030"/>
    <x v="52"/>
    <n v="2692009.8936478598"/>
    <n v="2171610.1335062198"/>
    <n v="520399.76014164003"/>
    <n v="1719612"/>
    <n v="2371363"/>
    <n v="22776.724137931"/>
    <n v="29955"/>
    <n v="25877"/>
    <n v="-835"/>
    <n v="3459"/>
    <n v="361"/>
    <n v="44179"/>
    <n v="73803"/>
    <n v="327055"/>
    <n v="303085"/>
    <n v="34049"/>
    <n v="29461"/>
    <n v="21382"/>
    <n v="21582"/>
    <n v="9718"/>
    <n v="4347"/>
    <n v="0"/>
    <n v="413"/>
    <n v="0"/>
    <n v="0"/>
    <n v="2833535"/>
    <n v="1.0525722831428246"/>
    <n v="141525.1063521402"/>
    <n v="0.11313551139709799"/>
    <n v="5.5149192652612408E-2"/>
    <n v="6.9905089624693134E-2"/>
    <n v="-0.12183039752776392"/>
  </r>
  <r>
    <x v="53"/>
    <n v="46157405"/>
    <n v="2545543.6206896552"/>
    <n v="3.2978914255740989E-2"/>
    <n v="22062756"/>
    <x v="53"/>
    <n v="3100444.4031627239"/>
    <n v="2530401.5067299199"/>
    <n v="570042.89643280394"/>
    <n v="1980647"/>
    <n v="3389716"/>
    <n v="20783.620689655199"/>
    <n v="23729"/>
    <n v="20320"/>
    <n v="28866"/>
    <n v="1308"/>
    <n v="2677"/>
    <n v="92867"/>
    <n v="76508"/>
    <n v="375118"/>
    <n v="327888"/>
    <n v="29980"/>
    <n v="34023"/>
    <n v="15301"/>
    <n v="20904"/>
    <n v="9219"/>
    <n v="3447"/>
    <n v="0"/>
    <n v="430"/>
    <n v="0"/>
    <n v="0"/>
    <n v="3908188"/>
    <n v="1.2605251027927826"/>
    <n v="807743.59683727613"/>
    <n v="0.17535265131514843"/>
    <n v="0.12579301541915833"/>
    <n v="0.17713961030072581"/>
    <n v="-0.16534108921865864"/>
  </r>
  <r>
    <x v="54"/>
    <n v="26433260"/>
    <n v="3325119.4827586208"/>
    <n v="4.307874727453341E-2"/>
    <n v="27778475"/>
    <x v="54"/>
    <n v="4033025.0340803908"/>
    <n v="3459959.5507958401"/>
    <n v="573065.48328455095"/>
    <n v="2773046"/>
    <n v="3790804"/>
    <n v="19384.482758620699"/>
    <n v="23676"/>
    <n v="44133"/>
    <n v="53511"/>
    <n v="1728"/>
    <n v="3950"/>
    <n v="54932"/>
    <n v="71433"/>
    <n v="362431"/>
    <n v="328991"/>
    <n v="32310"/>
    <n v="44374"/>
    <n v="32251"/>
    <n v="15412"/>
    <n v="4904"/>
    <n v="2538"/>
    <n v="0"/>
    <n v="-680"/>
    <n v="0"/>
    <n v="0"/>
    <n v="4334009"/>
    <n v="1.0746298283239493"/>
    <n v="300983.96591960918"/>
    <n v="0.14375854625265472"/>
    <n v="0.12892126095068315"/>
    <n v="0.15602040788776203"/>
    <n v="-5.4900599208223211E-2"/>
  </r>
  <r>
    <x v="55"/>
    <n v="29392120"/>
    <n v="3789269.1724137929"/>
    <n v="4.9092061166526195E-2"/>
    <n v="31602573"/>
    <x v="55"/>
    <n v="4584999.7645929968"/>
    <n v="4043282.6733011501"/>
    <n v="541717.09129184706"/>
    <n v="3237704"/>
    <n v="3614722"/>
    <n v="19955.172413793101"/>
    <n v="31217"/>
    <n v="86781"/>
    <n v="80631"/>
    <n v="8087"/>
    <n v="-491"/>
    <n v="28472"/>
    <n v="33888"/>
    <n v="347028"/>
    <n v="578952"/>
    <n v="43531"/>
    <n v="54562"/>
    <n v="10995"/>
    <n v="28200"/>
    <n v="6716"/>
    <n v="5951"/>
    <n v="0"/>
    <n v="7009"/>
    <n v="0"/>
    <n v="775"/>
    <n v="4435416"/>
    <n v="0.9673754040843936"/>
    <n v="-149583.7645929968"/>
    <n v="0.2920539899438479"/>
    <n v="0.10405971627835511"/>
    <n v="0.14034983797047157"/>
    <n v="-4.2031159037313692E-2"/>
  </r>
  <r>
    <x v="56"/>
    <n v="32989145"/>
    <n v="3432841.068965517"/>
    <n v="4.4474339526866198E-2"/>
    <n v="36200123"/>
    <x v="56"/>
    <n v="4156960.4456820181"/>
    <n v="3633404.08583875"/>
    <n v="523556.359843268"/>
    <n v="2904631"/>
    <n v="2872787"/>
    <n v="19587.068965517199"/>
    <n v="25863"/>
    <n v="64657"/>
    <n v="7979"/>
    <n v="3724"/>
    <n v="0"/>
    <n v="45659"/>
    <n v="126103"/>
    <n v="329946"/>
    <n v="530958"/>
    <n v="38488"/>
    <n v="91753"/>
    <n v="17323"/>
    <n v="15632"/>
    <n v="8826"/>
    <n v="4939"/>
    <n v="0"/>
    <n v="5544"/>
    <n v="0"/>
    <n v="0"/>
    <n v="3681558"/>
    <n v="0.88563700523640165"/>
    <n v="-475402.44568201806"/>
    <n v="0.21363309419086285"/>
    <n v="8.2068617583025028E-2"/>
    <n v="0.10170015168180506"/>
    <n v="-2.0638724267775688E-2"/>
  </r>
  <r>
    <x v="57"/>
    <n v="36962992"/>
    <n v="3033501.6551724137"/>
    <n v="3.9300678317771467E-2"/>
    <n v="42656916"/>
    <x v="57"/>
    <n v="3684333.3300469159"/>
    <n v="3110767.62058014"/>
    <n v="573565.709466776"/>
    <n v="2452213"/>
    <n v="2328816"/>
    <n v="20014.655172413801"/>
    <n v="20650"/>
    <n v="22443"/>
    <n v="23531"/>
    <n v="8872"/>
    <n v="6440"/>
    <n v="97686"/>
    <n v="122038"/>
    <n v="371645"/>
    <n v="450008"/>
    <n v="41902"/>
    <n v="106960"/>
    <n v="12405"/>
    <n v="15315"/>
    <n v="6321"/>
    <n v="3641"/>
    <n v="0"/>
    <n v="2547"/>
    <n v="0"/>
    <n v="775"/>
    <n v="3080721"/>
    <n v="0.83616782848493532"/>
    <n v="-603612.33004691591"/>
    <n v="0.2786062921043817"/>
    <n v="5.6436306533633455E-2"/>
    <n v="7.2220903170777742E-2"/>
    <n v="-8.4582899216778529E-4"/>
  </r>
  <r>
    <x v="58"/>
    <n v="42693027"/>
    <n v="2409436.7586206896"/>
    <n v="3.1215575180618686E-2"/>
    <n v="51597186"/>
    <x v="58"/>
    <n v="2942144.765420862"/>
    <n v="2326834.7166464399"/>
    <n v="615310.04877442203"/>
    <n v="1747242"/>
    <n v="2298757"/>
    <n v="17482.758620689699"/>
    <n v="28306"/>
    <n v="73006"/>
    <n v="7846"/>
    <n v="3125"/>
    <n v="0"/>
    <n v="104847"/>
    <n v="67232"/>
    <n v="394351"/>
    <n v="415460"/>
    <n v="40984"/>
    <n v="103810"/>
    <n v="18424"/>
    <n v="16109"/>
    <n v="9975"/>
    <n v="3746"/>
    <n v="0"/>
    <n v="-5"/>
    <n v="0"/>
    <n v="1895"/>
    <n v="2943156"/>
    <n v="1.000343706601736"/>
    <n v="1011.2345791379921"/>
    <n v="0.42723697090105572"/>
    <n v="4.0564099050365177E-2"/>
    <n v="5.7041017702011886E-2"/>
    <n v="1.4964041462597999E-2"/>
  </r>
  <r>
    <x v="59"/>
    <n v="50836467"/>
    <n v="2062135.4827586208"/>
    <n v="2.2488732254430814E-2"/>
    <n v="52843119"/>
    <x v="59"/>
    <n v="2805782.38479015"/>
    <n v="2136915.38479015"/>
    <n v="668867"/>
    <n v="1522696"/>
    <n v="2769749"/>
    <n v="23759.482758620699"/>
    <n v="33914"/>
    <n v="41023"/>
    <n v="26512"/>
    <n v="2722"/>
    <n v="0"/>
    <n v="37541"/>
    <n v="96454"/>
    <n v="384483"/>
    <n v="447295"/>
    <n v="29795"/>
    <n v="95383"/>
    <n v="13746"/>
    <n v="21210"/>
    <n v="6370"/>
    <n v="3536"/>
    <n v="0"/>
    <n v="430"/>
    <n v="0"/>
    <n v="0"/>
    <n v="3494483"/>
    <n v="1.2454576017524464"/>
    <n v="688700.61520985002"/>
    <n v="0.31045607450207369"/>
    <n v="5.555161841927285E-2"/>
    <n v="6.6129385738945501E-2"/>
    <n v="0.1008412522284261"/>
  </r>
  <r>
    <x v="60"/>
    <n v="48002488"/>
    <n v="2666615.8965517241"/>
    <n v="2.9080926750136443E-2"/>
    <n v="29862876"/>
    <x v="60"/>
    <n v="3622374.42120753"/>
    <n v="2854571.42120753"/>
    <n v="767803"/>
    <n v="2021359"/>
    <n v="3687641"/>
    <n v="23281.896551724101"/>
    <n v="26936"/>
    <n v="3956"/>
    <n v="15825"/>
    <n v="7228"/>
    <n v="7457"/>
    <n v="118573"/>
    <n v="107185"/>
    <n v="444525"/>
    <n v="452113"/>
    <n v="31189"/>
    <n v="85564"/>
    <n v="12849"/>
    <n v="6520"/>
    <n v="3655"/>
    <n v="4483"/>
    <n v="0"/>
    <n v="515"/>
    <n v="0"/>
    <n v="0"/>
    <n v="4394239"/>
    <n v="1.2130824948060357"/>
    <n v="771864.57879247004"/>
    <n v="0.22894204690263287"/>
    <n v="0.12385099496173829"/>
    <n v="0.1471472138182538"/>
    <n v="3.4377011359524756E-2"/>
  </r>
  <r>
    <x v="61"/>
    <n v="28870398"/>
    <n v="3575627.5172413792"/>
    <n v="3.8994203120566236E-2"/>
    <n v="33171704"/>
    <x v="61"/>
    <n v="4645559.2541032098"/>
    <n v="3980132.2541032098"/>
    <n v="665427"/>
    <n v="2894647"/>
    <n v="4158362"/>
    <n v="17015.517241379301"/>
    <n v="22032"/>
    <n v="70126"/>
    <n v="47632"/>
    <n v="2478"/>
    <n v="2071"/>
    <n v="47499"/>
    <n v="74989"/>
    <n v="481304"/>
    <n v="653421"/>
    <n v="33324"/>
    <n v="126548"/>
    <n v="22831"/>
    <n v="5908"/>
    <n v="6403"/>
    <n v="4036"/>
    <n v="0"/>
    <n v="2049"/>
    <n v="0"/>
    <n v="775"/>
    <n v="5097823"/>
    <n v="1.0973539936009484"/>
    <n v="452263.74589679018"/>
    <n v="0.31489767230607613"/>
    <n v="0.12872553508669304"/>
    <n v="0.15367986522489166"/>
    <n v="0.10138635405590835"/>
  </r>
  <r>
    <x v="62"/>
    <n v="30118136"/>
    <n v="3876973.1724137929"/>
    <n v="4.2280544785248071E-2"/>
    <n v="34892813"/>
    <x v="62"/>
    <n v="5143890.0375477904"/>
    <n v="4515690.0375477904"/>
    <n v="628200"/>
    <n v="3324837"/>
    <n v="4047073"/>
    <n v="20705.172413793101"/>
    <n v="21637"/>
    <n v="55930"/>
    <n v="50390"/>
    <n v="5121"/>
    <n v="7095"/>
    <n v="33120"/>
    <n v="81778"/>
    <n v="340219"/>
    <n v="480522"/>
    <n v="73972"/>
    <n v="55623"/>
    <n v="16003"/>
    <n v="12102"/>
    <n v="7066"/>
    <n v="6133"/>
    <n v="0"/>
    <n v="1534"/>
    <n v="0"/>
    <n v="0"/>
    <n v="4763887"/>
    <n v="0.92612535750687497"/>
    <n v="-380003.03754779045"/>
    <n v="0.29042927228845472"/>
    <n v="0.11482938776878547"/>
    <n v="0.13652917579330734"/>
    <n v="8.532994823122908E-2"/>
  </r>
  <r>
    <x v="63"/>
    <n v="32149498"/>
    <n v="3691707.1724137929"/>
    <n v="4.0260116202992274E-2"/>
    <n v="38712693"/>
    <x v="63"/>
    <n v="4846185.1523354203"/>
    <n v="4178769.1523354198"/>
    <n v="667416"/>
    <n v="3006578"/>
    <n v="3273154"/>
    <n v="20405.172413793101"/>
    <n v="28567"/>
    <n v="61036"/>
    <n v="21743"/>
    <n v="128"/>
    <n v="154"/>
    <n v="94925"/>
    <n v="89264"/>
    <n v="365903"/>
    <n v="393807"/>
    <n v="115450"/>
    <n v="40051"/>
    <n v="19487"/>
    <n v="5342"/>
    <n v="7795"/>
    <n v="5065"/>
    <n v="0"/>
    <n v="560"/>
    <n v="0"/>
    <n v="0"/>
    <n v="3857707"/>
    <n v="0.7960296354217784"/>
    <n v="-988478.15233542025"/>
    <n v="0.38792892478117325"/>
    <n v="7.4081218780168781E-2"/>
    <n v="9.9649667875081699E-2"/>
    <n v="3.1809423157640682E-2"/>
  </r>
  <r>
    <x v="64"/>
    <n v="37519228"/>
    <n v="2779470.1379310344"/>
    <n v="3.0311664904528256E-2"/>
    <n v="39872258"/>
    <x v="64"/>
    <n v="3647918.67494134"/>
    <n v="3029226.67494134"/>
    <n v="618692"/>
    <n v="2158066"/>
    <n v="2313818"/>
    <n v="20349.1379310345"/>
    <n v="23488"/>
    <n v="52546"/>
    <n v="32023"/>
    <n v="1600"/>
    <n v="1687"/>
    <n v="74876"/>
    <n v="118330"/>
    <n v="330846"/>
    <n v="299324"/>
    <n v="120380"/>
    <n v="33674"/>
    <n v="14076"/>
    <n v="6895"/>
    <n v="6731"/>
    <n v="6866"/>
    <n v="0"/>
    <n v="387"/>
    <n v="0"/>
    <n v="0"/>
    <n v="2836492"/>
    <n v="0.77756448340932705"/>
    <n v="-811426.67494134"/>
    <n v="6.4668878159658494E-2"/>
    <n v="6.740842649129003E-2"/>
    <n v="7.1139487510338648E-2"/>
    <n v="8.8300650262573832E-3"/>
  </r>
  <r>
    <x v="65"/>
    <n v="39523265"/>
    <n v="2664201.1034482759"/>
    <n v="2.9054592090747018E-2"/>
    <n v="52578844"/>
    <x v="65"/>
    <n v="3375221.9335819301"/>
    <n v="2833361.9335819301"/>
    <n v="541860"/>
    <n v="2008601"/>
    <n v="2036782"/>
    <n v="17718.103448275899"/>
    <n v="29622"/>
    <n v="60599"/>
    <n v="12659"/>
    <n v="1392"/>
    <n v="1118"/>
    <n v="69932"/>
    <n v="33500"/>
    <n v="369062"/>
    <n v="318037"/>
    <n v="123391"/>
    <n v="29312"/>
    <n v="10054"/>
    <n v="16246"/>
    <n v="3452"/>
    <n v="7308"/>
    <n v="0"/>
    <n v="430"/>
    <n v="0"/>
    <n v="0"/>
    <n v="2485014"/>
    <n v="0.73625202991105143"/>
    <n v="-890207.93358193012"/>
    <n v="0.16337189623481763"/>
    <n v="4.3608026603249569E-2"/>
    <n v="4.726262144523375E-2"/>
    <n v="7.341385325542471E-2"/>
  </r>
  <r>
    <x v="66"/>
    <n v="48982826"/>
    <n v="2136044.3793103448"/>
    <n v="2.3294749802583687E-2"/>
    <n v="53652093"/>
    <x v="66"/>
    <n v="2893557.5762682199"/>
    <n v="2220072.5762682199"/>
    <n v="673485"/>
    <n v="1587947"/>
    <n v="4090457"/>
    <n v="16966.379310344801"/>
    <n v="21953"/>
    <n v="27670"/>
    <n v="-800"/>
    <n v="257"/>
    <n v="2170"/>
    <n v="58244"/>
    <n v="76790"/>
    <n v="305214"/>
    <n v="438569"/>
    <n v="118323"/>
    <n v="28025"/>
    <n v="13685"/>
    <n v="15404"/>
    <n v="7738"/>
    <n v="5875"/>
    <n v="0"/>
    <n v="0"/>
    <n v="0"/>
    <n v="0"/>
    <n v="4678443"/>
    <n v="1.6168480760053585"/>
    <n v="1784885.4237317801"/>
    <n v="0.85470209787104845"/>
    <n v="5.2312195274323695E-2"/>
    <n v="8.7199636368333291E-2"/>
    <n v="0.11265989584748293"/>
  </r>
  <r>
    <x v="67"/>
    <n v="48219670"/>
    <n v="2522476.7931034481"/>
    <n v="2.7509009806781361E-2"/>
    <n v="31554878"/>
    <x v="67"/>
    <n v="3416113.71282834"/>
    <n v="2642557.71282834"/>
    <n v="773556"/>
    <n v="1877757"/>
    <n v="3929406"/>
    <n v="21363.793103448301"/>
    <n v="31783"/>
    <n v="18440"/>
    <n v="29516"/>
    <n v="10318"/>
    <n v="5855"/>
    <n v="85023"/>
    <n v="97853"/>
    <n v="365073"/>
    <n v="392149"/>
    <n v="119743"/>
    <n v="38657"/>
    <n v="17150"/>
    <n v="9352"/>
    <n v="7609"/>
    <n v="7473"/>
    <n v="0"/>
    <n v="0"/>
    <n v="0"/>
    <n v="0"/>
    <n v="4542044"/>
    <n v="1.3295939133827768"/>
    <n v="1125930.28717166"/>
    <n v="0.21772260215400885"/>
    <n v="0.12791823517822315"/>
    <n v="0.14394110476358046"/>
    <n v="8.2171256501197609E-2"/>
  </r>
  <r>
    <x v="68"/>
    <n v="29158858"/>
    <n v="3729949.6551724137"/>
    <n v="4.06771717081683E-2"/>
    <n v="32083406"/>
    <x v="68"/>
    <n v="4894349.2464806996"/>
    <n v="4195009.2464806996"/>
    <n v="699340"/>
    <n v="3068514"/>
    <n v="3911691"/>
    <n v="17939.655172413801"/>
    <n v="24886"/>
    <n v="54141"/>
    <n v="70786"/>
    <n v="9922"/>
    <n v="1807"/>
    <n v="44926"/>
    <n v="118012"/>
    <n v="397940"/>
    <n v="576157"/>
    <n v="105887"/>
    <n v="72081"/>
    <n v="23153"/>
    <n v="6863"/>
    <n v="7527"/>
    <n v="7574"/>
    <n v="0"/>
    <n v="0"/>
    <n v="0"/>
    <n v="0"/>
    <n v="4789857"/>
    <n v="0.97865043109544436"/>
    <n v="-104492.24648069963"/>
    <n v="0.23295100326028573"/>
    <n v="0.11915767010749831"/>
    <n v="0.14929390601484144"/>
    <n v="-1.5930570598151617E-2"/>
  </r>
  <r>
    <x v="69"/>
    <n v="32602787"/>
    <n v="3884872.1379310344"/>
    <n v="4.2366687389402573E-2"/>
    <n v="34020740"/>
    <x v="69"/>
    <n v="5073230.9146942999"/>
    <n v="4311064.9146942999"/>
    <n v="762166"/>
    <n v="3074978"/>
    <n v="3585730"/>
    <n v="18699.1379310345"/>
    <n v="24993"/>
    <n v="92616"/>
    <n v="75058"/>
    <n v="13747"/>
    <n v="1008"/>
    <n v="83805"/>
    <n v="94735"/>
    <n v="459672"/>
    <n v="482545"/>
    <n v="109568"/>
    <n v="88078"/>
    <n v="23342"/>
    <n v="16703"/>
    <n v="8445"/>
    <n v="11247"/>
    <n v="0"/>
    <n v="0"/>
    <n v="0"/>
    <n v="0"/>
    <n v="4380097"/>
    <n v="0.86337426260518113"/>
    <n v="-693133.91469429992"/>
    <n v="0.18507980251607714"/>
    <n v="0.10641747296972097"/>
    <n v="0.12874784616677945"/>
    <n v="-2.0463630219876627E-2"/>
  </r>
  <r>
    <x v="70"/>
    <n v="34731472"/>
    <n v="3696035.4827586208"/>
    <n v="4.0307318830207002E-2"/>
    <n v="39021599"/>
    <x v="70"/>
    <n v="4960834.1958905198"/>
    <n v="4271438.1958905198"/>
    <n v="689396"/>
    <n v="3121984"/>
    <n v="2569096"/>
    <n v="20284.482758620699"/>
    <n v="25789"/>
    <n v="49307"/>
    <n v="27546"/>
    <n v="2001"/>
    <n v="2372"/>
    <n v="60084"/>
    <n v="82817"/>
    <n v="316270"/>
    <n v="528144"/>
    <n v="103062"/>
    <n v="114102"/>
    <n v="15545"/>
    <n v="9692"/>
    <n v="7498"/>
    <n v="6730"/>
    <n v="0"/>
    <n v="430"/>
    <n v="0"/>
    <n v="0"/>
    <n v="3366718"/>
    <n v="0.67865965018321683"/>
    <n v="-1594116.1958905198"/>
    <n v="0.15309682737115193"/>
    <n v="7.3916050844220316E-2"/>
    <n v="8.627831986075199E-2"/>
    <n v="-1.2123047159065092E-2"/>
  </r>
  <r>
    <x v="71"/>
    <n v="39500465"/>
    <n v="2919718.3793103448"/>
    <n v="3.1841149836970631E-2"/>
    <n v="42853042"/>
    <x v="71"/>
    <n v="3809914.76603708"/>
    <n v="3126449.76603708"/>
    <n v="683465"/>
    <n v="2241196"/>
    <n v="2352964"/>
    <n v="20541.379310344801"/>
    <n v="25240"/>
    <n v="35516"/>
    <n v="10254"/>
    <n v="3738"/>
    <n v="1229"/>
    <n v="80503"/>
    <n v="84747"/>
    <n v="406345"/>
    <n v="449788"/>
    <n v="108540"/>
    <n v="88592"/>
    <n v="17978"/>
    <n v="15754"/>
    <n v="5361"/>
    <n v="13891"/>
    <n v="0"/>
    <n v="0"/>
    <n v="0"/>
    <n v="0"/>
    <n v="3042459"/>
    <n v="0.79856353405108937"/>
    <n v="-767455.76603707997"/>
    <n v="0.14681627126009222"/>
    <n v="6.5490743870490892E-2"/>
    <n v="7.0997503514452956E-2"/>
    <n v="5.7866079365971101E-2"/>
  </r>
  <r>
    <x v="72"/>
    <n v="40508948"/>
    <n v="2652961.1379310344"/>
    <n v="2.893201402680326E-2"/>
    <n v="51179806"/>
    <x v="72"/>
    <n v="3495543.76009935"/>
    <n v="2887214.76009935"/>
    <n v="608329"/>
    <n v="2063367"/>
    <n v="2001768"/>
    <n v="19974.1379310345"/>
    <n v="28216"/>
    <n v="42958"/>
    <n v="14927"/>
    <n v="2014"/>
    <n v="2224"/>
    <n v="70950"/>
    <n v="87934"/>
    <n v="344615"/>
    <n v="481251"/>
    <n v="79899"/>
    <n v="65098"/>
    <n v="19325"/>
    <n v="17234"/>
    <n v="9859"/>
    <n v="7560"/>
    <n v="0"/>
    <n v="0"/>
    <n v="0"/>
    <n v="603"/>
    <n v="2706815"/>
    <n v="0.77436164035407962"/>
    <n v="-788728.76009935001"/>
    <n v="0.13570951176692003"/>
    <n v="4.6929898180670719E-2"/>
    <n v="5.288834037393577E-2"/>
    <n v="7.7595812839552636E-3"/>
  </r>
  <r>
    <x v="73"/>
    <n v="50785730"/>
    <n v="2383369.1379310344"/>
    <n v="2.5991963600132929E-2"/>
    <n v="49926015"/>
    <x v="73"/>
    <n v="3092104.9730690098"/>
    <n v="2445914.9730690098"/>
    <n v="646190"/>
    <n v="1765846"/>
    <n v="2324978"/>
    <n v="21924.1379310345"/>
    <n v="29697"/>
    <n v="20436"/>
    <n v="6793"/>
    <n v="10353"/>
    <n v="2651"/>
    <n v="44555"/>
    <n v="127807"/>
    <n v="376445"/>
    <n v="506009"/>
    <n v="119373"/>
    <n v="90650"/>
    <n v="15604"/>
    <n v="17281"/>
    <n v="8833"/>
    <n v="7630"/>
    <n v="0"/>
    <n v="1791"/>
    <n v="0"/>
    <n v="646"/>
    <n v="3115933"/>
    <n v="1.0077060860282956"/>
    <n v="23828.026930990163"/>
    <n v="0.24684915241783667"/>
    <n v="5.3577824615761889E-2"/>
    <n v="6.2411009570862007E-2"/>
    <n v="7.0379499865403927E-2"/>
  </r>
  <r>
    <x v="74"/>
    <n v="46643284"/>
    <n v="2499045.6896551726"/>
    <n v="2.7253480615668648E-2"/>
    <n v="48089099"/>
    <x v="74"/>
    <n v="3188666.7215949399"/>
    <n v="2491799.7215949399"/>
    <n v="696867"/>
    <n v="1783206"/>
    <n v="3399452"/>
    <n v="22420.689655172398"/>
    <n v="29457"/>
    <n v="15356"/>
    <n v="1988"/>
    <n v="4841"/>
    <n v="8157"/>
    <n v="72242"/>
    <n v="87872"/>
    <n v="420638"/>
    <n v="560507"/>
    <n v="153175"/>
    <n v="93974"/>
    <n v="16158"/>
    <n v="17848"/>
    <n v="11009"/>
    <n v="11596"/>
    <n v="0"/>
    <n v="0"/>
    <n v="0"/>
    <n v="0"/>
    <n v="4210851"/>
    <n v="1.3205679262377641"/>
    <n v="1022184.2784050601"/>
    <n v="0.28897731343298694"/>
    <n v="6.8617780005099938E-2"/>
    <n v="8.7563524531827891E-2"/>
    <n v="1.0086816372501195E-2"/>
  </r>
  <r>
    <x v="75"/>
    <n v="47608877"/>
    <n v="3266815.4482758623"/>
    <n v="3.5626436068417006E-2"/>
    <n v="29095609"/>
    <x v="75"/>
    <n v="4195600.6436511902"/>
    <n v="3410028.6436511902"/>
    <n v="785572"/>
    <n v="2491693"/>
    <n v="3855703"/>
    <n v="27203.448275862102"/>
    <n v="23686"/>
    <n v="16130"/>
    <n v="50602"/>
    <n v="128"/>
    <n v="-430"/>
    <n v="62349"/>
    <n v="113345"/>
    <n v="466542"/>
    <n v="500176"/>
    <n v="176254"/>
    <n v="79938"/>
    <n v="16451"/>
    <n v="15249"/>
    <n v="10065"/>
    <n v="11085"/>
    <n v="0"/>
    <n v="397"/>
    <n v="0"/>
    <n v="0"/>
    <n v="4649751"/>
    <n v="1.1082444195531416"/>
    <n v="454150.35634880979"/>
    <n v="0.21918557279306938"/>
    <n v="0.12854464866690449"/>
    <n v="0.15980937192275302"/>
    <n v="-1.9332976352617215E-2"/>
  </r>
  <r>
    <x v="76"/>
    <n v="29669203"/>
    <n v="3813817.2758620689"/>
    <n v="4.1591794671729708E-2"/>
    <n v="33761513"/>
    <x v="76"/>
    <n v="4962094.2578005204"/>
    <n v="4248239.2578005204"/>
    <n v="713855"/>
    <n v="3071084"/>
    <n v="3737072"/>
    <n v="18998.275862069"/>
    <n v="19698"/>
    <n v="73572"/>
    <n v="39710"/>
    <n v="-818"/>
    <n v="5715"/>
    <n v="73153"/>
    <n v="78016"/>
    <n v="419718"/>
    <n v="524686"/>
    <n v="123367"/>
    <n v="102274"/>
    <n v="22898"/>
    <n v="18601"/>
    <n v="11845"/>
    <n v="8408"/>
    <n v="0"/>
    <n v="0"/>
    <n v="0"/>
    <n v="0"/>
    <n v="4534180"/>
    <n v="0.91376337579081057"/>
    <n v="-427914.2578005204"/>
    <n v="0.24359076488880183"/>
    <n v="0.11520510367646092"/>
    <n v="0.13430026077326571"/>
    <n v="6.6773825867531E-2"/>
  </r>
  <r>
    <x v="77"/>
    <n v="31648239"/>
    <n v="3646038.6551724137"/>
    <n v="3.9762075669145136E-2"/>
    <n v="37697073"/>
    <x v="77"/>
    <n v="4800393.87091411"/>
    <n v="4124349.87091411"/>
    <n v="676044"/>
    <n v="2976626"/>
    <n v="3081196"/>
    <n v="19664.655172413801"/>
    <n v="22547"/>
    <n v="74611"/>
    <n v="983"/>
    <n v="-1496"/>
    <n v="3306"/>
    <n v="72214"/>
    <n v="83172"/>
    <n v="365376"/>
    <n v="498101"/>
    <n v="116910"/>
    <n v="60356"/>
    <n v="13598"/>
    <n v="12568"/>
    <n v="8535"/>
    <n v="4699"/>
    <n v="0"/>
    <n v="0"/>
    <n v="0"/>
    <n v="0"/>
    <n v="3766928"/>
    <n v="0.78471227597053128"/>
    <n v="-1033465.87091411"/>
    <n v="0.27756685937836978"/>
    <n v="8.5161423500863115E-2"/>
    <n v="9.9926272790463067E-2"/>
    <n v="8.879686316662827E-2"/>
  </r>
  <r>
    <x v="78"/>
    <n v="34622687"/>
    <n v="2948517.3103448278"/>
    <n v="3.215521816791362E-2"/>
    <n v="35305337"/>
    <x v="78"/>
    <n v="3757465.64467031"/>
    <n v="3088476.64467031"/>
    <n v="668989"/>
    <n v="2194292"/>
    <n v="2534659"/>
    <n v="18904.310344827602"/>
    <n v="20797"/>
    <n v="70889"/>
    <n v="80650"/>
    <n v="0"/>
    <n v="1003"/>
    <n v="68484"/>
    <n v="84430"/>
    <n v="455909"/>
    <n v="508388"/>
    <n v="113508"/>
    <n v="64656"/>
    <n v="13831"/>
    <n v="10353"/>
    <n v="12700"/>
    <n v="10150"/>
    <n v="0"/>
    <n v="-387"/>
    <n v="0"/>
    <n v="1291"/>
    <n v="3315990"/>
    <n v="0.88250707087727842"/>
    <n v="-441475.64467030996"/>
    <n v="0.36295496398499272"/>
    <n v="6.4066308984066248E-2"/>
    <n v="9.3923193538699268E-2"/>
    <n v="-7.030957355542744E-2"/>
  </r>
  <r>
    <x v="79"/>
    <n v="37975369"/>
    <n v="2432941.7241379311"/>
    <n v="2.6532580173431613E-2"/>
    <n v="47045887"/>
    <x v="79"/>
    <n v="3134941.7407317399"/>
    <n v="2478986.7407317399"/>
    <n v="655955"/>
    <n v="1684468"/>
    <n v="2128572"/>
    <n v="18401.724137931"/>
    <n v="23927"/>
    <n v="87171"/>
    <n v="4877"/>
    <n v="-2861"/>
    <n v="-1018"/>
    <n v="101126"/>
    <n v="83878"/>
    <n v="425643"/>
    <n v="391543"/>
    <n v="104286"/>
    <n v="53191"/>
    <n v="5964"/>
    <n v="10847"/>
    <n v="8743"/>
    <n v="11032"/>
    <n v="0"/>
    <n v="0"/>
    <n v="0"/>
    <n v="2153"/>
    <n v="2709002"/>
    <n v="0.86413152908151991"/>
    <n v="-425939.7407317399"/>
    <n v="0.39002456361141635"/>
    <n v="4.5197939218770605E-2"/>
    <n v="5.7582121897287217E-2"/>
    <n v="9.1072083984226504E-2"/>
  </r>
  <r>
    <x v="80"/>
    <n v="43118954"/>
    <n v="1948887.8620689656"/>
    <n v="2.1253704080271267E-2"/>
    <n v="47447277"/>
    <x v="80"/>
    <n v="2622953.7217157199"/>
    <n v="1932466.7217157199"/>
    <n v="690487"/>
    <n v="1375650"/>
    <n v="2696322"/>
    <n v="18050.8620689655"/>
    <n v="24803"/>
    <n v="29277"/>
    <n v="11387"/>
    <n v="3421"/>
    <n v="6523"/>
    <n v="45609"/>
    <n v="61903"/>
    <n v="352550"/>
    <n v="584128"/>
    <n v="96081"/>
    <n v="66334"/>
    <n v="18519"/>
    <n v="14472"/>
    <n v="9730"/>
    <n v="10711"/>
    <n v="0"/>
    <n v="0"/>
    <n v="0"/>
    <n v="0"/>
    <n v="3476583"/>
    <n v="1.3254458022713058"/>
    <n v="853629.2782842801"/>
    <n v="0.5361843349765929"/>
    <n v="5.244187481762709E-2"/>
    <n v="7.3272550498524922E-2"/>
    <n v="9.9462022865766109E-2"/>
  </r>
  <r>
    <x v="81"/>
    <n v="43154994"/>
    <n v="2263128.7931034481"/>
    <n v="2.4680675887169143E-2"/>
    <n v="26759642"/>
    <x v="81"/>
    <n v="2868426.7151839002"/>
    <n v="2206452.7151839002"/>
    <n v="661974"/>
    <n v="1610627"/>
    <n v="3611779"/>
    <n v="19763.793103448301"/>
    <n v="23259"/>
    <n v="13804"/>
    <n v="34041"/>
    <n v="693"/>
    <n v="886"/>
    <n v="35822"/>
    <n v="101609"/>
    <n v="412452"/>
    <n v="93872"/>
    <n v="148039"/>
    <n v="11647"/>
    <n v="13860"/>
    <n v="13189"/>
    <n v="8068"/>
    <n v="8934"/>
    <n v="0"/>
    <n v="0"/>
    <n v="0"/>
    <n v="861"/>
    <n v="3900077"/>
    <n v="1.3596571874592789"/>
    <n v="1031650.2848160998"/>
    <n v="0.15030348698819895"/>
    <n v="0.13229945185092476"/>
    <n v="0.14574473754170553"/>
    <n v="4.4185356930625197E-2"/>
  </r>
  <r>
    <x v="82"/>
    <n v="25627291"/>
    <n v="3390476.5517241377"/>
    <n v="3.6975029053207452E-2"/>
    <n v="30907085"/>
    <x v="82"/>
    <n v="4224181.7416150905"/>
    <n v="3601462.7416150901"/>
    <n v="622719"/>
    <n v="2606781"/>
    <n v="3876733"/>
    <n v="17396.551724137898"/>
    <n v="20599"/>
    <n v="77734"/>
    <n v="29088"/>
    <n v="0"/>
    <n v="947"/>
    <n v="41412"/>
    <n v="88728"/>
    <n v="451453"/>
    <n v="841416"/>
    <n v="167225"/>
    <n v="103320"/>
    <n v="21788"/>
    <n v="8844"/>
    <n v="6687"/>
    <n v="6800"/>
    <n v="0"/>
    <n v="0"/>
    <n v="0"/>
    <n v="0"/>
    <n v="4976475"/>
    <n v="1.1780920671508026"/>
    <n v="752293.25838490948"/>
    <n v="0.39800726839369349"/>
    <n v="0.12605985029321362"/>
    <n v="0.16101405227959867"/>
    <n v="9.451681059804673E-2"/>
  </r>
  <r>
    <x v="83"/>
    <n v="28238109"/>
    <n v="3559691.7931034481"/>
    <n v="3.8820415201966926E-2"/>
    <n v="33708145"/>
    <x v="83"/>
    <n v="4405341.64100309"/>
    <n v="3837335.64100309"/>
    <n v="568006"/>
    <n v="2806584"/>
    <n v="3689993"/>
    <n v="19038.793103448301"/>
    <n v="23278"/>
    <n v="62901"/>
    <n v="52915"/>
    <n v="2386"/>
    <n v="0"/>
    <n v="32084"/>
    <n v="73771"/>
    <n v="450799"/>
    <n v="430352"/>
    <n v="158470"/>
    <n v="73055"/>
    <n v="18507"/>
    <n v="18886"/>
    <n v="8922"/>
    <n v="10282"/>
    <n v="0"/>
    <n v="1344"/>
    <n v="0"/>
    <n v="861"/>
    <n v="4374737"/>
    <n v="0.99305283369665709"/>
    <n v="-30604.641003089957"/>
    <n v="0.38089159552293639"/>
    <n v="0.10447227414323559"/>
    <n v="0.12978278691989725"/>
    <n v="0.11158720469304906"/>
  </r>
  <r>
    <x v="84"/>
    <n v="30324337"/>
    <n v="3168052.4482758623"/>
    <n v="3.4549370724158861E-2"/>
    <n v="38132226"/>
    <x v="84"/>
    <n v="4399478.9731613202"/>
    <n v="3807049.9731613202"/>
    <n v="592429"/>
    <n v="2785242"/>
    <n v="3046332"/>
    <n v="19578.448275862102"/>
    <n v="22864"/>
    <n v="70468"/>
    <n v="69528"/>
    <n v="7635"/>
    <n v="0"/>
    <n v="17001"/>
    <n v="94127"/>
    <n v="173023"/>
    <n v="361861"/>
    <n v="64342"/>
    <n v="94556"/>
    <n v="22411"/>
    <n v="18197"/>
    <n v="8352"/>
    <n v="9810"/>
    <n v="0"/>
    <n v="516"/>
    <n v="0"/>
    <n v="0"/>
    <n v="3717791"/>
    <n v="0.84505256706080312"/>
    <n v="-681687.9731613202"/>
    <n v="0.1761266210939525"/>
    <n v="8.9193752040735916E-2"/>
    <n v="9.7497350403829036E-2"/>
    <n v="7.5958944277553009E-2"/>
  </r>
  <r>
    <x v="85"/>
    <n v="35440224"/>
    <n v="3161046.5517241377"/>
    <n v="3.4472967532869409E-2"/>
    <n v="41924161"/>
    <x v="85"/>
    <n v="3519116.6175930798"/>
    <n v="2932739.6175930798"/>
    <n v="586377"/>
    <n v="2131767"/>
    <n v="2642807"/>
    <n v="19721.551724137898"/>
    <n v="23650"/>
    <n v="37713"/>
    <n v="-404"/>
    <n v="4760"/>
    <n v="0"/>
    <n v="39979"/>
    <n v="79044"/>
    <n v="694821"/>
    <n v="434744"/>
    <n v="205802"/>
    <n v="76785"/>
    <n v="13403"/>
    <n v="21103"/>
    <n v="13080"/>
    <n v="17145"/>
    <n v="0"/>
    <n v="1334"/>
    <n v="0"/>
    <n v="1894"/>
    <n v="3298102"/>
    <n v="0.93719599501529338"/>
    <n v="-221014.61759307981"/>
    <n v="0.34067976734272243"/>
    <n v="6.0571230468978166E-2"/>
    <n v="7.8668288674876519E-2"/>
    <n v="3.2266298666112858E-2"/>
  </r>
  <r>
    <x v="86"/>
    <n v="40613707"/>
    <n v="2460022.2068965519"/>
    <n v="2.6827907871912731E-2"/>
    <n v="47742193"/>
    <x v="86"/>
    <n v="3000751.2837741398"/>
    <n v="2480720.2837741398"/>
    <n v="520031"/>
    <n v="1774382"/>
    <n v="2317287"/>
    <n v="23261.206896551699"/>
    <n v="27167"/>
    <n v="33871"/>
    <n v="17429"/>
    <n v="4459"/>
    <n v="4746"/>
    <n v="53653"/>
    <n v="201003"/>
    <n v="427289"/>
    <n v="468826"/>
    <n v="115398"/>
    <n v="82721"/>
    <n v="14337"/>
    <n v="18605"/>
    <n v="13372"/>
    <n v="10400"/>
    <n v="0"/>
    <n v="0"/>
    <n v="0"/>
    <n v="0"/>
    <n v="3148184"/>
    <n v="1.0491319347335009"/>
    <n v="147432.71622586017"/>
    <n v="0.5057527618711164"/>
    <n v="4.4071566790042614E-2"/>
    <n v="6.5941336209670978E-2"/>
    <n v="6.3624310415708596E-3"/>
  </r>
  <r>
    <x v="87"/>
    <n v="47440357"/>
    <n v="2090770.8620689656"/>
    <n v="2.2801016963024712E-2"/>
    <n v="45273020"/>
    <x v="87"/>
    <n v="2598466.11398621"/>
    <n v="2008754.11398621"/>
    <n v="589712"/>
    <n v="1413648"/>
    <n v="2957998"/>
    <n v="22200.8620689655"/>
    <n v="26180"/>
    <n v="26911"/>
    <n v="-154"/>
    <n v="3768"/>
    <n v="550"/>
    <n v="63590"/>
    <n v="61517"/>
    <n v="438928"/>
    <n v="431690"/>
    <n v="103627"/>
    <n v="77277"/>
    <n v="9571"/>
    <n v="13682"/>
    <n v="8527"/>
    <n v="3904"/>
    <n v="0"/>
    <n v="0"/>
    <n v="0"/>
    <n v="904"/>
    <n v="3573548"/>
    <n v="1.3752528773669299"/>
    <n v="975081.88601379003"/>
    <n v="0.48538781378730245"/>
    <n v="5.1883385348836873E-2"/>
    <n v="7.8933280792843064E-2"/>
    <n v="-2.3644430320186594E-2"/>
  </r>
  <r>
    <x v="88"/>
    <n v="46369398"/>
    <n v="2405801.3448275859"/>
    <n v="2.6236599269801774E-2"/>
    <n v="33370751"/>
    <x v="88"/>
    <n v="2961464.0918172901"/>
    <n v="2402662.0918172901"/>
    <n v="558802"/>
    <n v="1746951"/>
    <n v="3604617"/>
    <n v="25310.344827586199"/>
    <n v="22502"/>
    <n v="1629"/>
    <n v="35752"/>
    <n v="3494"/>
    <n v="1275"/>
    <n v="52783"/>
    <n v="167268"/>
    <n v="424195"/>
    <n v="465162"/>
    <n v="120034"/>
    <n v="79652"/>
    <n v="20419"/>
    <n v="21229"/>
    <n v="10986"/>
    <n v="5239"/>
    <n v="0"/>
    <n v="0"/>
    <n v="0"/>
    <n v="861"/>
    <n v="4403557"/>
    <n v="1.486952690788081"/>
    <n v="1442092.9081827099"/>
    <n v="0.29547843033483123"/>
    <n v="0.12773169131478163"/>
    <n v="0.13195858253234996"/>
    <n v="0.25398172512136696"/>
  </r>
  <r>
    <x v="89"/>
    <n v="26611832"/>
    <n v="3399174.3103448278"/>
    <n v="3.7069882939612969E-2"/>
    <n v="38734445"/>
    <x v="89"/>
    <n v="4175603.56200366"/>
    <n v="3657616.56200366"/>
    <n v="517987"/>
    <n v="2655583"/>
    <n v="3283588"/>
    <n v="17754.310344827602"/>
    <n v="15779"/>
    <n v="51685"/>
    <n v="39244"/>
    <n v="2075"/>
    <n v="2701"/>
    <n v="59000"/>
    <n v="39379"/>
    <n v="466998"/>
    <n v="507477"/>
    <n v="119148"/>
    <n v="107093"/>
    <n v="19608"/>
    <n v="9535"/>
    <n v="7323"/>
    <n v="7513"/>
    <n v="0"/>
    <n v="0"/>
    <n v="0"/>
    <n v="0"/>
    <n v="4012309"/>
    <n v="0.96089318356522735"/>
    <n v="-163294.56200366002"/>
    <n v="1.9172005525289748E-2"/>
    <n v="0.13207245227786754"/>
    <n v="0.10358503910408423"/>
    <n v="0.29945933531409086"/>
  </r>
  <r>
    <x v="90"/>
    <n v="29808124"/>
    <n v="3936832.0344827585"/>
    <n v="4.7400183559419766E-2"/>
    <n v="43075503"/>
    <x v="90"/>
    <n v="3202889.1143756318"/>
    <n v="2530915.7136566299"/>
    <n v="671973.40071900201"/>
    <n v="3138536"/>
    <n v="2663655"/>
    <n v="22106.034482758601"/>
    <n v="25983"/>
    <n v="84893"/>
    <n v="48888"/>
    <n v="8872"/>
    <n v="71"/>
    <n v="49545"/>
    <n v="69713"/>
    <n v="478988"/>
    <n v="295216"/>
    <n v="121840"/>
    <n v="108376"/>
    <n v="21703"/>
    <n v="8989"/>
    <n v="10349"/>
    <n v="5695"/>
    <n v="0"/>
    <n v="0"/>
    <n v="0"/>
    <n v="1536"/>
    <n v="3228122"/>
    <n v="1.0078781639711205"/>
    <n v="25232.885624368209"/>
    <n v="-0.20397530991597446"/>
    <n v="0.12274392420935275"/>
    <n v="7.4941016939488792E-2"/>
    <n v="0.30378794175345813"/>
  </r>
  <r>
    <x v="91"/>
    <n v="33038734"/>
    <n v="4055303.8620689656"/>
    <n v="4.882660620712715E-2"/>
    <n v="36898701"/>
    <x v="91"/>
    <n v="2492074.404775437"/>
    <n v="1958190.40659514"/>
    <n v="533883.99818029697"/>
    <n v="3224956"/>
    <n v="1732887"/>
    <n v="19000.8620689655"/>
    <n v="24716"/>
    <n v="53719"/>
    <n v="32881"/>
    <n v="3290"/>
    <n v="6045"/>
    <n v="91562"/>
    <n v="122827"/>
    <n v="496250"/>
    <n v="244674"/>
    <n v="140257"/>
    <n v="97541"/>
    <n v="19389"/>
    <n v="9445"/>
    <n v="6880"/>
    <n v="7745"/>
    <n v="0"/>
    <n v="-585"/>
    <n v="0"/>
    <n v="0"/>
    <n v="2278176"/>
    <n v="0.91416853190035008"/>
    <n v="-213898.40477543697"/>
    <n v="-0.25369504920914754"/>
    <n v="8.1323903359707142E-2"/>
    <n v="6.1741360488544027E-2"/>
    <n v="-1.698907807113148E-2"/>
  </r>
  <r>
    <x v="92"/>
    <n v="37536410"/>
    <n v="3052607.3793103448"/>
    <n v="3.6753955679788182E-2"/>
    <n v="17241821"/>
    <x v="92"/>
    <n v="2018282.4388011731"/>
    <n v="1508618.83358052"/>
    <n v="509663.605220653"/>
    <n v="2284246"/>
    <n v="1389487"/>
    <n v="20966.379310344801"/>
    <n v="23309"/>
    <n v="55138"/>
    <n v="-1550"/>
    <n v="3034"/>
    <n v="0"/>
    <n v="100239"/>
    <n v="46431"/>
    <n v="439577"/>
    <n v="273373"/>
    <n v="113852"/>
    <n v="89277"/>
    <n v="26202"/>
    <n v="12317"/>
    <n v="9353"/>
    <n v="3148"/>
    <n v="0"/>
    <n v="1439"/>
    <n v="0"/>
    <n v="0"/>
    <n v="1837231"/>
    <n v="0.91029430008383028"/>
    <n v="-181051.43880117312"/>
    <n v="-0.2635871766914516"/>
    <n v="6.5921403064069475E-2"/>
    <n v="0.10655666823127326"/>
    <n v="-0.54441737572436"/>
  </r>
  <r>
    <x v="93"/>
    <n v="37845651"/>
    <n v="2494838.4137931038"/>
    <n v="3.0038314494771637E-2"/>
    <n v="29614522"/>
    <x v="93"/>
    <n v="1813607.8576939679"/>
    <n v="1438592.65500991"/>
    <n v="375015.20268405799"/>
    <n v="1760543"/>
    <n v="1533453"/>
    <n v="20947.4137931035"/>
    <n v="20033"/>
    <n v="62700"/>
    <n v="3141"/>
    <n v="517"/>
    <n v="6216"/>
    <n v="58034"/>
    <n v="58547"/>
    <n v="446985"/>
    <n v="258489"/>
    <n v="115709"/>
    <n v="94071"/>
    <n v="18229"/>
    <n v="8439"/>
    <n v="11174"/>
    <n v="5821"/>
    <n v="0"/>
    <n v="0"/>
    <n v="0"/>
    <n v="689"/>
    <n v="1988899"/>
    <n v="1.0966532768163664"/>
    <n v="175291.14230603212"/>
    <n v="-7.2327307381936823E-2"/>
    <n v="4.3378422722509559E-2"/>
    <n v="6.7159584746969744E-2"/>
    <n v="-0.4008155595344014"/>
  </r>
  <r>
    <x v="94"/>
    <n v="49424718"/>
    <n v="2143966.3103448274"/>
    <n v="2.5813749676244106E-2"/>
    <n v="32111892"/>
    <x v="94"/>
    <n v="2403925.7696780148"/>
    <n v="1923027.8825731699"/>
    <n v="480897.88710484502"/>
    <n v="1496166"/>
    <n v="2062753"/>
    <n v="21429.310344827602"/>
    <n v="21508"/>
    <n v="11511"/>
    <n v="-895"/>
    <n v="8"/>
    <n v="0"/>
    <n v="49878"/>
    <n v="60855"/>
    <n v="435734"/>
    <n v="330907"/>
    <n v="114189"/>
    <n v="116557"/>
    <n v="9901"/>
    <n v="9893"/>
    <n v="5150"/>
    <n v="5934"/>
    <n v="0"/>
    <n v="0"/>
    <n v="0"/>
    <n v="2066"/>
    <n v="2609578"/>
    <n v="1.0855484944318936"/>
    <n v="205652.2303219852"/>
    <n v="1.772960806205548E-2"/>
    <n v="5.2541573348946838E-2"/>
    <n v="8.1265158714410229E-2"/>
    <n v="-0.34199211941112773"/>
  </r>
  <r>
    <x v="95"/>
    <n v="48801683"/>
    <n v="2564117.2068965519"/>
    <n v="3.0872443937205406E-2"/>
    <n v="25748860"/>
    <x v="95"/>
    <n v="3799683.2282442148"/>
    <n v="3238014.31839043"/>
    <n v="561668.90985378495"/>
    <n v="1847860"/>
    <n v="3236683"/>
    <n v="18636.206896551699"/>
    <n v="13884"/>
    <n v="26062"/>
    <n v="33131"/>
    <n v="2036"/>
    <n v="1049"/>
    <n v="55957"/>
    <n v="69872"/>
    <n v="473249"/>
    <n v="347578"/>
    <n v="122349"/>
    <n v="92698"/>
    <n v="13822"/>
    <n v="11105"/>
    <n v="4146"/>
    <n v="6982"/>
    <n v="0"/>
    <n v="0"/>
    <n v="0"/>
    <n v="0"/>
    <n v="3812982"/>
    <n v="1.0034999685386747"/>
    <n v="13298.771755785216"/>
    <n v="3.5811557226196111E-2"/>
    <n v="0.13096739969516344"/>
    <n v="0.14808352680468184"/>
    <n v="-8.3911970822780901E-2"/>
  </r>
  <r>
    <x v="96"/>
    <n v="28107408"/>
    <n v="3681154.1379310344"/>
    <n v="4.4321774543620761E-2"/>
    <n v="29344448"/>
    <x v="96"/>
    <n v="4130456.0199458422"/>
    <n v="3507321.56373533"/>
    <n v="623134.45621051197"/>
    <n v="2938155"/>
    <n v="3458231"/>
    <n v="17774.1379310345"/>
    <n v="13114"/>
    <n v="73052"/>
    <n v="46704"/>
    <n v="6096"/>
    <n v="6042"/>
    <n v="48292"/>
    <n v="57558"/>
    <n v="444090"/>
    <n v="339334"/>
    <n v="111346"/>
    <n v="100463"/>
    <n v="36065"/>
    <n v="21803"/>
    <n v="6284"/>
    <n v="5551"/>
    <n v="0"/>
    <n v="0"/>
    <n v="0"/>
    <n v="0"/>
    <n v="4048800"/>
    <n v="0.98023074944956978"/>
    <n v="-81656.019945842214"/>
    <n v="2.3932840375529896E-2"/>
    <n v="0.12800076920925405"/>
    <n v="0.13797499274820232"/>
    <n v="-5.00873486120057E-2"/>
  </r>
  <r>
    <x v="97"/>
    <n v="30891733"/>
    <n v="3954165.5862068967"/>
    <n v="4.7608882718099717E-2"/>
    <n v="32604834"/>
    <x v="97"/>
    <n v="4462204.5025639776"/>
    <n v="3823240.0389817902"/>
    <n v="638964.46358218696"/>
    <n v="3216605"/>
    <n v="3303877"/>
    <n v="21327.586206896602"/>
    <n v="7511"/>
    <n v="89117"/>
    <n v="44772"/>
    <n v="9523"/>
    <n v="1353"/>
    <n v="65722"/>
    <n v="93757"/>
    <n v="426938"/>
    <n v="499464"/>
    <n v="95196"/>
    <n v="121896"/>
    <n v="19287"/>
    <n v="23159"/>
    <n v="10450"/>
    <n v="6698"/>
    <n v="0"/>
    <n v="1621"/>
    <n v="0"/>
    <n v="2497"/>
    <n v="4106605"/>
    <n v="0.92030855995962302"/>
    <n v="-355599.50256397761"/>
    <n v="0.22831004738395433"/>
    <n v="9.9589552271077394E-2"/>
    <n v="0.12595080226447403"/>
    <n v="-2.8772778976274505E-2"/>
  </r>
  <r>
    <x v="98"/>
    <n v="33570758"/>
    <n v="3343296.7586206896"/>
    <n v="4.0253909403339526E-2"/>
    <n v="37442596"/>
    <x v="98"/>
    <n v="3442825.792989464"/>
    <n v="2838051.03188224"/>
    <n v="604774.76110722404"/>
    <n v="2654418"/>
    <n v="3172823"/>
    <n v="17257.758620689699"/>
    <n v="20804"/>
    <n v="79591"/>
    <n v="11709"/>
    <n v="3785"/>
    <n v="1421"/>
    <n v="72783"/>
    <n v="87691"/>
    <n v="402853"/>
    <n v="462300"/>
    <n v="84871"/>
    <n v="118189"/>
    <n v="19957"/>
    <n v="14527"/>
    <n v="7781"/>
    <n v="13979"/>
    <n v="0"/>
    <n v="0"/>
    <n v="0"/>
    <n v="818"/>
    <n v="3904261"/>
    <n v="1.1340280440416546"/>
    <n v="461435.20701053599"/>
    <n v="0.36723234514242131"/>
    <n v="7.4766793291071651E-2"/>
    <n v="0.10427324537005928"/>
    <n v="-1.9656693648064549E-2"/>
  </r>
  <r>
    <x v="99"/>
    <n v="38193351"/>
    <n v="2855594.3793103448"/>
    <n v="3.4381882834973787E-2"/>
    <n v="38060436"/>
    <x v="99"/>
    <n v="3326298.0552961957"/>
    <n v="2749076.7175187599"/>
    <n v="577221.33777743601"/>
    <n v="2192657"/>
    <n v="2535597"/>
    <n v="17516.379310344801"/>
    <n v="22229"/>
    <n v="43419"/>
    <n v="16211"/>
    <n v="11270"/>
    <n v="1789"/>
    <n v="53292"/>
    <n v="52425"/>
    <n v="414956"/>
    <n v="374003"/>
    <n v="99227"/>
    <n v="127024"/>
    <n v="16763"/>
    <n v="13679"/>
    <n v="6494"/>
    <n v="5354"/>
    <n v="0"/>
    <n v="0"/>
    <n v="0"/>
    <n v="646"/>
    <n v="3148957"/>
    <n v="0.94668515799002739"/>
    <n v="-177341.05529619567"/>
    <n v="0.41306601555280498"/>
    <n v="5.7685967788381379E-2"/>
    <n v="8.2735704866859647E-2"/>
    <n v="-1.4765381074470674E-2"/>
  </r>
  <r>
    <x v="100"/>
    <n v="38630835"/>
    <n v="2228457.1034482759"/>
    <n v="2.683103440343227E-2"/>
    <n v="44317773"/>
    <x v="100"/>
    <n v="2937113.3031593719"/>
    <n v="2441321.4519349602"/>
    <n v="495791.85122441198"/>
    <n v="1604794"/>
    <n v="1919461"/>
    <n v="16868.103448275899"/>
    <n v="23291"/>
    <n v="51502"/>
    <n v="9774"/>
    <n v="8066"/>
    <n v="0"/>
    <n v="71162"/>
    <n v="121634"/>
    <n v="379811"/>
    <n v="377396"/>
    <n v="81052"/>
    <n v="109212"/>
    <n v="5276"/>
    <n v="11510"/>
    <n v="9926"/>
    <n v="7393"/>
    <n v="0"/>
    <n v="0"/>
    <n v="0"/>
    <n v="0"/>
    <n v="2579671"/>
    <n v="0.87830149324682805"/>
    <n v="-357442.30315937195"/>
    <n v="0.32706090842252045"/>
    <n v="4.129742863523745E-2"/>
    <n v="5.8208497976646977E-2"/>
    <n v="-5.8484498566177434E-2"/>
  </r>
  <r>
    <x v="101"/>
    <n v="47070678"/>
    <n v="1943897.9655172415"/>
    <n v="2.3404889916367962E-2"/>
    <n v="45342867"/>
    <x v="101"/>
    <n v="3206594.500332939"/>
    <n v="2685635.78252867"/>
    <n v="520958.71780426899"/>
    <n v="1381331"/>
    <n v="2182914"/>
    <n v="16293.9655172414"/>
    <n v="23094"/>
    <n v="6610"/>
    <n v="-748"/>
    <n v="11834"/>
    <n v="0"/>
    <n v="53467"/>
    <n v="47402"/>
    <n v="372193"/>
    <n v="497090"/>
    <n v="72801"/>
    <n v="137516"/>
    <n v="17561"/>
    <n v="16747"/>
    <n v="11807"/>
    <n v="6469"/>
    <n v="0"/>
    <n v="0"/>
    <n v="0"/>
    <n v="0"/>
    <n v="2910484"/>
    <n v="0.90765576991347241"/>
    <n v="-296110.50033293897"/>
    <n v="0.36574766384175361"/>
    <n v="4.9721323973147505E-2"/>
    <n v="6.4188354035928083E-2"/>
    <n v="5.7929948187108726E-2"/>
  </r>
  <r>
    <x v="102"/>
    <n v="42859990"/>
    <n v="2131055.4482758623"/>
    <n v="2.5658300516458021E-2"/>
    <n v="25303094"/>
    <x v="102"/>
    <n v="4091565.706355758"/>
    <n v="3548869.4431393798"/>
    <n v="542696.26321637805"/>
    <n v="1569406"/>
    <n v="3545385"/>
    <n v="19453.448275862102"/>
    <n v="17718"/>
    <n v="1820"/>
    <n v="56841"/>
    <n v="11036"/>
    <n v="2996"/>
    <n v="72440"/>
    <n v="100894"/>
    <n v="333556"/>
    <n v="599220"/>
    <n v="96341"/>
    <n v="96164"/>
    <n v="15131"/>
    <n v="20425"/>
    <n v="11872"/>
    <n v="6939"/>
    <n v="0"/>
    <n v="1740"/>
    <n v="0"/>
    <n v="2669"/>
    <n v="4450991"/>
    <n v="1.0878454165078952"/>
    <n v="359425.29364424199"/>
    <n v="0.31249180447219582"/>
    <n v="0.10189160909166961"/>
    <n v="0.17590698592037796"/>
    <n v="-0.23975786875324512"/>
  </r>
  <r>
    <x v="103"/>
    <n v="33282941"/>
    <n v="3391252.4137931033"/>
    <n v="4.0831304333571371E-2"/>
    <n v="28217356"/>
    <x v="103"/>
    <n v="4355526.0469413977"/>
    <n v="3902260.8948228299"/>
    <n v="453265.15211856802"/>
    <n v="2602332"/>
    <n v="3863997"/>
    <n v="16797.4137931035"/>
    <n v="23988"/>
    <n v="67991"/>
    <n v="19513"/>
    <n v="21714"/>
    <n v="3125"/>
    <n v="83069"/>
    <n v="94878"/>
    <n v="470529"/>
    <n v="330568"/>
    <n v="93695"/>
    <n v="67207"/>
    <n v="26519"/>
    <n v="14175"/>
    <n v="8606"/>
    <n v="8738"/>
    <n v="0"/>
    <n v="2248"/>
    <n v="0"/>
    <n v="732"/>
    <n v="4429169"/>
    <n v="1.0169079354054873"/>
    <n v="73642.953058602288"/>
    <n v="0.46342650016029285"/>
    <n v="7.9556236029688684E-2"/>
    <n v="0.15696612396994247"/>
    <n v="-0.25828133412310206"/>
  </r>
  <r>
    <x v="104"/>
    <n v="38043206"/>
    <n v="3026574.2758620689"/>
    <n v="3.6440512314345808E-2"/>
    <n v="30934395"/>
    <x v="104"/>
    <n v="4584480.9785924656"/>
    <n v="4112402.5295298402"/>
    <n v="472078.449062625"/>
    <n v="2444873"/>
    <n v="3534692"/>
    <n v="19573.275862069"/>
    <n v="21408"/>
    <n v="50256"/>
    <n v="53680"/>
    <n v="13006"/>
    <n v="4047"/>
    <n v="55749"/>
    <n v="65918"/>
    <n v="297114"/>
    <n v="262840"/>
    <n v="118730"/>
    <n v="39646"/>
    <n v="16825"/>
    <n v="15104"/>
    <n v="10448"/>
    <n v="8648"/>
    <n v="0"/>
    <n v="4107"/>
    <n v="0"/>
    <n v="2066"/>
    <n v="4012156"/>
    <n v="0.87516035484387988"/>
    <n v="-572324.97859246563"/>
    <n v="0.65860774226145491"/>
    <n v="5.8822968242790596E-2"/>
    <n v="0.12969886755503057"/>
    <n v="-0.24776343549109126"/>
  </r>
  <r>
    <x v="105"/>
    <n v="41123227"/>
    <n v="2418990.2758620689"/>
    <n v="2.912508892937268E-2"/>
    <n v="35697133"/>
    <x v="105"/>
    <n v="3849003.8644771161"/>
    <n v="3227221.74691774"/>
    <n v="621782.11755937606"/>
    <n v="1792566"/>
    <n v="3470178"/>
    <n v="19598.275862069"/>
    <n v="28270"/>
    <n v="46001"/>
    <n v="24297"/>
    <n v="12990"/>
    <n v="671"/>
    <n v="70129"/>
    <n v="75563"/>
    <n v="329344"/>
    <n v="302084"/>
    <n v="114466"/>
    <n v="48237"/>
    <n v="22862"/>
    <n v="25300"/>
    <n v="11034"/>
    <n v="8648"/>
    <n v="0"/>
    <n v="2420"/>
    <n v="0"/>
    <n v="903"/>
    <n v="3986571"/>
    <n v="1.0357409710061625"/>
    <n v="137567.13552288385"/>
    <n v="1.1231561035769011"/>
    <n v="5.2150620206851087E-2"/>
    <n v="0.11167762408258389"/>
    <n v="-8.5399066547285907E-3"/>
  </r>
  <r>
    <x v="106"/>
    <n v="36004609"/>
    <n v="1877662.6896551724"/>
    <n v="2.2607404982677267E-2"/>
    <n v="36809100"/>
    <x v="106"/>
    <n v="3229637.3642553282"/>
    <n v="2423378.2517975001"/>
    <n v="806259.11245782801"/>
    <n v="1396188"/>
    <n v="2853424"/>
    <n v="18720.689655172398"/>
    <n v="23469"/>
    <n v="28846"/>
    <n v="52403"/>
    <n v="77"/>
    <n v="274"/>
    <n v="58156"/>
    <n v="99139"/>
    <n v="252134"/>
    <n v="306316"/>
    <n v="102799"/>
    <n v="34098"/>
    <n v="13428"/>
    <n v="17055"/>
    <n v="7314"/>
    <n v="11232"/>
    <n v="0"/>
    <n v="2023"/>
    <n v="0"/>
    <n v="0"/>
    <n v="3399433"/>
    <n v="1.0525742108460596"/>
    <n v="169795.6357446718"/>
    <n v="1.2426681127691501"/>
    <n v="9.7540778059402464E-2"/>
    <n v="9.2353059433672655E-2"/>
    <n v="1.3686447854564099"/>
  </r>
  <r>
    <x v="107"/>
    <n v="15540152"/>
    <n v="1515798.5172413792"/>
    <n v="1.8250493627111931E-2"/>
    <n v="47810548"/>
    <x v="107"/>
    <n v="3047041.5702864998"/>
    <n v="2295427.3833223199"/>
    <n v="751614.18696417997"/>
    <n v="1047803"/>
    <n v="1975856"/>
    <n v="13265.517241379301"/>
    <n v="34542"/>
    <n v="10416"/>
    <n v="12478"/>
    <n v="1772"/>
    <n v="5202"/>
    <n v="83897"/>
    <n v="74166"/>
    <n v="262910"/>
    <n v="278466"/>
    <n v="73506"/>
    <n v="33090"/>
    <n v="15139"/>
    <n v="20145"/>
    <n v="7090"/>
    <n v="8615"/>
    <n v="0"/>
    <n v="2201"/>
    <n v="0"/>
    <n v="775"/>
    <n v="2445536"/>
    <n v="0.80259357924350772"/>
    <n v="-601505.5702864998"/>
    <n v="0.79573039760842534"/>
    <n v="4.9561586382346208E-2"/>
    <n v="5.1150553639334982E-2"/>
    <n v="0.73994689965650906"/>
  </r>
  <r>
    <x v="108"/>
    <n v="27478165"/>
    <n v="1361861.4482758623"/>
    <n v="1.6397062934196113E-2"/>
    <n v="47890384"/>
    <x v="108"/>
    <n v="3292789.7531871479"/>
    <n v="2583740.9904822102"/>
    <n v="709048.76270493795"/>
    <n v="1029021"/>
    <n v="2555315"/>
    <n v="15128.4482758621"/>
    <n v="26884"/>
    <n v="1459"/>
    <n v="-3026"/>
    <n v="1022"/>
    <n v="5082"/>
    <n v="56811"/>
    <n v="58228"/>
    <n v="164386"/>
    <n v="337847"/>
    <n v="71020"/>
    <n v="30590"/>
    <n v="15099"/>
    <n v="30639"/>
    <n v="7915"/>
    <n v="7830"/>
    <n v="0"/>
    <n v="2928"/>
    <n v="0"/>
    <n v="2669"/>
    <n v="3054986"/>
    <n v="0.92778046246136014"/>
    <n v="-237803.7531871479"/>
    <n v="0.67633657162917116"/>
    <n v="6.3435371277133751E-2"/>
    <n v="6.37912195483753E-2"/>
    <n v="0.66698541836299374"/>
  </r>
  <r>
    <x v="109"/>
    <n v="28728736"/>
    <n v="1822418.0344827585"/>
    <n v="2.1942249148515978E-2"/>
    <n v="25946603"/>
    <x v="109"/>
    <n v="4640854.5148641914"/>
    <n v="3921418.0021528802"/>
    <n v="719436.51271131099"/>
    <n v="1427487"/>
    <n v="3569997"/>
    <n v="14906.0344827586"/>
    <n v="23882"/>
    <n v="6558"/>
    <n v="57151"/>
    <n v="2552"/>
    <n v="2735"/>
    <n v="23514"/>
    <n v="75423"/>
    <n v="241574"/>
    <n v="380425"/>
    <n v="85791"/>
    <n v="38997"/>
    <n v="14358"/>
    <n v="24724"/>
    <n v="5678"/>
    <n v="7395"/>
    <n v="0"/>
    <n v="672"/>
    <n v="0"/>
    <n v="4349"/>
    <n v="4185750"/>
    <n v="0.90193519029598168"/>
    <n v="-455104.51486419141"/>
    <n v="0.42648818936279276"/>
    <n v="0.12120522681596414"/>
    <n v="0.16132169594609361"/>
    <n v="7.1758039289308684E-2"/>
  </r>
  <r>
    <x v="110"/>
    <n v="24209385"/>
    <n v="2934304"/>
    <n v="3.5329561180380296E-2"/>
    <n v="29155457"/>
    <x v="110"/>
    <n v="4656374.6585687567"/>
    <n v="4035988.4624826298"/>
    <n v="620386.19608612696"/>
    <n v="2363849"/>
    <n v="4139341"/>
    <n v="17125"/>
    <n v="24511"/>
    <n v="35717"/>
    <n v="54526"/>
    <n v="5563"/>
    <n v="3314"/>
    <n v="61395"/>
    <n v="85133"/>
    <n v="313296"/>
    <n v="395267"/>
    <n v="96557"/>
    <n v="32186"/>
    <n v="30744"/>
    <n v="19904"/>
    <n v="10058"/>
    <n v="12866"/>
    <n v="0"/>
    <n v="1339"/>
    <n v="0"/>
    <n v="2841"/>
    <n v="4771228"/>
    <n v="1.0246658290736739"/>
    <n v="114853.34143124335"/>
    <n v="0.52428761144730562"/>
    <n v="0.10985371247421367"/>
    <n v="0.16364785501390014"/>
    <n v="2.3225467768674957E-2"/>
  </r>
  <r>
    <x v="111"/>
    <n v="28493678"/>
    <n v="3130136.3103448278"/>
    <n v="3.7687418304053512E-2"/>
    <n v="30577431"/>
    <x v="111"/>
    <n v="4508167.3730940577"/>
    <n v="3939193.9936038898"/>
    <n v="568973.37949016795"/>
    <n v="2523969"/>
    <n v="3741744"/>
    <n v="18554.310344827602"/>
    <n v="21002"/>
    <n v="108487"/>
    <n v="36270"/>
    <n v="10773"/>
    <n v="0"/>
    <n v="28432"/>
    <n v="93176"/>
    <n v="315822"/>
    <n v="357567"/>
    <n v="99999"/>
    <n v="53926"/>
    <n v="19059"/>
    <n v="25691"/>
    <n v="5041"/>
    <n v="4757"/>
    <n v="0"/>
    <n v="5288"/>
    <n v="0"/>
    <n v="4650"/>
    <n v="4344071"/>
    <n v="0.96360020391580214"/>
    <n v="-164096.37309405766"/>
    <n v="0.28447423466388511"/>
    <n v="0.10635308849722269"/>
    <n v="0.14206788660564715"/>
    <n v="-3.8432926571173143E-2"/>
  </r>
  <r>
    <x v="112"/>
    <n v="31799582"/>
    <n v="3381983.7586206896"/>
    <n v="4.071970801636169E-2"/>
    <n v="35456383"/>
    <x v="112"/>
    <n v="3746831.352177362"/>
    <n v="3186575.4791342602"/>
    <n v="560255.87304310198"/>
    <n v="2790322"/>
    <n v="3133148"/>
    <n v="14407.758620689699"/>
    <n v="22359"/>
    <n v="48820"/>
    <n v="23409"/>
    <n v="26723"/>
    <n v="0"/>
    <n v="52261"/>
    <n v="68920"/>
    <n v="314535"/>
    <n v="357674"/>
    <n v="102425"/>
    <n v="42322"/>
    <n v="23735"/>
    <n v="18255"/>
    <n v="8755"/>
    <n v="8264"/>
    <n v="0"/>
    <n v="5048"/>
    <n v="0"/>
    <n v="4994"/>
    <n v="3684393"/>
    <n v="0.98333569186638792"/>
    <n v="-62438.352177361958"/>
    <n v="0.42593433236935518"/>
    <n v="7.2175324648648551E-2"/>
    <n v="0.10391339127851817"/>
    <n v="-9.5860398727257712E-3"/>
  </r>
  <r>
    <x v="113"/>
    <n v="35799559"/>
    <n v="2583844.7931034481"/>
    <n v="3.1109967712464468E-2"/>
    <n v="35631295"/>
    <x v="113"/>
    <n v="2943088.510209234"/>
    <n v="2445372.7951799599"/>
    <n v="497715.715029274"/>
    <n v="2029339"/>
    <n v="2485615"/>
    <n v="15613.793103448301"/>
    <n v="21234"/>
    <n v="42994"/>
    <n v="22286"/>
    <n v="15816"/>
    <n v="0"/>
    <n v="73103"/>
    <n v="56136"/>
    <n v="277457"/>
    <n v="280641"/>
    <n v="104526"/>
    <n v="37782"/>
    <n v="16782"/>
    <n v="17034"/>
    <n v="8214"/>
    <n v="10707"/>
    <n v="0"/>
    <n v="8599"/>
    <n v="0"/>
    <n v="1378"/>
    <n v="2941412"/>
    <n v="0.99943035685015302"/>
    <n v="-1676.5102092339657"/>
    <n v="0.15867807086619079"/>
    <n v="6.6232494637862321E-2"/>
    <n v="8.2551363906363778E-2"/>
    <n v="-7.037103344893747E-2"/>
  </r>
  <r>
    <x v="114"/>
    <n v="38328512"/>
    <n v="2538592.9655172415"/>
    <n v="3.0565127364896218E-2"/>
    <n v="44200408"/>
    <x v="114"/>
    <n v="2922593.1010954212"/>
    <n v="2381328.42008851"/>
    <n v="541264.68100691098"/>
    <n v="1938792"/>
    <n v="1858764"/>
    <n v="18018.965517241399"/>
    <n v="23248"/>
    <n v="42050"/>
    <n v="9296"/>
    <n v="8072"/>
    <n v="1497"/>
    <n v="101687"/>
    <n v="70341"/>
    <n v="321502"/>
    <n v="308728"/>
    <n v="81927"/>
    <n v="43807"/>
    <n v="14919"/>
    <n v="13947"/>
    <n v="11625"/>
    <n v="4542"/>
    <n v="0"/>
    <n v="1327"/>
    <n v="0"/>
    <n v="2411"/>
    <n v="2337908"/>
    <n v="0.7999430365875172"/>
    <n v="-584685.10109542124"/>
    <n v="4.7114888971368396E-2"/>
    <n v="5.2314718693853068E-2"/>
    <n v="5.2893357907465473E-2"/>
    <n v="3.5659731653199467E-2"/>
  </r>
  <r>
    <x v="115"/>
    <n v="42678504"/>
    <n v="2232713.931034483"/>
    <n v="2.6882287392434513E-2"/>
    <n v="44483663"/>
    <x v="115"/>
    <n v="3121767.4812489282"/>
    <n v="2426796.8099636701"/>
    <n v="694970.67128525802"/>
    <n v="1752638"/>
    <n v="2402155"/>
    <n v="19887.931034482801"/>
    <n v="22570"/>
    <n v="25737"/>
    <n v="5255"/>
    <n v="1459"/>
    <n v="0"/>
    <n v="72841"/>
    <n v="42305"/>
    <n v="250845"/>
    <n v="188051"/>
    <n v="82494"/>
    <n v="44006"/>
    <n v="16169"/>
    <n v="23511"/>
    <n v="10643"/>
    <n v="6576"/>
    <n v="0"/>
    <n v="0"/>
    <n v="0"/>
    <n v="5726"/>
    <n v="2740155"/>
    <n v="0.87775755768451524"/>
    <n v="-381612.48124892823"/>
    <n v="0.12358490181871318"/>
    <n v="5.8724910411467227E-2"/>
    <n v="6.1599131348513275E-2"/>
    <n v="7.115833055612808E-2"/>
  </r>
  <r>
    <x v="116"/>
    <n v="41528560"/>
    <n v="2438760.9655172415"/>
    <n v="2.9363131678096309E-2"/>
    <n v="25760577"/>
    <x v="116"/>
    <n v="3938557.7823995668"/>
    <n v="3150380.9104436301"/>
    <n v="788176.87195593701"/>
    <n v="1946010"/>
    <n v="3645929"/>
    <n v="18168.965517241399"/>
    <n v="20822"/>
    <n v="19936"/>
    <n v="10309"/>
    <n v="3572"/>
    <n v="2738"/>
    <n v="72272"/>
    <n v="64173"/>
    <n v="273543"/>
    <n v="460477"/>
    <n v="81092"/>
    <n v="93404"/>
    <n v="16940"/>
    <n v="20032"/>
    <n v="7227"/>
    <n v="9335"/>
    <n v="0"/>
    <n v="8011"/>
    <n v="0"/>
    <n v="3607"/>
    <n v="4338837"/>
    <n v="1.1016309115456377"/>
    <n v="400279.21760043316"/>
    <n v="0.35542776188732339"/>
    <n v="0.13060615931839281"/>
    <n v="0.16842934069372748"/>
    <n v="5.1047361964892346E-2"/>
  </r>
  <r>
    <x v="117"/>
    <n v="24509435"/>
    <n v="3201083.1724137929"/>
    <n v="3.8541631604386915E-2"/>
    <n v="29247943"/>
    <x v="117"/>
    <n v="4775363.2823169054"/>
    <n v="3865009.1529240501"/>
    <n v="910354.12939285499"/>
    <n v="2632448"/>
    <n v="3414301"/>
    <n v="14455.1724137931"/>
    <n v="21260"/>
    <n v="64714"/>
    <n v="30481"/>
    <n v="9783"/>
    <n v="1453"/>
    <n v="89766"/>
    <n v="60651"/>
    <n v="268976"/>
    <n v="297757"/>
    <n v="80501"/>
    <n v="122634"/>
    <n v="31107"/>
    <n v="18935"/>
    <n v="9333"/>
    <n v="8545"/>
    <n v="0"/>
    <n v="11569"/>
    <n v="0"/>
    <n v="4607"/>
    <n v="3992193"/>
    <n v="0.8359977584915953"/>
    <n v="-783170.28231690545"/>
    <n v="0.12930378229221229"/>
    <n v="0.1332747093309751"/>
    <n v="0.13649482973896659"/>
    <n v="0.10266179033445377"/>
  </r>
  <r>
    <x v="118"/>
    <n v="26524854"/>
    <n v="3535092.2068965519"/>
    <n v="4.2563161963394838E-2"/>
    <n v="33378286"/>
    <x v="118"/>
    <n v="4786174.5106639257"/>
    <n v="3969770.1570955799"/>
    <n v="816404.35356834601"/>
    <n v="3065439"/>
    <n v="3197203"/>
    <n v="17661.206896551699"/>
    <n v="23371"/>
    <n v="28804"/>
    <n v="59752"/>
    <n v="996"/>
    <n v="1516"/>
    <n v="85432"/>
    <n v="126425"/>
    <n v="243921"/>
    <n v="317515"/>
    <n v="68863"/>
    <n v="127512"/>
    <n v="14584"/>
    <n v="17434"/>
    <n v="9392"/>
    <n v="4509"/>
    <n v="0"/>
    <n v="7208"/>
    <n v="0"/>
    <n v="4478"/>
    <n v="3886923"/>
    <n v="0.81211476751206391"/>
    <n v="-899251.51066392567"/>
    <n v="0.18545306909786663"/>
    <n v="0.12699229170806989"/>
    <n v="0.11645064698648697"/>
    <n v="0.29276569819807174"/>
  </r>
  <r>
    <x v="119"/>
    <n v="25819285"/>
    <n v="3278850.1724137929"/>
    <n v="3.9477960622891689E-2"/>
    <n v="30386544"/>
    <x v="119"/>
    <n v="4665726.4877311597"/>
    <n v="3834357.5068530198"/>
    <n v="831368.98087813996"/>
    <n v="2779622"/>
    <n v="2367928"/>
    <n v="15955.1724137931"/>
    <n v="13584"/>
    <n v="51237"/>
    <n v="30645"/>
    <n v="13462"/>
    <n v="1800"/>
    <n v="80785"/>
    <n v="78185"/>
    <n v="259639"/>
    <n v="230564"/>
    <n v="53075"/>
    <n v="119400"/>
    <n v="18341"/>
    <n v="15064"/>
    <n v="6734"/>
    <n v="10948"/>
    <n v="0"/>
    <n v="2681"/>
    <n v="0"/>
    <n v="1816"/>
    <n v="2872615"/>
    <n v="0.6156843971788174"/>
    <n v="-1793111.4877311597"/>
    <n v="3.7476202425303917E-3"/>
    <n v="7.154938064119494E-2"/>
    <n v="9.4535758985951152E-2"/>
    <n v="-0.24031370437191812"/>
  </r>
  <r>
    <x v="120"/>
    <n v="39998805"/>
    <n v="2861889.7241379311"/>
    <n v="2.6995257789858985E-2"/>
    <n v="44124537"/>
    <x v="120"/>
    <n v="3662928.8948852308"/>
    <n v="3090983.4582338501"/>
    <n v="571945.43665138097"/>
    <n v="2245026"/>
    <n v="2069924"/>
    <n v="19726.724137931"/>
    <n v="31463"/>
    <n v="14608"/>
    <n v="2522"/>
    <n v="195"/>
    <n v="0"/>
    <n v="107730"/>
    <n v="33966"/>
    <n v="402948"/>
    <n v="215596"/>
    <n v="54211"/>
    <n v="89389"/>
    <n v="12681"/>
    <n v="23623"/>
    <n v="4764"/>
    <n v="9448"/>
    <n v="0"/>
    <n v="2225"/>
    <n v="0"/>
    <n v="3134"/>
    <n v="2481290"/>
    <n v="0.6774059970055043"/>
    <n v="-1181638.8948852308"/>
    <n v="-0.16474736012186497"/>
    <n v="8.7082735835159533E-2"/>
    <n v="5.6233791189695653E-2"/>
    <n v="0.29345867414067417"/>
  </r>
  <r>
    <x v="121"/>
    <n v="34113604"/>
    <n v="2970705.9655172415"/>
    <n v="2.8021685350285989E-2"/>
    <n v="39743152"/>
    <x v="121"/>
    <n v="3806845.0181720783"/>
    <n v="3283565.1481157802"/>
    <n v="523279.87005629798"/>
    <n v="2361198"/>
    <n v="1930522"/>
    <n v="17493.965517241399"/>
    <n v="20804"/>
    <n v="63530"/>
    <n v="-732"/>
    <n v="10847"/>
    <n v="1144"/>
    <n v="83416"/>
    <n v="87762"/>
    <n v="355472"/>
    <n v="178276"/>
    <n v="50730"/>
    <n v="69883"/>
    <n v="19076"/>
    <n v="10926"/>
    <n v="8943"/>
    <n v="4862"/>
    <n v="0"/>
    <n v="447"/>
    <n v="0"/>
    <n v="4607"/>
    <n v="2308501"/>
    <n v="0.60640792808225907"/>
    <n v="-1498344.0181720783"/>
    <n v="2.2599130851069349E-2"/>
    <n v="5.9951768094176246E-2"/>
    <n v="5.8085503635947146E-2"/>
    <n v="5.5454839994688587E-2"/>
  </r>
  <r>
    <x v="122"/>
    <n v="37655000"/>
    <n v="2257483.8275862066"/>
    <n v="2.1294097172274592E-2"/>
    <n v="39483198"/>
    <x v="122"/>
    <n v="2883172.567160266"/>
    <n v="2314560.4380195201"/>
    <n v="568612.12914074596"/>
    <n v="1666165"/>
    <n v="2628259"/>
    <n v="20994.827586206899"/>
    <n v="23026"/>
    <n v="23268"/>
    <n v="11669"/>
    <n v="3184"/>
    <n v="740"/>
    <n v="72034"/>
    <n v="66322"/>
    <n v="398776"/>
    <n v="227157"/>
    <n v="45043"/>
    <n v="91628"/>
    <n v="18901"/>
    <n v="19133"/>
    <n v="9118"/>
    <n v="8602"/>
    <n v="0"/>
    <n v="370"/>
    <n v="0"/>
    <n v="5416"/>
    <n v="3082322"/>
    <n v="1.0690730187669215"/>
    <n v="199149.43283973401"/>
    <n v="4.1257143610655245E-2"/>
    <n v="7.5454684170121994E-2"/>
    <n v="7.8066675348840792E-2"/>
    <n v="6.4182771963274821E-3"/>
  </r>
  <r>
    <x v="123"/>
    <n v="39231400"/>
    <n v="2960192.8965517241"/>
    <n v="2.7922519053103733E-2"/>
    <n v="32627546"/>
    <x v="123"/>
    <n v="3791917.7701865463"/>
    <n v="3166007.94079248"/>
    <n v="625909.82939406601"/>
    <n v="2338777"/>
    <n v="4124173"/>
    <n v="20781.896551724101"/>
    <n v="25420"/>
    <n v="21236"/>
    <n v="28207"/>
    <n v="2543"/>
    <n v="5623"/>
    <n v="57471"/>
    <n v="67376"/>
    <n v="451270"/>
    <n v="521359"/>
    <n v="37594"/>
    <n v="170941"/>
    <n v="17703"/>
    <n v="18893"/>
    <n v="12817"/>
    <n v="10593"/>
    <n v="0"/>
    <n v="2031"/>
    <n v="0"/>
    <n v="2109"/>
    <n v="4976725"/>
    <n v="1.3124559396115718"/>
    <n v="1184807.2298134537"/>
    <n v="0.10648620529531061"/>
    <n v="0.12813969350990781"/>
    <n v="0.1525313917264878"/>
    <n v="-7.0454929869623428E-2"/>
  </r>
  <r>
    <x v="124"/>
    <n v="35100553"/>
    <n v="4497774.1034482755"/>
    <n v="4.2426013266360994E-2"/>
    <n v="38637821"/>
    <x v="124"/>
    <n v="5750368.4992179256"/>
    <n v="4850315.21632984"/>
    <n v="900053.28288808605"/>
    <n v="3540534"/>
    <n v="4494478"/>
    <n v="14493.103448275901"/>
    <n v="24526"/>
    <n v="86421"/>
    <n v="55447"/>
    <n v="8958"/>
    <n v="6329"/>
    <n v="100498"/>
    <n v="70316"/>
    <n v="625936"/>
    <n v="610542"/>
    <n v="72774"/>
    <n v="206091"/>
    <n v="35858"/>
    <n v="34471"/>
    <n v="12302"/>
    <n v="15053"/>
    <n v="0"/>
    <n v="4388"/>
    <n v="0"/>
    <n v="4047"/>
    <n v="5525688"/>
    <n v="0.96092763459446418"/>
    <n v="-224680.49921792559"/>
    <n v="0.15128158524678503"/>
    <n v="0.14484918969528923"/>
    <n v="0.14301241263061909"/>
    <n v="0.16606804728781244"/>
  </r>
  <r>
    <x v="125"/>
    <n v="33135134"/>
    <n v="4799597.3103448283"/>
    <n v="4.5273011600508443E-2"/>
    <n v="34646775"/>
    <x v="125"/>
    <n v="6152825.8702747505"/>
    <n v="5175071.3334592404"/>
    <n v="977754.53681551002"/>
    <n v="3783300"/>
    <n v="4088680"/>
    <n v="19229.310344827602"/>
    <n v="22236"/>
    <n v="89988"/>
    <n v="15858"/>
    <n v="20578"/>
    <n v="0"/>
    <n v="75155"/>
    <n v="103050"/>
    <n v="719475"/>
    <n v="584166"/>
    <n v="54500"/>
    <n v="168986"/>
    <n v="28166"/>
    <n v="21276"/>
    <n v="9206"/>
    <n v="9621"/>
    <n v="0"/>
    <n v="4594"/>
    <n v="0"/>
    <n v="0"/>
    <n v="5018467"/>
    <n v="0.815636116771155"/>
    <n v="-1134358.8702747505"/>
    <n v="0.19473919224373293"/>
    <n v="0.10636872994668767"/>
    <n v="0.14484658384510535"/>
    <n v="-0.12263798618546595"/>
  </r>
  <r>
    <x v="126"/>
    <n v="39489714"/>
    <n v="4200470.7241379311"/>
    <n v="3.9621648968677751E-2"/>
    <n v="41686093"/>
    <x v="126"/>
    <n v="5371374.2149370881"/>
    <n v="4409425.7740396904"/>
    <n v="961948.44089739805"/>
    <n v="3194165"/>
    <n v="3214171"/>
    <n v="17851.724137931"/>
    <n v="22409"/>
    <n v="61190"/>
    <n v="45962"/>
    <n v="12303"/>
    <n v="0"/>
    <n v="116730"/>
    <n v="87902"/>
    <n v="705144"/>
    <n v="433044"/>
    <n v="60042"/>
    <n v="142471"/>
    <n v="17079"/>
    <n v="10390"/>
    <n v="15966"/>
    <n v="7381"/>
    <n v="0"/>
    <n v="2879"/>
    <n v="0"/>
    <n v="1248"/>
    <n v="3967857"/>
    <n v="0.73870425727664057"/>
    <n v="-1403517.2149370881"/>
    <n v="0.3707123654916491"/>
    <n v="6.3556130283059301E-2"/>
    <n v="9.5184190084688439E-2"/>
    <n v="-8.4751642008229489E-2"/>
  </r>
  <r>
    <x v="127"/>
    <n v="45546209"/>
    <n v="2894740.7931034481"/>
    <n v="2.7305131041758551E-2"/>
    <n v="43156233"/>
    <x v="127"/>
    <n v="3695975.1329928571"/>
    <n v="2783426.1647910401"/>
    <n v="912548.96820181701"/>
    <n v="2000980"/>
    <n v="1615018"/>
    <n v="18313.793103448301"/>
    <n v="19192"/>
    <n v="30809"/>
    <n v="7092"/>
    <n v="14752"/>
    <n v="1998"/>
    <n v="72647"/>
    <n v="52205"/>
    <n v="653374"/>
    <n v="453556"/>
    <n v="69136"/>
    <n v="262519"/>
    <n v="20501"/>
    <n v="32442"/>
    <n v="14228"/>
    <n v="12700"/>
    <n v="0"/>
    <n v="3174"/>
    <n v="0"/>
    <n v="1464"/>
    <n v="2461360"/>
    <n v="0.66595686156764977"/>
    <n v="-1234615.1329928571"/>
    <n v="0.18043194291758113"/>
    <n v="4.0822776359155426E-2"/>
    <n v="5.7033708201547621E-2"/>
    <n v="-0.15508721539484027"/>
  </r>
  <r>
    <x v="128"/>
    <n v="51077737"/>
    <n v="2085135.0344827585"/>
    <n v="1.9668388096080146E-2"/>
    <n v="60125006"/>
    <x v="128"/>
    <n v="2650696.7502161767"/>
    <n v="1973041.1177855299"/>
    <n v="677655.63243064703"/>
    <n v="1368567"/>
    <n v="1558074"/>
    <n v="19131.034482758601"/>
    <n v="23729"/>
    <n v="16561"/>
    <n v="12190"/>
    <n v="4452"/>
    <n v="4102"/>
    <n v="114101"/>
    <n v="87416"/>
    <n v="495524"/>
    <n v="361074"/>
    <n v="50019"/>
    <n v="192329"/>
    <n v="9383"/>
    <n v="9552"/>
    <n v="7397"/>
    <n v="10260"/>
    <n v="0"/>
    <n v="388"/>
    <n v="0"/>
    <n v="646"/>
    <n v="2259760"/>
    <n v="0.85251547534273997"/>
    <n v="-390936.75021617673"/>
    <n v="0.29390524464395873"/>
    <n v="4.3582780529247273E-2"/>
    <n v="3.7584362153743486E-2"/>
    <n v="0.5004109441123743"/>
  </r>
  <r>
    <x v="129"/>
    <n v="40072359"/>
    <n v="1746464.8275862068"/>
    <n v="1.6473824216204854E-2"/>
    <n v="36716841"/>
    <x v="129"/>
    <n v="2216972.367587375"/>
    <n v="1562118.43848599"/>
    <n v="654853.92910138494"/>
    <n v="1100345"/>
    <n v="1920563"/>
    <n v="16069.8275862069"/>
    <n v="20514"/>
    <n v="8962"/>
    <n v="-705"/>
    <n v="3222"/>
    <n v="2209"/>
    <n v="74464"/>
    <n v="48263"/>
    <n v="461097"/>
    <n v="395528"/>
    <n v="61803"/>
    <n v="141929"/>
    <n v="8257"/>
    <n v="24844"/>
    <n v="12245"/>
    <n v="7362"/>
    <n v="0"/>
    <n v="256"/>
    <n v="0"/>
    <n v="0"/>
    <n v="2560763"/>
    <n v="1.1550721323544306"/>
    <n v="343790.63241262501"/>
    <n v="0.21758383687847593"/>
    <n v="5.2154586479018612E-2"/>
    <n v="6.9743554463195787E-2"/>
    <n v="-8.9484583848611132E-2"/>
  </r>
  <r>
    <x v="130"/>
    <n v="40325337"/>
    <n v="2103151.2758620689"/>
    <n v="1.9838329333276245E-2"/>
    <n v="23190846"/>
    <x v="130"/>
    <n v="2692193.9660598803"/>
    <n v="2125563.0218603802"/>
    <n v="566630.94419950002"/>
    <n v="1540924"/>
    <n v="2440025"/>
    <n v="20098.275862069"/>
    <n v="21672"/>
    <n v="2643"/>
    <n v="29073"/>
    <n v="4578"/>
    <n v="5953"/>
    <n v="64714"/>
    <n v="60459"/>
    <n v="382228"/>
    <n v="409424"/>
    <n v="63782"/>
    <n v="123764"/>
    <n v="16117"/>
    <n v="11328"/>
    <n v="8067"/>
    <n v="10655"/>
    <n v="0"/>
    <n v="991"/>
    <n v="0"/>
    <n v="2109"/>
    <n v="3115453"/>
    <n v="1.1572171393577462"/>
    <n v="423259.03394011967"/>
    <n v="8.1424215149683565E-3"/>
    <n v="0.13295925322837471"/>
    <n v="0.1343397735468555"/>
    <n v="-2.217586248022374E-3"/>
  </r>
  <r>
    <x v="131"/>
    <n v="23242388"/>
    <n v="3090290.5517241377"/>
    <n v="2.9149687140544066E-2"/>
    <n v="22809337"/>
    <x v="131"/>
    <n v="3977917.8176610083"/>
    <n v="3341115.0863910802"/>
    <n v="636802.73126992804"/>
    <n v="2436435"/>
    <n v="2815317"/>
    <n v="21396.551724137898"/>
    <n v="21451"/>
    <n v="14035"/>
    <n v="23262"/>
    <n v="14004"/>
    <n v="3933"/>
    <n v="75997"/>
    <n v="54841"/>
    <n v="401282"/>
    <n v="383123"/>
    <n v="95820"/>
    <n v="135469"/>
    <n v="24006"/>
    <n v="16632"/>
    <n v="7315"/>
    <n v="10371"/>
    <n v="0"/>
    <n v="1022"/>
    <n v="0"/>
    <n v="4650"/>
    <n v="3470071"/>
    <n v="0.87233350688988864"/>
    <n v="-507846.81766100833"/>
    <n v="2.9302844663898764E-3"/>
    <n v="0.13675599486329323"/>
    <n v="0.15213379503314806"/>
    <n v="-9.8446674515402011E-2"/>
  </r>
  <r>
    <x v="132"/>
    <n v="25300042"/>
    <n v="3459932.4137931033"/>
    <n v="3.2636396384549266E-2"/>
    <n v="27932143"/>
    <x v="132"/>
    <n v="4432932.8504142966"/>
    <n v="3786801.4374958398"/>
    <n v="646131.41291845695"/>
    <n v="2811134"/>
    <n v="3700459"/>
    <n v="23572.413793103398"/>
    <n v="26216"/>
    <n v="40509"/>
    <n v="28501"/>
    <n v="1759"/>
    <n v="4829"/>
    <n v="46794"/>
    <n v="57302"/>
    <n v="386009"/>
    <n v="381201"/>
    <n v="119690"/>
    <n v="138856"/>
    <n v="21353"/>
    <n v="19491"/>
    <n v="9112"/>
    <n v="6421"/>
    <n v="0"/>
    <n v="1247"/>
    <n v="0"/>
    <n v="1937"/>
    <n v="4366460"/>
    <n v="0.98500476938014436"/>
    <n v="-66472.850414296612"/>
    <n v="0.25358749569159955"/>
    <n v="0.12269023343406944"/>
    <n v="0.15632384525598339"/>
    <n v="-1.6126156412174408E-2"/>
  </r>
  <r>
    <x v="133"/>
    <n v="28389964"/>
    <n v="3483171.3103448278"/>
    <n v="3.2855601198024269E-2"/>
    <n v="33640854"/>
    <x v="133"/>
    <n v="4463971.3255278813"/>
    <n v="3736889.70819441"/>
    <n v="727081.61733347096"/>
    <n v="2777558"/>
    <n v="2625651"/>
    <n v="17204.310344827602"/>
    <n v="10282"/>
    <n v="30525"/>
    <n v="6634"/>
    <n v="2915"/>
    <n v="0"/>
    <n v="51632"/>
    <n v="62863"/>
    <n v="406451"/>
    <n v="360073"/>
    <n v="166963"/>
    <n v="105100"/>
    <n v="21663"/>
    <n v="12418"/>
    <n v="8260"/>
    <n v="4862"/>
    <n v="0"/>
    <n v="5230"/>
    <n v="0"/>
    <n v="2497"/>
    <n v="3195610"/>
    <n v="0.71586705356403857"/>
    <n v="-1268361.3255278813"/>
    <n v="1.7350599095294461E-2"/>
    <n v="8.3071653871777645E-2"/>
    <n v="9.4991940454305951E-2"/>
    <n v="-0.11031402843125104"/>
  </r>
  <r>
    <x v="134"/>
    <n v="37812054"/>
    <n v="3141109.8620689656"/>
    <n v="2.9629048861539348E-2"/>
    <n v="37321124"/>
    <x v="134"/>
    <n v="4004790.069113472"/>
    <n v="3232522.0098353899"/>
    <n v="772268.05927808199"/>
    <n v="2343626"/>
    <n v="2405121"/>
    <n v="17875.8620689655"/>
    <n v="30006"/>
    <n v="48768"/>
    <n v="17955"/>
    <n v="1400"/>
    <n v="904"/>
    <n v="88607"/>
    <n v="90900"/>
    <n v="449212"/>
    <n v="329128"/>
    <n v="166991"/>
    <n v="99332"/>
    <n v="16715"/>
    <n v="9755"/>
    <n v="7915"/>
    <n v="6678"/>
    <n v="0"/>
    <n v="4507"/>
    <n v="0"/>
    <n v="4607"/>
    <n v="2998893"/>
    <n v="0.74882651730702465"/>
    <n v="-1005897.069113472"/>
    <n v="8.3824843438855989E-2"/>
    <n v="7.2347259069428613E-2"/>
    <n v="8.035376962387307E-2"/>
    <n v="-2.4168286053157018E-2"/>
  </r>
  <r>
    <x v="135"/>
    <n v="38245451"/>
    <n v="2766953.5517241377"/>
    <n v="2.609975632232259E-2"/>
    <n v="44523452"/>
    <x v="135"/>
    <n v="3538923.2997836089"/>
    <n v="2920573.0647547701"/>
    <n v="618350.23502883897"/>
    <n v="2112541"/>
    <n v="2034460"/>
    <n v="25296.551724137898"/>
    <n v="29019"/>
    <n v="27754"/>
    <n v="11244"/>
    <n v="1869"/>
    <n v="0"/>
    <n v="86382"/>
    <n v="59712"/>
    <n v="369211"/>
    <n v="310105"/>
    <n v="113629"/>
    <n v="110133"/>
    <n v="16988"/>
    <n v="19652"/>
    <n v="13283"/>
    <n v="5748"/>
    <n v="0"/>
    <n v="1224"/>
    <n v="0"/>
    <n v="1885"/>
    <n v="2583182"/>
    <n v="0.72993444083909687"/>
    <n v="-955741.29978360888"/>
    <n v="-5.1175883602795014E-2"/>
    <n v="6.1273732705270742E-2"/>
    <n v="5.8018457328960028E-2"/>
    <n v="2.060343707507295E-3"/>
  </r>
  <r>
    <x v="136"/>
    <n v="44431907"/>
    <n v="2722508.7931034481"/>
    <n v="2.5680523636222155E-2"/>
    <n v="46674763"/>
    <x v="136"/>
    <n v="3493857.9422336142"/>
    <n v="2881546.4649545201"/>
    <n v="612311.47727909405"/>
    <n v="2109532"/>
    <n v="2587277"/>
    <n v="21563.793103448301"/>
    <n v="27932"/>
    <n v="-607"/>
    <n v="-6421"/>
    <n v="4423"/>
    <n v="2492"/>
    <n v="79497"/>
    <n v="88989"/>
    <n v="366239"/>
    <n v="391486"/>
    <n v="114522"/>
    <n v="132520"/>
    <n v="20368"/>
    <n v="15266"/>
    <n v="6971"/>
    <n v="6798"/>
    <n v="0"/>
    <n v="658"/>
    <n v="0"/>
    <n v="3402"/>
    <n v="3250399"/>
    <n v="0.93031801914706025"/>
    <n v="-243458.94223361416"/>
    <n v="-3.5705375030445685E-2"/>
    <n v="7.4052157937168281E-2"/>
    <n v="6.9639325217355677E-2"/>
    <n v="2.5399049220129255E-2"/>
  </r>
  <r>
    <x v="137"/>
    <n v="45518633"/>
    <n v="3370753"/>
    <n v="3.1795196514201887E-2"/>
    <n v="26723469"/>
    <x v="137"/>
    <n v="4314540.9203777462"/>
    <n v="3622551.8246312998"/>
    <n v="691989.09574644605"/>
    <n v="2677032"/>
    <n v="3987638"/>
    <n v="20975"/>
    <n v="29579"/>
    <n v="22100"/>
    <n v="37318"/>
    <n v="-481"/>
    <n v="0"/>
    <n v="76910"/>
    <n v="99536"/>
    <n v="427036"/>
    <n v="377581"/>
    <n v="120368"/>
    <n v="105418"/>
    <n v="16748"/>
    <n v="19920"/>
    <n v="10065"/>
    <n v="5481"/>
    <n v="0"/>
    <n v="2264"/>
    <n v="0"/>
    <n v="4693"/>
    <n v="4669428"/>
    <n v="1.0822537289995577"/>
    <n v="354887.07962225378"/>
    <n v="0.17996277629732083"/>
    <n v="0.15152019619397747"/>
    <n v="0.17473135692076505"/>
    <n v="2.3217552458171697E-2"/>
  </r>
  <r>
    <x v="138"/>
    <n v="26117094"/>
    <n v="3957267.2068965519"/>
    <n v="3.7327590749747216E-2"/>
    <n v="28069178"/>
    <x v="138"/>
    <n v="5069955.5931407074"/>
    <n v="4380268.2390230801"/>
    <n v="689687.35411762702"/>
    <n v="3127249"/>
    <n v="4181035"/>
    <n v="20161.206896551699"/>
    <n v="24160"/>
    <n v="63309"/>
    <n v="29139"/>
    <n v="9654"/>
    <n v="3705"/>
    <n v="164587"/>
    <n v="77060"/>
    <n v="398765"/>
    <n v="350122"/>
    <n v="133448"/>
    <n v="81101"/>
    <n v="26159"/>
    <n v="24716"/>
    <n v="13935"/>
    <n v="9017"/>
    <n v="0"/>
    <n v="4981"/>
    <n v="0"/>
    <n v="2454"/>
    <n v="4787490"/>
    <n v="0.94428637727658538"/>
    <n v="-282465.59314070735"/>
    <n v="0.2047098855565086"/>
    <n v="0.13530353453854643"/>
    <n v="0.17056039190032568"/>
    <n v="-4.4317946310886036E-2"/>
  </r>
  <r>
    <x v="139"/>
    <n v="29370833"/>
    <n v="3973977.5172413792"/>
    <n v="3.7485213572074183E-2"/>
    <n v="32746350"/>
    <x v="139"/>
    <n v="5085439.3611811008"/>
    <n v="4478766.5483424496"/>
    <n v="606672.81283865101"/>
    <n v="3241569"/>
    <n v="4079378"/>
    <n v="22440.517241379301"/>
    <n v="21174"/>
    <n v="94697"/>
    <n v="58712"/>
    <n v="6895"/>
    <n v="0"/>
    <n v="104955"/>
    <n v="84547"/>
    <n v="334212"/>
    <n v="418327"/>
    <n v="131940"/>
    <n v="105255"/>
    <n v="26309"/>
    <n v="23214"/>
    <n v="10960"/>
    <n v="10330"/>
    <n v="0"/>
    <n v="1645"/>
    <n v="0"/>
    <n v="4650"/>
    <n v="4807232"/>
    <n v="0.94529334804289422"/>
    <n v="-278207.36118110083"/>
    <n v="0.36096378643141747"/>
    <n v="0.109139823518716"/>
    <n v="0.14680207107051627"/>
    <n v="1.1806893345118752E-2"/>
  </r>
  <r>
    <x v="140"/>
    <n v="32364229"/>
    <n v="3532226.2413793104"/>
    <n v="3.3318320113421507E-2"/>
    <n v="35778618"/>
    <x v="140"/>
    <n v="4523339.2005073801"/>
    <n v="3791950.55459726"/>
    <n v="731388.64591011999"/>
    <n v="2735434"/>
    <n v="3103521"/>
    <n v="22517.241379310301"/>
    <n v="20693"/>
    <n v="59374"/>
    <n v="30196"/>
    <n v="11701"/>
    <n v="-383"/>
    <n v="96289"/>
    <n v="93118"/>
    <n v="374047"/>
    <n v="304721"/>
    <n v="193832"/>
    <n v="98067"/>
    <n v="28023"/>
    <n v="14821"/>
    <n v="11009"/>
    <n v="5605"/>
    <n v="0"/>
    <n v="1786"/>
    <n v="0"/>
    <n v="2765"/>
    <n v="3674910"/>
    <n v="0.81243299188966145"/>
    <n v="-848429.20050738007"/>
    <n v="6.2421183140606296E-2"/>
    <n v="9.5491616804777343E-2"/>
    <n v="0.10271246362841628"/>
    <n v="-1.2268687539558787E-2"/>
  </r>
  <r>
    <x v="141"/>
    <n v="36223027"/>
    <n v="3458995.4137931033"/>
    <n v="3.2627557973922978E-2"/>
    <n v="40503524"/>
    <x v="141"/>
    <n v="4419525.1349156173"/>
    <n v="3727009.4103252999"/>
    <n v="692515.724590317"/>
    <n v="2701648"/>
    <n v="2880995"/>
    <n v="22197.4137931035"/>
    <n v="17373"/>
    <n v="57018"/>
    <n v="7090"/>
    <n v="2723"/>
    <n v="1848"/>
    <n v="100755"/>
    <n v="133675"/>
    <n v="368227"/>
    <n v="287211"/>
    <n v="184282"/>
    <n v="103665"/>
    <n v="13230"/>
    <n v="17656"/>
    <n v="8915"/>
    <n v="10102"/>
    <n v="0"/>
    <n v="0"/>
    <n v="0"/>
    <n v="1120"/>
    <n v="3460735"/>
    <n v="0.78305584748440993"/>
    <n v="-958790.13491561729"/>
    <n v="0.36350476509189877"/>
    <n v="6.8376834962678795E-2"/>
    <n v="8.544281233405765E-2"/>
    <n v="9.1164227237782391E-2"/>
  </r>
  <r>
    <x v="142"/>
    <n v="37119549"/>
    <n v="2538117.2758620689"/>
    <n v="2.3941219532290038E-2"/>
    <n v="49237984"/>
    <x v="142"/>
    <n v="3232528.9287060522"/>
    <n v="2579504.3419044302"/>
    <n v="653024.58680162195"/>
    <n v="1819774"/>
    <n v="2252409"/>
    <n v="21773.275862069"/>
    <n v="21274"/>
    <n v="44511"/>
    <n v="-3235"/>
    <n v="5468"/>
    <n v="3525"/>
    <n v="104707"/>
    <n v="110170"/>
    <n v="359912"/>
    <n v="326147"/>
    <n v="161958"/>
    <n v="99899"/>
    <n v="14507"/>
    <n v="20856"/>
    <n v="5507"/>
    <n v="6566"/>
    <n v="0"/>
    <n v="897"/>
    <n v="0"/>
    <n v="6159"/>
    <n v="2844667"/>
    <n v="0.88001285146694441"/>
    <n v="-387861.92870605225"/>
    <n v="0.37904718240827573"/>
    <n v="4.5166970814255657E-2"/>
    <n v="5.7773831682466935E-2"/>
    <n v="7.8124507677736599E-2"/>
  </r>
  <r>
    <x v="143"/>
    <n v="45670035"/>
    <n v="2062777.1379310344"/>
    <n v="1.9457493463780992E-2"/>
    <n v="47019817"/>
    <x v="143"/>
    <n v="2628853.6956993621"/>
    <n v="2015701.05839047"/>
    <n v="613152.63730889198"/>
    <n v="1467747"/>
    <n v="2731286"/>
    <n v="21924.1379310345"/>
    <n v="21174"/>
    <n v="4053"/>
    <n v="0"/>
    <n v="-155"/>
    <n v="4187"/>
    <n v="60410"/>
    <n v="63021"/>
    <n v="342742"/>
    <n v="343565"/>
    <n v="137614"/>
    <n v="92128"/>
    <n v="23925"/>
    <n v="20143"/>
    <n v="4517"/>
    <n v="11392"/>
    <n v="0"/>
    <n v="4347"/>
    <n v="0"/>
    <n v="6416"/>
    <n v="3297659"/>
    <n v="1.2544094809820574"/>
    <n v="668805.30430063792"/>
    <n v="0.41591688492250722"/>
    <n v="5.4064016684238492E-2"/>
    <n v="7.0133386525090047E-2"/>
    <n v="9.1493764707337943E-2"/>
  </r>
  <r>
    <x v="144"/>
    <n v="43078411"/>
    <n v="2328991.931034483"/>
    <n v="2.1968609425618523E-2"/>
    <n v="28212621"/>
    <x v="144"/>
    <n v="5985763.6744493097"/>
    <n v="4709965.1085457699"/>
    <n v="1275798.56590354"/>
    <n v="1619702"/>
    <n v="4611370"/>
    <n v="27512.931034482801"/>
    <n v="20489"/>
    <n v="7700"/>
    <n v="30700"/>
    <n v="-1294"/>
    <n v="4699"/>
    <n v="100831"/>
    <n v="78900"/>
    <n v="396662"/>
    <n v="902125"/>
    <n v="149588"/>
    <n v="237474"/>
    <n v="19789"/>
    <n v="36431"/>
    <n v="8501"/>
    <n v="12811"/>
    <n v="0"/>
    <n v="3362"/>
    <n v="0"/>
    <n v="7492"/>
    <n v="5945853"/>
    <n v="0.99333240057243299"/>
    <n v="-39910.674449309707"/>
    <n v="0.30335951840493758"/>
    <n v="0.17268567019317921"/>
    <n v="0.21075152854461837"/>
    <n v="6.7947233847776678E-2"/>
  </r>
  <r>
    <x v="145"/>
    <n v="26417617"/>
    <n v="4561943.8965517245"/>
    <n v="4.3031305668978406E-2"/>
    <n v="31205655"/>
    <x v="145"/>
    <n v="7684050.9479068602"/>
    <n v="5592266.5572508499"/>
    <n v="2091784.39065601"/>
    <n v="3445706"/>
    <n v="4676609"/>
    <n v="24606.896551724101"/>
    <n v="26116"/>
    <n v="37482"/>
    <n v="76532"/>
    <n v="8128"/>
    <n v="5544"/>
    <n v="96490"/>
    <n v="91220"/>
    <n v="729673"/>
    <n v="1074734"/>
    <n v="173445"/>
    <n v="170033"/>
    <n v="31849"/>
    <n v="28875"/>
    <n v="14564"/>
    <n v="10958"/>
    <n v="0"/>
    <n v="3874"/>
    <n v="0"/>
    <n v="3186"/>
    <n v="6167681"/>
    <n v="0.80266008669295452"/>
    <n v="-1516369.9479068602"/>
    <n v="5.316566600096162E-2"/>
    <n v="0.18549284450210379"/>
    <n v="0.19764625994871762"/>
    <n v="-1.1594273682898226E-2"/>
  </r>
  <r>
    <x v="146"/>
    <n v="31571706"/>
    <n v="5856325.5517241377"/>
    <n v="5.5240779068715731E-2"/>
    <n v="33438597"/>
    <x v="146"/>
    <n v="7450207.6240357403"/>
    <n v="5010773.0662852004"/>
    <n v="2439434.5577505399"/>
    <n v="4079869"/>
    <n v="3970639"/>
    <n v="24421.551724137898"/>
    <n v="29228"/>
    <n v="55831"/>
    <n v="26769"/>
    <n v="10097"/>
    <n v="11997"/>
    <n v="119447"/>
    <n v="83615"/>
    <n v="1213906"/>
    <n v="850183"/>
    <n v="294966"/>
    <n v="220841"/>
    <n v="45119"/>
    <n v="23508"/>
    <n v="12669"/>
    <n v="11096"/>
    <n v="0"/>
    <n v="6482"/>
    <n v="0"/>
    <n v="4996"/>
    <n v="5239354"/>
    <n v="0.70324939443256318"/>
    <n v="-2210853.6240357403"/>
    <n v="-7.5743395948388192E-2"/>
    <n v="0.16517167013703651"/>
    <n v="0.15668582028127556"/>
    <n v="-2.5687157572140129E-2"/>
  </r>
  <r>
    <x v="147"/>
    <n v="34320185"/>
    <n v="5668722.2758620689"/>
    <n v="5.3471179509583834E-2"/>
    <n v="37446290"/>
    <x v="147"/>
    <n v="6189474.6488193097"/>
    <n v="4109781.6677747699"/>
    <n v="2079692.9810445399"/>
    <n v="3654732"/>
    <n v="3618780"/>
    <n v="31223.275862069"/>
    <n v="31726"/>
    <n v="60377"/>
    <n v="13833"/>
    <n v="8759"/>
    <n v="1382"/>
    <n v="88703"/>
    <n v="98131"/>
    <n v="1382114"/>
    <n v="756891"/>
    <n v="371492"/>
    <n v="201932"/>
    <n v="45166"/>
    <n v="33137"/>
    <n v="26156"/>
    <n v="11225"/>
    <n v="0"/>
    <n v="4271"/>
    <n v="0"/>
    <n v="2454"/>
    <n v="4773762"/>
    <n v="0.77127095122857192"/>
    <n v="-1415712.6488193097"/>
    <n v="1.4089972444687016E-2"/>
    <n v="0.12546764848041422"/>
    <n v="0.12748290952187788"/>
    <n v="-1.9408509940894714E-3"/>
  </r>
  <r>
    <x v="148"/>
    <n v="37519109"/>
    <n v="4707434.3793103453"/>
    <n v="4.4403669200289202E-2"/>
    <n v="42455021"/>
    <x v="148"/>
    <n v="5485879.74035291"/>
    <n v="3454416.0166014698"/>
    <n v="2031463.7237514399"/>
    <n v="2978165"/>
    <n v="2759171"/>
    <n v="27291.379310344801"/>
    <n v="25341"/>
    <n v="44594"/>
    <n v="29617"/>
    <n v="8693"/>
    <n v="4838"/>
    <n v="93162"/>
    <n v="97357"/>
    <n v="1195372"/>
    <n v="753282"/>
    <n v="298834"/>
    <n v="172862"/>
    <n v="46665"/>
    <n v="24477"/>
    <n v="14658"/>
    <n v="13363"/>
    <n v="0"/>
    <n v="6072"/>
    <n v="0"/>
    <n v="1291"/>
    <n v="3887671"/>
    <n v="0.70866865188515848"/>
    <n v="-1598208.74035291"/>
    <n v="-6.8018192675058819E-2"/>
    <n v="9.6655984666368586E-2"/>
    <n v="9.1571524602472809E-2"/>
    <n v="-1.627039989567447E-2"/>
  </r>
  <r>
    <x v="149"/>
    <n v="43157206"/>
    <n v="4171402.2413793104"/>
    <n v="3.9347455599516606E-2"/>
    <n v="50731319"/>
    <x v="149"/>
    <n v="4983598.2525027702"/>
    <n v="3181448.1200861302"/>
    <n v="1802150.1324166399"/>
    <n v="2453304"/>
    <n v="2444647"/>
    <n v="37442.241379310297"/>
    <n v="31667"/>
    <n v="36352"/>
    <n v="334"/>
    <n v="7638"/>
    <n v="732"/>
    <n v="113450"/>
    <n v="102241"/>
    <n v="1220737"/>
    <n v="813542"/>
    <n v="249590"/>
    <n v="157583"/>
    <n v="38407"/>
    <n v="22067"/>
    <n v="14482"/>
    <n v="9771"/>
    <n v="0"/>
    <n v="1250"/>
    <n v="0"/>
    <n v="8009"/>
    <n v="3591843"/>
    <n v="0.72073285566230616"/>
    <n v="-1391755.2525027702"/>
    <n v="-5.0788670914374334E-2"/>
    <n v="7.3935523030709854E-2"/>
    <n v="7.0801293378553787E-2"/>
    <n v="-8.7690106537073875E-3"/>
  </r>
  <r>
    <x v="150"/>
    <n v="51180118"/>
    <n v="3784028.7931034481"/>
    <n v="3.5693490176266947E-2"/>
    <n v="51664485"/>
    <x v="150"/>
    <n v="5635126.4442096399"/>
    <n v="3688020.1859307298"/>
    <n v="1947106.2582789101"/>
    <n v="2260895"/>
    <n v="2739282"/>
    <n v="34463.793103448297"/>
    <n v="36548"/>
    <n v="19296"/>
    <n v="7405"/>
    <n v="4141"/>
    <n v="4382"/>
    <n v="119066"/>
    <n v="80380"/>
    <n v="1010801"/>
    <n v="1043225"/>
    <n v="278925"/>
    <n v="173161"/>
    <n v="39390"/>
    <n v="23659"/>
    <n v="17051"/>
    <n v="10923"/>
    <n v="0"/>
    <n v="2086"/>
    <n v="0"/>
    <n v="5728"/>
    <n v="4126779"/>
    <n v="0.73233121578673033"/>
    <n v="-1508347.4442096399"/>
    <n v="-3.686449806443115E-2"/>
    <n v="7.9297465375558346E-2"/>
    <n v="7.9876514785737249E-2"/>
    <n v="-4.3846563391319093E-2"/>
  </r>
  <r>
    <x v="151"/>
    <n v="54033676"/>
    <n v="4284733.5517241377"/>
    <n v="3.7362092448419891E-2"/>
    <n v="28438618"/>
    <x v="151"/>
    <n v="5628230.5453892499"/>
    <n v="3718237.2221329901"/>
    <n v="1909993.32325626"/>
    <n v="2599042"/>
    <n v="4064668"/>
    <n v="39671.551724137898"/>
    <n v="29432"/>
    <n v="-228"/>
    <n v="26689"/>
    <n v="1403"/>
    <n v="10478"/>
    <n v="186803"/>
    <n v="92432"/>
    <n v="1125600"/>
    <n v="904974"/>
    <n v="278166"/>
    <n v="135586"/>
    <n v="40863"/>
    <n v="29579"/>
    <n v="13413"/>
    <n v="10801"/>
    <n v="0"/>
    <n v="8208"/>
    <n v="0"/>
    <n v="8913"/>
    <n v="5321760"/>
    <n v="0.94554762053229746"/>
    <n v="-306470.54538924992"/>
    <n v="1.1774854529580825E-2"/>
    <n v="0.17065581237184627"/>
    <n v="0.18713145624727615"/>
    <n v="-7.73049961787734E-2"/>
  </r>
  <r>
    <x v="152"/>
    <n v="30821255"/>
    <n v="5259826.3103448283"/>
    <n v="4.5864722857891053E-2"/>
    <n v="32512385"/>
    <x v="152"/>
    <n v="6910737.6119030602"/>
    <n v="4968805.8758889297"/>
    <n v="1941931.7360141301"/>
    <n v="3555716"/>
    <n v="4572359"/>
    <n v="32404.310344827602"/>
    <n v="23766"/>
    <n v="47857"/>
    <n v="47963"/>
    <n v="7967"/>
    <n v="15476"/>
    <n v="133459"/>
    <n v="108290"/>
    <n v="1113451"/>
    <n v="930339"/>
    <n v="281772"/>
    <n v="178091"/>
    <n v="68092"/>
    <n v="32506"/>
    <n v="19108"/>
    <n v="12255"/>
    <n v="0"/>
    <n v="4331"/>
    <n v="0"/>
    <n v="4564"/>
    <n v="5929940"/>
    <n v="0.85807627680528142"/>
    <n v="-980797.61190306023"/>
    <n v="-0.12195016794934455"/>
    <n v="0.19054236708733535"/>
    <n v="0.1823901876161961"/>
    <n v="-8.2704527002128381E-2"/>
  </r>
  <r>
    <x v="153"/>
    <n v="35443743"/>
    <n v="6753534.6896551726"/>
    <n v="5.8889586571135459E-2"/>
    <n v="31971655"/>
    <x v="153"/>
    <n v="8873325.0488210805"/>
    <n v="6391028.7994139604"/>
    <n v="2482296.24940712"/>
    <n v="4635812"/>
    <n v="3552563"/>
    <n v="32920.689655172398"/>
    <n v="26173"/>
    <n v="51815"/>
    <n v="32530"/>
    <n v="10260"/>
    <n v="6406"/>
    <n v="127803"/>
    <n v="121708"/>
    <n v="1389018"/>
    <n v="539970"/>
    <n v="419059"/>
    <n v="136278"/>
    <n v="74233"/>
    <n v="35037"/>
    <n v="12614"/>
    <n v="7759"/>
    <n v="0"/>
    <n v="4912"/>
    <n v="0"/>
    <n v="1334"/>
    <n v="4464670"/>
    <n v="0.5031563675888534"/>
    <n v="-4408655.0488210805"/>
    <n v="-3.8465792922438236E-2"/>
    <n v="0.13187008255084121"/>
    <n v="0.13964463209677447"/>
    <n v="-9.19980713980878E-2"/>
  </r>
  <r>
    <x v="154"/>
    <n v="35210999"/>
    <n v="4643277.3448275868"/>
    <n v="4.0488528709397613E-2"/>
    <n v="34179408"/>
    <x v="154"/>
    <n v="6101558.7720924998"/>
    <n v="4601314.02368386"/>
    <n v="1500244.74840864"/>
    <n v="3274168"/>
    <n v="2797805"/>
    <n v="29785.344827586199"/>
    <n v="20815"/>
    <n v="42044"/>
    <n v="73509"/>
    <n v="4685"/>
    <n v="4322"/>
    <n v="147345"/>
    <n v="88544"/>
    <n v="792011"/>
    <n v="330252"/>
    <n v="301527"/>
    <n v="176072"/>
    <n v="38002"/>
    <n v="20525"/>
    <n v="13710"/>
    <n v="5500"/>
    <n v="0"/>
    <n v="5098"/>
    <n v="0"/>
    <n v="5081"/>
    <n v="3527523"/>
    <n v="0.57813472454519244"/>
    <n v="-2574035.7720924998"/>
    <n v="-6.0801778493507763E-3"/>
    <n v="9.1922466717042378E-2"/>
    <n v="0.10320608829737483"/>
    <n v="-0.11474639453634183"/>
  </r>
  <r>
    <x v="155"/>
    <n v="38609736"/>
    <n v="3549102.1724137929"/>
    <n v="3.0947521444187404E-2"/>
    <n v="36164915"/>
    <x v="155"/>
    <n v="4663412.6250081202"/>
    <n v="3436840.55209722"/>
    <n v="1226572.0729109"/>
    <n v="2378483"/>
    <n v="2265727"/>
    <n v="24530.172413793101"/>
    <n v="32888"/>
    <n v="28287"/>
    <n v="13246"/>
    <n v="7601"/>
    <n v="5193"/>
    <n v="173866"/>
    <n v="99255"/>
    <n v="649458"/>
    <n v="351624"/>
    <n v="251407"/>
    <n v="180239"/>
    <n v="22490"/>
    <n v="11727"/>
    <n v="12980"/>
    <n v="6281"/>
    <n v="0"/>
    <n v="4449"/>
    <n v="0"/>
    <n v="1291"/>
    <n v="2971920"/>
    <n v="0.63728437497954094"/>
    <n v="-1691492.6250081202"/>
    <n v="-1.4803043324090215E-2"/>
    <n v="7.4723642867572687E-2"/>
    <n v="8.2176883313565097E-2"/>
    <n v="-0.10415797513316039"/>
  </r>
  <r>
    <x v="156"/>
    <n v="40369746"/>
    <n v="3016574.4827586208"/>
    <n v="2.6303977444996626E-2"/>
    <n v="47697211"/>
    <x v="156"/>
    <n v="3963610.0504163904"/>
    <n v="2902425.7969517601"/>
    <n v="1061184.2534646301"/>
    <n v="1974536"/>
    <n v="2159116"/>
    <n v="24459.482758620699"/>
    <n v="34578"/>
    <n v="72867"/>
    <n v="22387"/>
    <n v="5878"/>
    <n v="1996"/>
    <n v="128752"/>
    <n v="97775"/>
    <n v="599700"/>
    <n v="344708"/>
    <n v="181701"/>
    <n v="188671"/>
    <n v="19333"/>
    <n v="9093"/>
    <n v="9348"/>
    <n v="3824"/>
    <n v="0"/>
    <n v="5418"/>
    <n v="0"/>
    <n v="3100"/>
    <n v="2870666"/>
    <n v="0.72425540441306202"/>
    <n v="-1092944.0504163904"/>
    <n v="8.636658081798787E-2"/>
    <n v="5.2614319106986225E-2"/>
    <n v="6.0185196153292903E-2"/>
    <n v="-5.0290742515161524E-2"/>
  </r>
  <r>
    <x v="157"/>
    <n v="50222961"/>
    <n v="2642446.8965517241"/>
    <n v="2.3041653360050537E-2"/>
    <n v="50902735"/>
    <x v="157"/>
    <n v="3472422.4349578251"/>
    <n v="2638146.18790258"/>
    <n v="834276.24705524498"/>
    <n v="1787547"/>
    <n v="2835754"/>
    <n v="25031.896551724101"/>
    <n v="33462"/>
    <n v="25976"/>
    <n v="1717"/>
    <n v="10248"/>
    <n v="3121"/>
    <n v="156778"/>
    <n v="82366"/>
    <n v="495806"/>
    <n v="526670"/>
    <n v="116017"/>
    <n v="201401"/>
    <n v="17934"/>
    <n v="12585"/>
    <n v="7109"/>
    <n v="6574"/>
    <n v="0"/>
    <n v="2075"/>
    <n v="0"/>
    <n v="3057"/>
    <n v="3708782"/>
    <n v="1.0680676298663085"/>
    <n v="236359.56504217489"/>
    <n v="0.16227425533582518"/>
    <n v="6.3921386858858051E-2"/>
    <n v="7.2860171462299617E-2"/>
    <n v="1.9681683700879526E-2"/>
  </r>
  <r>
    <x v="158"/>
    <n v="49920221"/>
    <n v="3190969.7586206896"/>
    <n v="2.7824672335511912E-2"/>
    <n v="28697109"/>
    <x v="158"/>
    <n v="4193019.4933147803"/>
    <n v="3134115.9000614402"/>
    <n v="1058903.5932533401"/>
    <n v="2242842"/>
    <n v="4038776"/>
    <n v="25757.758620689601"/>
    <n v="28413"/>
    <n v="21715"/>
    <n v="38880"/>
    <n v="6780"/>
    <n v="7184"/>
    <n v="85534"/>
    <n v="129134"/>
    <n v="642846"/>
    <n v="693965"/>
    <n v="139716"/>
    <n v="192882"/>
    <n v="16575"/>
    <n v="27190"/>
    <n v="9204"/>
    <n v="4960"/>
    <n v="0"/>
    <n v="8849"/>
    <n v="0"/>
    <n v="3057"/>
    <n v="5173290"/>
    <n v="1.2337862984534493"/>
    <n v="980270.50668521971"/>
    <n v="0.15127456239772519"/>
    <n v="0.15602258379094466"/>
    <n v="0.18027216609171329"/>
    <n v="-3.5908716673527241E-3"/>
  </r>
  <r>
    <x v="159"/>
    <n v="28800528"/>
    <n v="4493532.7931034481"/>
    <n v="3.9182783622188355E-2"/>
    <n v="32882240"/>
    <x v="159"/>
    <n v="5905700.5773297697"/>
    <n v="4674671.9817084698"/>
    <n v="1231028.5956212999"/>
    <n v="3389987"/>
    <n v="4305103"/>
    <n v="24238.793103448301"/>
    <n v="32400"/>
    <n v="51991"/>
    <n v="65678"/>
    <n v="11309"/>
    <n v="1844"/>
    <n v="76270"/>
    <n v="114553"/>
    <n v="757315"/>
    <n v="480602"/>
    <n v="142907"/>
    <n v="174897"/>
    <n v="32343"/>
    <n v="13800"/>
    <n v="7172"/>
    <n v="7381"/>
    <n v="0"/>
    <n v="11271"/>
    <n v="0"/>
    <n v="1636"/>
    <n v="5209165"/>
    <n v="0.88205707888348373"/>
    <n v="-696535.57732976973"/>
    <n v="6.8446347962349385E-2"/>
    <n v="0.14406295826410509"/>
    <n v="0.15841879993577079"/>
    <n v="-2.8375788123997436E-2"/>
  </r>
  <r>
    <x v="160"/>
    <n v="33842549"/>
    <n v="4875457.7241379311"/>
    <n v="4.2513099127087096E-2"/>
    <n v="37140797"/>
    <x v="160"/>
    <n v="6407621.7256236402"/>
    <n v="5064708.4725375203"/>
    <n v="1342913.2530861199"/>
    <n v="3660690"/>
    <n v="4123039"/>
    <n v="22251.724137931"/>
    <n v="28567"/>
    <n v="65685"/>
    <n v="28987"/>
    <n v="13660"/>
    <n v="6055"/>
    <n v="88024"/>
    <n v="132557"/>
    <n v="829750"/>
    <n v="415988"/>
    <n v="153054"/>
    <n v="141262"/>
    <n v="32493"/>
    <n v="21700"/>
    <n v="9850"/>
    <n v="2811"/>
    <n v="0"/>
    <n v="4259"/>
    <n v="0"/>
    <n v="0"/>
    <n v="4905225"/>
    <n v="0.7655297409933457"/>
    <n v="-1502396.7256236402"/>
    <n v="0.10448786537619759"/>
    <n v="0.1161836524699323"/>
    <n v="0.13207107537299212"/>
    <n v="-2.837594116866704E-2"/>
  </r>
  <r>
    <x v="161"/>
    <n v="38225481"/>
    <n v="4441176"/>
    <n v="3.8726241967819514E-2"/>
    <n v="35683971"/>
    <x v="161"/>
    <n v="5835819.3199239196"/>
    <n v="4360940.8577481396"/>
    <n v="1474878.46217578"/>
    <n v="3126283"/>
    <n v="2993082"/>
    <n v="19800"/>
    <n v="24347"/>
    <n v="47481"/>
    <n v="18478"/>
    <n v="1700"/>
    <n v="2267"/>
    <n v="120026"/>
    <n v="140034"/>
    <n v="948224"/>
    <n v="412479"/>
    <n v="139153"/>
    <n v="215146"/>
    <n v="23874"/>
    <n v="12955"/>
    <n v="14635"/>
    <n v="214"/>
    <n v="0"/>
    <n v="4069"/>
    <n v="0"/>
    <n v="1076"/>
    <n v="3824147"/>
    <n v="0.65528879328804424"/>
    <n v="-2011672.3199239196"/>
    <n v="-4.1536392791188259E-3"/>
    <n v="8.615429046371674E-2"/>
    <n v="0.10716708070410662"/>
    <n v="-0.19941425990999928"/>
  </r>
  <r>
    <x v="162"/>
    <n v="44572329"/>
    <n v="3840097.3793103448"/>
    <n v="3.3484946395090399E-2"/>
    <n v="38806927"/>
    <x v="162"/>
    <n v="5045229.5474619195"/>
    <n v="3587371.5437153699"/>
    <n v="1457858.0037465501"/>
    <n v="2529675"/>
    <n v="2651227"/>
    <n v="25116.379310344801"/>
    <n v="30709"/>
    <n v="47507"/>
    <n v="11629"/>
    <n v="12578"/>
    <n v="3889"/>
    <n v="112328"/>
    <n v="97304"/>
    <n v="947866"/>
    <n v="566709"/>
    <n v="131048"/>
    <n v="221811"/>
    <n v="20426"/>
    <n v="20101"/>
    <n v="13553"/>
    <n v="2802"/>
    <n v="0"/>
    <n v="6123"/>
    <n v="0"/>
    <n v="2627"/>
    <n v="3614931"/>
    <n v="0.71650476276516428"/>
    <n v="-1430298.5474619195"/>
    <n v="0.30675142736352701"/>
    <n v="5.7527224435941417E-2"/>
    <n v="9.3151694283858139E-2"/>
    <n v="-0.19299607782920425"/>
  </r>
  <r>
    <x v="163"/>
    <n v="48087656"/>
    <n v="2766349.3793103448"/>
    <n v="2.4122060335077859E-2"/>
    <n v="50061401"/>
    <x v="163"/>
    <n v="3633800.0556295104"/>
    <n v="2412639.4745812402"/>
    <n v="1221160.58104827"/>
    <n v="1638837"/>
    <n v="2172069"/>
    <n v="28341.379310344801"/>
    <n v="41533"/>
    <n v="42888"/>
    <n v="29771"/>
    <n v="9320"/>
    <n v="2610"/>
    <n v="114759"/>
    <n v="43950"/>
    <n v="766146"/>
    <n v="427855"/>
    <n v="144596"/>
    <n v="215157"/>
    <n v="10631"/>
    <n v="16395"/>
    <n v="10831"/>
    <n v="3162"/>
    <n v="0"/>
    <n v="-34"/>
    <n v="0"/>
    <n v="3272"/>
    <n v="2955740"/>
    <n v="0.81340193592130783"/>
    <n v="-678060.05562951043"/>
    <n v="0.21524463443862274"/>
    <n v="3.8299884881504223E-2"/>
    <n v="5.9042294881040187E-2"/>
    <n v="-0.21168833806947462"/>
  </r>
  <r>
    <x v="164"/>
    <n v="63504580"/>
    <n v="2432218.1034482755"/>
    <n v="2.1208496756861019E-2"/>
    <n v="53829581"/>
    <x v="164"/>
    <n v="3194761.9660381302"/>
    <n v="2089143.48260971"/>
    <n v="1105618.48342842"/>
    <n v="1454606"/>
    <n v="2966244"/>
    <n v="33468.103448275797"/>
    <n v="39097"/>
    <n v="14384"/>
    <n v="-880"/>
    <n v="6930"/>
    <n v="939"/>
    <n v="78828"/>
    <n v="55568"/>
    <n v="672212"/>
    <n v="506926"/>
    <n v="147847"/>
    <n v="228812"/>
    <n v="11663"/>
    <n v="16003"/>
    <n v="12280"/>
    <n v="2578"/>
    <n v="0"/>
    <n v="3300"/>
    <n v="0"/>
    <n v="3617"/>
    <n v="3822204"/>
    <n v="1.196397115225448"/>
    <n v="627442.03396186978"/>
    <n v="0.40856701262259687"/>
    <n v="5.9011352944410025E-2"/>
    <n v="7.1005642789602988E-2"/>
    <n v="0.17063154225675681"/>
  </r>
  <r>
    <x v="165"/>
    <n v="45983368"/>
    <n v="2713540.7586206896"/>
    <n v="2.3661578826843464E-2"/>
    <n v="31869082"/>
    <x v="165"/>
    <n v="3564311.2937797699"/>
    <n v="2337321.3399915602"/>
    <n v="1226989.9537882099"/>
    <n v="1639221"/>
    <n v="4649825"/>
    <n v="25457.758620689601"/>
    <n v="37739"/>
    <n v="15670"/>
    <n v="23981"/>
    <n v="5332"/>
    <n v="1678"/>
    <n v="91206"/>
    <n v="112677"/>
    <n v="746589"/>
    <n v="633681"/>
    <n v="161202"/>
    <n v="215869"/>
    <n v="18560"/>
    <n v="20071"/>
    <n v="10303"/>
    <n v="5767"/>
    <n v="0"/>
    <n v="8348"/>
    <n v="0"/>
    <n v="1550"/>
    <n v="5711186"/>
    <n v="1.6023252542410737"/>
    <n v="2146874.7062202301"/>
    <n v="0.46478109890672425"/>
    <n v="0.15855348056601137"/>
    <n v="0.17920773494511075"/>
    <n v="0.29596047609274434"/>
  </r>
  <r>
    <x v="166"/>
    <n v="24591091"/>
    <n v="3899003.068965517"/>
    <n v="3.3998593228917177E-2"/>
    <n v="36969775"/>
    <x v="166"/>
    <n v="5123707.1868958799"/>
    <n v="3905344.7047627801"/>
    <n v="1218362.4821331"/>
    <n v="2820912"/>
    <n v="5160916"/>
    <n v="25462.068965517199"/>
    <n v="18791"/>
    <n v="27617"/>
    <n v="35886"/>
    <n v="9575"/>
    <n v="3238"/>
    <n v="85369"/>
    <n v="89042"/>
    <n v="742785"/>
    <n v="748300"/>
    <n v="138760"/>
    <n v="179203"/>
    <n v="37149"/>
    <n v="14440"/>
    <n v="11374"/>
    <n v="6266"/>
    <n v="0"/>
    <n v="8389"/>
    <n v="0"/>
    <n v="2884"/>
    <n v="6267355"/>
    <n v="1.2232070981786494"/>
    <n v="1143647.8131041201"/>
    <n v="0.39877731916499815"/>
    <n v="0.14900075316456707"/>
    <n v="0.16952645776177971"/>
    <n v="0.22941797296308186"/>
  </r>
  <r>
    <x v="167"/>
    <n v="30070957"/>
    <n v="4480595.2413793104"/>
    <n v="3.9069970538775284E-2"/>
    <n v="42471497"/>
    <x v="167"/>
    <n v="5888458.4875598401"/>
    <n v="4603401.4314247901"/>
    <n v="1285057.05613505"/>
    <n v="3331006"/>
    <n v="4780003"/>
    <n v="37267.241379310297"/>
    <n v="32856"/>
    <n v="45603"/>
    <n v="23592"/>
    <n v="6054"/>
    <n v="4187"/>
    <n v="79684"/>
    <n v="135945"/>
    <n v="770093"/>
    <n v="805827"/>
    <n v="153147"/>
    <n v="161698"/>
    <n v="41755"/>
    <n v="17717"/>
    <n v="15986"/>
    <n v="6926"/>
    <n v="0"/>
    <n v="7283"/>
    <n v="0"/>
    <n v="2368"/>
    <n v="5978402"/>
    <n v="1.0152745430115842"/>
    <n v="89943.512440159917"/>
    <n v="0.48519628831604789"/>
    <n v="0.12061226916299343"/>
    <n v="0.14076268609039139"/>
    <n v="0.27258792412658961"/>
  </r>
  <r>
    <x v="168"/>
    <n v="33374116"/>
    <n v="4025327.8620689656"/>
    <n v="3.5100122306859348E-2"/>
    <n v="46880396"/>
    <x v="168"/>
    <n v="5290333.0760039603"/>
    <n v="4182423.4525930402"/>
    <n v="1107909.6234109199"/>
    <n v="2973640"/>
    <n v="3694508"/>
    <n v="40300.8620689655"/>
    <n v="30523"/>
    <n v="43913"/>
    <n v="39366"/>
    <n v="7553"/>
    <n v="4372"/>
    <n v="114170"/>
    <n v="104558"/>
    <n v="667867"/>
    <n v="564730"/>
    <n v="125568"/>
    <n v="163685"/>
    <n v="34974"/>
    <n v="12267"/>
    <n v="17342"/>
    <n v="5509"/>
    <n v="0"/>
    <n v="8214"/>
    <n v="0"/>
    <n v="5684"/>
    <n v="4633416"/>
    <n v="0.87582689661193114"/>
    <n v="-656917.07600396033"/>
    <n v="0.35200824882711435"/>
    <n v="9.4363984498991985E-2"/>
    <n v="9.8834830661413353E-2"/>
    <n v="0.29084943618607006"/>
  </r>
  <r>
    <x v="169"/>
    <n v="36317478"/>
    <n v="3427061.9310344825"/>
    <n v="2.988335287319038E-2"/>
    <n v="49964426"/>
    <x v="169"/>
    <n v="4504623.475328858"/>
    <n v="3698431.7051661098"/>
    <n v="806191.77016274806"/>
    <n v="2669804"/>
    <n v="2520466"/>
    <n v="40587.931034482703"/>
    <n v="27134"/>
    <n v="31678"/>
    <n v="6920"/>
    <n v="8489"/>
    <n v="610"/>
    <n v="61076"/>
    <n v="82905"/>
    <n v="455015"/>
    <n v="507387"/>
    <n v="126044"/>
    <n v="155281"/>
    <n v="24483"/>
    <n v="7714"/>
    <n v="9885"/>
    <n v="7124"/>
    <n v="0"/>
    <n v="10528"/>
    <n v="0"/>
    <n v="5426"/>
    <n v="3331495"/>
    <n v="0.73957235676768429"/>
    <n v="-1173128.475328858"/>
    <n v="2.004429885565373E-2"/>
    <n v="8.5740320610696835E-2"/>
    <n v="6.6677339593574039E-2"/>
    <n v="0.3116738873220728"/>
  </r>
  <r>
    <x v="170"/>
    <n v="38092110"/>
    <n v="3266029.7241379311"/>
    <n v="2.8479181498561719E-2"/>
    <n v="63050656"/>
    <x v="170"/>
    <n v="4290912.3452426102"/>
    <n v="3029109.90144003"/>
    <n v="1261802.44380258"/>
    <n v="2117726"/>
    <n v="1707778"/>
    <n v="37026.724137931"/>
    <n v="37861"/>
    <n v="33900"/>
    <n v="195"/>
    <n v="3527"/>
    <n v="4940"/>
    <n v="110621"/>
    <n v="125997"/>
    <n v="822254"/>
    <n v="378080"/>
    <n v="98107"/>
    <n v="153733"/>
    <n v="33075"/>
    <n v="14491"/>
    <n v="9793"/>
    <n v="5329"/>
    <n v="0"/>
    <n v="5725"/>
    <n v="0"/>
    <n v="603"/>
    <n v="2434732"/>
    <n v="0.56741592558967524"/>
    <n v="-1856180.3452426102"/>
    <n v="-0.14914189260059629"/>
    <n v="5.6148136510023726E-2"/>
    <n v="3.8615490376499813E-2"/>
    <n v="0.237174426612901"/>
  </r>
  <r>
    <x v="171"/>
    <n v="50963433"/>
    <n v="2861501.7931034481"/>
    <n v="2.4951771970098357E-2"/>
    <n v="44356663"/>
    <x v="171"/>
    <n v="3761691.2293913742"/>
    <n v="3198382.5668882602"/>
    <n v="563308.66250311397"/>
    <n v="2280322"/>
    <n v="2286106"/>
    <n v="39113.793103448297"/>
    <n v="30081"/>
    <n v="21973"/>
    <n v="-4507"/>
    <n v="5556"/>
    <n v="-62"/>
    <n v="84521"/>
    <n v="66122"/>
    <n v="311488"/>
    <n v="434484"/>
    <n v="82471"/>
    <n v="171572"/>
    <n v="25122"/>
    <n v="16085"/>
    <n v="10935"/>
    <n v="6203"/>
    <n v="0"/>
    <n v="5780"/>
    <n v="0"/>
    <n v="2584"/>
    <n v="3014448"/>
    <n v="0.80135444835213787"/>
    <n v="-747243.22939137416"/>
    <n v="-8.5878424966886691E-2"/>
    <n v="6.7309817220294735E-2"/>
    <n v="6.795930523448078E-2"/>
    <n v="-9.46146974235339E-2"/>
  </r>
  <r>
    <x v="172"/>
    <n v="48992029"/>
    <n v="3297644.5172413792"/>
    <n v="2.8754856708795826E-2"/>
    <n v="26759670"/>
    <x v="172"/>
    <n v="4336185.2668039147"/>
    <n v="3963613.6803517002"/>
    <n v="372571.58645221498"/>
    <n v="2863065"/>
    <n v="3449372"/>
    <n v="49765.517241379297"/>
    <n v="32572"/>
    <n v="3999"/>
    <n v="60642"/>
    <n v="5169"/>
    <n v="0"/>
    <n v="91234"/>
    <n v="81822"/>
    <n v="100157"/>
    <n v="607813"/>
    <n v="134523"/>
    <n v="170679"/>
    <n v="40627"/>
    <n v="25030"/>
    <n v="9105"/>
    <n v="4734"/>
    <n v="0"/>
    <n v="5983"/>
    <n v="0"/>
    <n v="1464"/>
    <n v="4440111"/>
    <n v="1.0239670878437088"/>
    <n v="103925.73319608532"/>
    <n v="-0.15269424813078691"/>
    <n v="0.16560017341136393"/>
    <n v="0.16592547665946553"/>
    <n v="-0.154355423489553"/>
  </r>
  <r>
    <x v="173"/>
    <n v="31644110"/>
    <n v="5240270.1034482755"/>
    <n v="4.5694196312613712E-2"/>
    <n v="28828276"/>
    <x v="173"/>
    <n v="6885052.9044871293"/>
    <n v="4952666.9300810797"/>
    <n v="1932385.9744060501"/>
    <n v="3518868"/>
    <n v="3607578"/>
    <n v="48518.103448275797"/>
    <n v="31603"/>
    <n v="41503"/>
    <n v="41336"/>
    <n v="11366"/>
    <n v="0"/>
    <n v="144879"/>
    <n v="47149"/>
    <n v="1270698"/>
    <n v="522266"/>
    <n v="117470"/>
    <n v="166620"/>
    <n v="71619"/>
    <n v="35881"/>
    <n v="15349"/>
    <n v="14026"/>
    <n v="0"/>
    <n v="6322"/>
    <n v="0"/>
    <n v="5038"/>
    <n v="4477819"/>
    <n v="0.65036813255010928"/>
    <n v="-2407233.9044871293"/>
    <n v="2.7424737949500066E-2"/>
    <n v="0.13304668045382048"/>
    <n v="0.15532732515811906"/>
    <n v="-0.11995232866358163"/>
  </r>
  <r>
    <x v="174"/>
    <n v="32757630"/>
    <n v="4358293.931034483"/>
    <n v="3.8003525494175572E-2"/>
    <n v="28911259"/>
    <x v="174"/>
    <n v="5729014.832033854"/>
    <n v="4789302.9167269897"/>
    <n v="939711.91530686396"/>
    <n v="3394337"/>
    <n v="3156183"/>
    <n v="48212.931034482703"/>
    <n v="27167"/>
    <n v="85752"/>
    <n v="47227"/>
    <n v="8426"/>
    <n v="1614"/>
    <n v="104213"/>
    <n v="62691"/>
    <n v="504323"/>
    <n v="486332"/>
    <n v="137554"/>
    <n v="165559"/>
    <n v="60128"/>
    <n v="26707"/>
    <n v="15348"/>
    <n v="18093"/>
    <n v="0"/>
    <n v="15844"/>
    <n v="0"/>
    <n v="5384"/>
    <n v="4012801"/>
    <n v="0.70043473749838736"/>
    <n v="-1716213.832033854"/>
    <n v="-8.2570336260633925E-2"/>
    <n v="0.11926784529425177"/>
    <n v="0.13879717240954467"/>
    <n v="-0.211656424236351"/>
  </r>
  <r>
    <x v="175"/>
    <n v="36673425"/>
    <n v="4373960.3793103453"/>
    <n v="3.8140134056121183E-2"/>
    <n v="32990386"/>
    <x v="175"/>
    <n v="5747826.9104707399"/>
    <n v="4375020.1099856403"/>
    <n v="1372806.8004850999"/>
    <n v="3139943"/>
    <n v="2694753"/>
    <n v="41541.379310344797"/>
    <n v="29216"/>
    <n v="19984"/>
    <n v="16753"/>
    <n v="5166"/>
    <n v="1713"/>
    <n v="119359"/>
    <n v="63932"/>
    <n v="869828"/>
    <n v="505290"/>
    <n v="125724"/>
    <n v="132920"/>
    <n v="44086"/>
    <n v="47371"/>
    <n v="8329"/>
    <n v="14247"/>
    <n v="0"/>
    <n v="19034"/>
    <n v="0"/>
    <n v="861"/>
    <n v="3526090"/>
    <n v="0.61346488941352229"/>
    <n v="-2221736.9104707399"/>
    <n v="7.1724461183537702E-3"/>
    <n v="8.6884847783927091E-2"/>
    <n v="0.10688235051266147"/>
    <n v="-0.18126777476892864"/>
  </r>
  <r>
    <x v="176"/>
    <n v="40294476"/>
    <n v="3500979.4137931033"/>
    <n v="3.0527899795663723E-2"/>
    <n v="37473775"/>
    <x v="176"/>
    <n v="4601271.3508241205"/>
    <n v="3654372.9324046001"/>
    <n v="946898.41841952002"/>
    <n v="2604399"/>
    <n v="2205478"/>
    <n v="43047.413793103398"/>
    <n v="28000"/>
    <n v="27161"/>
    <n v="16158"/>
    <n v="7060"/>
    <n v="1136"/>
    <n v="96473"/>
    <n v="81003"/>
    <n v="505360"/>
    <n v="416030"/>
    <n v="154811"/>
    <n v="171947"/>
    <n v="46738"/>
    <n v="42864"/>
    <n v="15930"/>
    <n v="12244"/>
    <n v="0"/>
    <n v="7750"/>
    <n v="0"/>
    <n v="689"/>
    <n v="2983299"/>
    <n v="0.64836406561105553"/>
    <n v="-1617972.3508241205"/>
    <n v="1.3244916771268711E-2"/>
    <n v="6.4638707135331805E-2"/>
    <n v="7.961031414635969E-2"/>
    <n v="-0.17730708471853773"/>
  </r>
  <r>
    <x v="177"/>
    <n v="45550137"/>
    <n v="2944301.9655172415"/>
    <n v="2.5673774320798655E-2"/>
    <n v="42913204"/>
    <x v="177"/>
    <n v="3869238.1141088381"/>
    <n v="2975810.10838571"/>
    <n v="893428.00572312798"/>
    <n v="2116880"/>
    <n v="1773131"/>
    <n v="39018.965517241399"/>
    <n v="37159"/>
    <n v="39894"/>
    <n v="7338"/>
    <n v="8661"/>
    <n v="0"/>
    <n v="57827"/>
    <n v="67734"/>
    <n v="506732"/>
    <n v="419596"/>
    <n v="134913"/>
    <n v="154349"/>
    <n v="29295"/>
    <n v="36632"/>
    <n v="11081"/>
    <n v="11823"/>
    <n v="0"/>
    <n v="4627"/>
    <n v="0"/>
    <n v="1463"/>
    <n v="2513852"/>
    <n v="0.64970206688326027"/>
    <n v="-1355386.1141088381"/>
    <n v="8.9820690371433809E-3"/>
    <n v="4.7527441477588382E-2"/>
    <n v="5.8579918665592999E-2"/>
    <n v="-0.18138609048180676"/>
  </r>
  <r>
    <x v="178"/>
    <n v="52421787"/>
    <n v="2491473.4137931033"/>
    <n v="2.1725192219119671E-2"/>
    <n v="44748131"/>
    <x v="178"/>
    <n v="3273634.5030915751"/>
    <n v="2391835.1135060801"/>
    <n v="881799.389585495"/>
    <n v="1692150"/>
    <n v="2401141"/>
    <n v="45922.413793103398"/>
    <n v="36721"/>
    <n v="20153"/>
    <n v="0"/>
    <n v="5603"/>
    <n v="3416"/>
    <n v="54501"/>
    <n v="51033"/>
    <n v="502302"/>
    <n v="338340"/>
    <n v="130575"/>
    <n v="156455"/>
    <n v="29728"/>
    <n v="51224"/>
    <n v="10539"/>
    <n v="16905"/>
    <n v="0"/>
    <n v="2570"/>
    <n v="0"/>
    <n v="5469"/>
    <n v="3063274"/>
    <n v="0.93574099280389622"/>
    <n v="-210360.50309157511"/>
    <n v="0.12568811188618012"/>
    <n v="5.0515111232651191E-2"/>
    <n v="6.845590936524254E-2"/>
    <n v="-0.16933014676925084"/>
  </r>
  <r>
    <x v="179"/>
    <n v="53869935"/>
    <n v="2721245.7586206896"/>
    <n v="2.3728765016799019E-2"/>
    <n v="26885675"/>
    <x v="179"/>
    <n v="3577224.5959536387"/>
    <n v="3020309.9038648298"/>
    <n v="556914.69208880898"/>
    <n v="2129034"/>
    <n v="3662040"/>
    <n v="46807.758620689601"/>
    <n v="33444"/>
    <n v="7774"/>
    <n v="20991"/>
    <n v="4942"/>
    <n v="963"/>
    <n v="107553"/>
    <n v="80828"/>
    <n v="253751"/>
    <n v="498148"/>
    <n v="117964"/>
    <n v="146434"/>
    <n v="43414"/>
    <n v="52303"/>
    <n v="10006"/>
    <n v="17845"/>
    <n v="0"/>
    <n v="3624"/>
    <n v="0"/>
    <n v="4004"/>
    <n v="4520624"/>
    <n v="1.2637238391778596"/>
    <n v="943399.40404636133"/>
    <n v="-7.5684340362843106E-2"/>
    <n v="0.15730739520890064"/>
    <n v="0.16814247736015556"/>
    <n v="-0.13524713652890707"/>
  </r>
  <r>
    <x v="180"/>
    <n v="31090588"/>
    <n v="4890779.4137931038"/>
    <n v="4.2646701456952443E-2"/>
    <n v="29153329"/>
    <x v="180"/>
    <n v="6427394.1174728405"/>
    <n v="4992392.4947524704"/>
    <n v="1435001.6227203701"/>
    <n v="3606910"/>
    <n v="4003008"/>
    <n v="47272.413793103398"/>
    <n v="33147"/>
    <n v="48765"/>
    <n v="7770"/>
    <n v="11584"/>
    <n v="4521"/>
    <n v="80803"/>
    <n v="83644"/>
    <n v="907574"/>
    <n v="771777"/>
    <n v="118765"/>
    <n v="155445"/>
    <n v="58578"/>
    <n v="49773"/>
    <n v="10528"/>
    <n v="13299"/>
    <n v="0"/>
    <n v="4538"/>
    <n v="0"/>
    <n v="1937"/>
    <n v="5128859"/>
    <n v="0.79796864892059771"/>
    <n v="-1298535.1174728405"/>
    <n v="0.10594807795333638"/>
    <n v="0.13055996352371022"/>
    <n v="0.17592704421508776"/>
    <n v="-0.17924761732385375"/>
  </r>
  <r>
    <x v="181"/>
    <n v="35520249"/>
    <n v="4637522.4137931038"/>
    <n v="4.0246683754001533E-2"/>
    <n v="31749859"/>
    <x v="181"/>
    <n v="6098844.9034075299"/>
    <n v="5047249.3107280601"/>
    <n v="1051595.5926794701"/>
    <n v="3637472"/>
    <n v="3854991"/>
    <n v="42322.413793103398"/>
    <n v="33555"/>
    <n v="86850"/>
    <n v="37725"/>
    <n v="9893"/>
    <n v="3591"/>
    <n v="74174"/>
    <n v="72458"/>
    <n v="622788"/>
    <n v="625555"/>
    <n v="102657"/>
    <n v="147936"/>
    <n v="47524"/>
    <n v="54054"/>
    <n v="13842"/>
    <n v="17511"/>
    <n v="0"/>
    <n v="6232"/>
    <n v="0"/>
    <n v="1455"/>
    <n v="4855063"/>
    <n v="0.79606270972514692"/>
    <n v="-1243781.9034075299"/>
    <n v="8.1932947815338109E-2"/>
    <n v="0.12063200494079214"/>
    <n v="0.15291604917048607"/>
    <n v="-0.14648762236229562"/>
  </r>
  <r>
    <x v="182"/>
    <n v="37199061"/>
    <n v="4487397.3103448283"/>
    <n v="3.8943824808447103E-2"/>
    <n v="37296594"/>
    <x v="182"/>
    <n v="5892162.2488056887"/>
    <n v="4998453.4809855698"/>
    <n v="893708.76782011904"/>
    <n v="3648365"/>
    <n v="2923874"/>
    <n v="36679.310344827602"/>
    <n v="33721"/>
    <n v="54428"/>
    <n v="11767"/>
    <n v="10227"/>
    <n v="4184"/>
    <n v="69019"/>
    <n v="86120"/>
    <n v="520885"/>
    <n v="529374"/>
    <n v="97656"/>
    <n v="154761"/>
    <n v="41854"/>
    <n v="37080"/>
    <n v="8284"/>
    <n v="17915"/>
    <n v="0"/>
    <n v="9869"/>
    <n v="0"/>
    <n v="6287"/>
    <n v="3814952"/>
    <n v="0.64746214359139065"/>
    <n v="-2077210.2488056887"/>
    <n v="7.8747111827539573E-2"/>
    <n v="8.1252471354213027E-2"/>
    <n v="0.10228687370219383"/>
    <n v="-0.14308781146835181"/>
  </r>
  <r>
    <x v="183"/>
    <n v="43524406"/>
    <n v="3536465.5517241377"/>
    <n v="3.0691174719465582E-2"/>
    <n v="41201599"/>
    <x v="183"/>
    <n v="4659102.1493776534"/>
    <n v="3730074.2704468002"/>
    <n v="929027.87893085298"/>
    <n v="2662326"/>
    <n v="2705057"/>
    <n v="35471.551724137898"/>
    <n v="43805"/>
    <n v="41667"/>
    <n v="17931"/>
    <n v="9394"/>
    <n v="1013"/>
    <n v="92502"/>
    <n v="84930"/>
    <n v="552929"/>
    <n v="337385"/>
    <n v="93404"/>
    <n v="118065"/>
    <n v="39271"/>
    <n v="42831"/>
    <n v="9501"/>
    <n v="10140"/>
    <n v="0"/>
    <n v="10620"/>
    <n v="0"/>
    <n v="1894"/>
    <n v="3373671"/>
    <n v="0.72410324818713045"/>
    <n v="-1285431.1493776534"/>
    <n v="0.1781090718018925"/>
    <n v="6.7915954355162123E-2"/>
    <n v="8.1882040548960242E-2"/>
    <n v="-2.2833317178295953E-2"/>
  </r>
  <r>
    <x v="184"/>
    <n v="42164351"/>
    <n v="2863632.1379310344"/>
    <n v="2.4851997847022678E-2"/>
    <n v="51574094"/>
    <x v="184"/>
    <n v="3778369.2535806466"/>
    <n v="3022320.2831639699"/>
    <n v="756048.97041667695"/>
    <n v="2146336"/>
    <n v="2175054"/>
    <n v="32924.1379310345"/>
    <n v="41461"/>
    <n v="12896"/>
    <n v="4234"/>
    <n v="-1764"/>
    <n v="345"/>
    <n v="107559"/>
    <n v="73695"/>
    <n v="416715"/>
    <n v="476598"/>
    <n v="115888"/>
    <n v="108307"/>
    <n v="27713"/>
    <n v="37222"/>
    <n v="5365"/>
    <n v="7925"/>
    <n v="0"/>
    <n v="56771"/>
    <n v="0"/>
    <n v="2583"/>
    <n v="2984195"/>
    <n v="0.7898103122589113"/>
    <n v="-794174.25358064659"/>
    <n v="0.28018131718937322"/>
    <n v="4.4727414758700464E-2"/>
    <n v="5.786228644171626E-2"/>
    <n v="-1.042277688171156E-2"/>
  </r>
  <r>
    <x v="185"/>
    <n v="52117301"/>
    <n v="2331072.1379310344"/>
    <n v="2.0230182147268461E-2"/>
    <n v="39756355"/>
    <x v="185"/>
    <n v="3089334.7146261511"/>
    <n v="2375895.6201392901"/>
    <n v="713439.09448686102"/>
    <n v="1678670"/>
    <n v="2221020"/>
    <n v="35299.1379310345"/>
    <n v="34456"/>
    <n v="11072"/>
    <n v="-5691"/>
    <n v="8150"/>
    <n v="2342"/>
    <n v="64081"/>
    <n v="40115"/>
    <n v="404189"/>
    <n v="421919"/>
    <n v="108332"/>
    <n v="88467"/>
    <n v="16902"/>
    <n v="39269"/>
    <n v="4377"/>
    <n v="5114"/>
    <n v="0"/>
    <n v="13798"/>
    <n v="0"/>
    <n v="3488"/>
    <n v="2864297"/>
    <n v="0.92715657725246403"/>
    <n v="-225037.71462615114"/>
    <n v="4.5669739513661156E-2"/>
    <n v="5.1724214114067121E-2"/>
    <n v="7.2046267823093937E-2"/>
    <n v="-0.24928178608762908"/>
  </r>
  <r>
    <x v="186"/>
    <n v="52957760"/>
    <n v="2739198.5172413792"/>
    <n v="2.3772102132585415E-2"/>
    <n v="28541400"/>
    <x v="186"/>
    <n v="3617125.0987107223"/>
    <n v="3117787.2320695701"/>
    <n v="499337.86664115201"/>
    <n v="2223373"/>
    <n v="3592240"/>
    <n v="39215.517241379297"/>
    <n v="37084"/>
    <n v="24461"/>
    <n v="13165"/>
    <n v="3632"/>
    <n v="3678"/>
    <n v="74909"/>
    <n v="43263"/>
    <n v="230319"/>
    <n v="516899"/>
    <n v="105857"/>
    <n v="122255"/>
    <n v="29115"/>
    <n v="22297"/>
    <n v="8317"/>
    <n v="3480"/>
    <n v="0"/>
    <n v="17060"/>
    <n v="0"/>
    <n v="3660"/>
    <n v="4375081"/>
    <n v="1.2095464991131883"/>
    <n v="757955.90128927771"/>
    <n v="-7.1951478491254495E-2"/>
    <n v="0.14815759976954479"/>
    <n v="0.15328894167770327"/>
    <n v="-0.1030178699680443"/>
  </r>
  <r>
    <x v="187"/>
    <n v="31819363"/>
    <n v="4714280.4482758623"/>
    <n v="4.0912827453969028E-2"/>
    <n v="33738698"/>
    <x v="187"/>
    <n v="6201328.78786078"/>
    <n v="4757774.7285575103"/>
    <n v="1443554.05930327"/>
    <n v="3448338"/>
    <n v="3881350"/>
    <n v="35553.448275862102"/>
    <n v="42546"/>
    <n v="63151"/>
    <n v="27712"/>
    <n v="5117"/>
    <n v="2534"/>
    <n v="82044"/>
    <n v="61051"/>
    <n v="867493"/>
    <n v="691715"/>
    <n v="163273"/>
    <n v="150430"/>
    <n v="43008"/>
    <n v="17456"/>
    <n v="6303"/>
    <n v="2549"/>
    <n v="0"/>
    <n v="8033"/>
    <n v="0"/>
    <n v="6201"/>
    <n v="4891577"/>
    <n v="0.78879497722735747"/>
    <n v="-1309751.78786078"/>
    <n v="8.0214450263693893E-2"/>
    <n v="0.12444077750824965"/>
    <n v="0.14498416625324428"/>
    <n v="-7.2845473127983174E-2"/>
  </r>
  <r>
    <x v="188"/>
    <n v="36389509"/>
    <n v="4528338.7931034481"/>
    <n v="3.9299134985300424E-2"/>
    <n v="35555231"/>
    <x v="188"/>
    <n v="5954114.5623109192"/>
    <n v="4827468.8657110296"/>
    <n v="1126645.69659989"/>
    <n v="3506249"/>
    <n v="3404528"/>
    <n v="38138.793103448297"/>
    <n v="36707"/>
    <n v="75946"/>
    <n v="48817"/>
    <n v="5502"/>
    <n v="4184"/>
    <n v="59539"/>
    <n v="89941"/>
    <n v="634734"/>
    <n v="628785"/>
    <n v="168311"/>
    <n v="147851"/>
    <n v="34428"/>
    <n v="25750"/>
    <n v="5491"/>
    <n v="5197"/>
    <n v="0"/>
    <n v="8617"/>
    <n v="0"/>
    <n v="1205"/>
    <n v="4401582"/>
    <n v="0.73925047191091531"/>
    <n v="-1552532.5623109192"/>
    <n v="3.8776893441169191E-2"/>
    <n v="0.11059995096160855"/>
    <n v="0.12379562377192824"/>
    <n v="-7.1948830062784408E-2"/>
  </r>
  <r>
    <x v="189"/>
    <n v="38311714"/>
    <n v="4237273.6896551717"/>
    <n v="3.6773129906496477E-2"/>
    <n v="39454207"/>
    <x v="189"/>
    <n v="5523727.9248078503"/>
    <n v="4516542.5124049"/>
    <n v="1007185.41240295"/>
    <n v="3310758"/>
    <n v="3166533"/>
    <n v="33820.689655172398"/>
    <n v="41275"/>
    <n v="39814"/>
    <n v="14603"/>
    <n v="5684"/>
    <n v="4141"/>
    <n v="93614"/>
    <n v="38529"/>
    <n v="580420"/>
    <n v="318377"/>
    <n v="132668"/>
    <n v="87484"/>
    <n v="37975"/>
    <n v="14199"/>
    <n v="2520"/>
    <n v="6363"/>
    <n v="0"/>
    <n v="6495"/>
    <n v="0"/>
    <n v="1248"/>
    <n v="3699247"/>
    <n v="0.66970116022299975"/>
    <n v="-1824480.9248078503"/>
    <n v="5.0264063012771754E-2"/>
    <n v="8.8934982877154095E-2"/>
    <n v="9.3760520899583658E-2"/>
    <n v="-3.7894887490336204E-3"/>
  </r>
  <r>
    <x v="190"/>
    <n v="39604287"/>
    <n v="3522206.5862068967"/>
    <n v="3.0567428454838425E-2"/>
    <n v="35709440"/>
    <x v="190"/>
    <n v="4596175.445665908"/>
    <n v="3605036.3985091401"/>
    <n v="991139.04715676804"/>
    <n v="2584721"/>
    <n v="2597860"/>
    <n v="34077.5862068965"/>
    <n v="41411"/>
    <n v="28434"/>
    <n v="28875"/>
    <n v="4376"/>
    <n v="5451"/>
    <n v="129021"/>
    <n v="161497"/>
    <n v="532963"/>
    <n v="363067"/>
    <n v="167845"/>
    <n v="95870"/>
    <n v="35189"/>
    <n v="14517"/>
    <n v="5580"/>
    <n v="6109"/>
    <n v="0"/>
    <n v="5021"/>
    <n v="0"/>
    <n v="2326"/>
    <n v="3322004"/>
    <n v="0.72277571630399284"/>
    <n v="-1274171.445665908"/>
    <n v="0.18727107628227802"/>
    <n v="7.0731738749229098E-2"/>
    <n v="9.3028734138647928E-2"/>
    <n v="-9.7292375633579953E-2"/>
  </r>
  <r>
    <x v="191"/>
    <n v="39558146"/>
    <n v="2798016.4482758623"/>
    <n v="2.4282552855663067E-2"/>
    <n v="47590736"/>
    <x v="191"/>
    <n v="3655864.8694691798"/>
    <n v="2711818.4159696698"/>
    <n v="944046.45349950995"/>
    <n v="1939583"/>
    <n v="1964012"/>
    <n v="35028.448275862102"/>
    <n v="40374"/>
    <n v="26271"/>
    <n v="270"/>
    <n v="5444"/>
    <n v="-18"/>
    <n v="85348"/>
    <n v="105814"/>
    <n v="527863"/>
    <n v="233528"/>
    <n v="153400"/>
    <n v="72542"/>
    <n v="20782"/>
    <n v="18682"/>
    <n v="4297"/>
    <n v="9069"/>
    <n v="0"/>
    <n v="7197"/>
    <n v="0"/>
    <n v="0"/>
    <n v="2451470"/>
    <n v="0.67055815450748479"/>
    <n v="-1204394.8694691798"/>
    <n v="-6.0509661459535624E-2"/>
    <n v="5.1281934302046236E-2"/>
    <n v="5.151149585078911E-2"/>
    <n v="-6.4696510503272187E-2"/>
  </r>
  <r>
    <x v="192"/>
    <n v="50882667"/>
    <n v="2609361.5862068962"/>
    <n v="2.2645313852836503E-2"/>
    <n v="39283967"/>
    <x v="192"/>
    <n v="3408776.2226847699"/>
    <n v="2548198.6682652398"/>
    <n v="860577.55441952997"/>
    <n v="1839299"/>
    <n v="20069"/>
    <n v="37977.5862068965"/>
    <n v="1278"/>
    <n v="10430"/>
    <n v="0"/>
    <n v="6547"/>
    <n v="0"/>
    <n v="71218"/>
    <n v="33609"/>
    <n v="483286"/>
    <n v="38750"/>
    <n v="135225"/>
    <n v="6662"/>
    <n v="12782"/>
    <n v="1861"/>
    <n v="12597"/>
    <n v="794"/>
    <n v="0"/>
    <n v="1636"/>
    <n v="0"/>
    <n v="861"/>
    <n v="105520"/>
    <n v="3.0955390763929905E-2"/>
    <n v="-3303256.2226847699"/>
    <n v="-0.95999971817531693"/>
    <n v="4.9432865625291804E-2"/>
    <n v="2.6860831035725083E-3"/>
    <n v="-0.26386173466357021"/>
  </r>
  <r>
    <x v="193"/>
    <n v="53364930"/>
    <n v="2637981.4137931033"/>
    <n v="2.289369069011717E-2"/>
    <n v="21016462"/>
    <x v="193"/>
    <n v="3445638.9128600401"/>
    <n v="2593151.3675055699"/>
    <n v="852487.54535447003"/>
    <n v="1908062"/>
    <n v="-4439"/>
    <n v="38972.413793103398"/>
    <n v="0"/>
    <n v="978"/>
    <n v="0"/>
    <n v="654"/>
    <n v="0"/>
    <n v="51478"/>
    <n v="-9316"/>
    <n v="452704"/>
    <n v="0"/>
    <n v="140269"/>
    <n v="154243"/>
    <n v="31653"/>
    <n v="0"/>
    <n v="13211"/>
    <n v="21040"/>
    <n v="0"/>
    <n v="0"/>
    <n v="0"/>
    <n v="0"/>
    <n v="161528"/>
    <n v="4.6878969063512306E-2"/>
    <n v="-3284110.9128600401"/>
    <n v="-0.9581349587017346"/>
    <n v="0.1241515058294153"/>
    <n v="7.6857846006620906E-3"/>
    <n v="-0.32373749866180779"/>
  </r>
  <r>
    <x v="194"/>
    <n v="31077373"/>
    <n v="3858302.6551724137"/>
    <n v="3.3484234238544491E-2"/>
    <n v="21232389"/>
    <x v="194"/>
    <n v="5036455.9523825301"/>
    <n v="3893865.4667282598"/>
    <n v="1142590.48565427"/>
    <n v="2840112"/>
    <n v="0"/>
    <n v="38589.655172413797"/>
    <n v="0"/>
    <n v="41758"/>
    <n v="0"/>
    <n v="3383"/>
    <n v="0"/>
    <n v="79566"/>
    <n v="284"/>
    <n v="679280"/>
    <n v="0"/>
    <n v="124738"/>
    <n v="70218"/>
    <n v="35820"/>
    <n v="0"/>
    <n v="15056"/>
    <n v="7454"/>
    <n v="0"/>
    <n v="0"/>
    <n v="0"/>
    <n v="0"/>
    <n v="77956"/>
    <n v="1.5478344442409425E-2"/>
    <n v="-4958499.9523825301"/>
    <n v="-0.98111132807560353"/>
    <n v="0.12572486800585456"/>
    <n v="3.6715604635917326E-3"/>
    <n v="-0.35319714654038403"/>
  </r>
  <r>
    <x v="195"/>
    <n v="32826678"/>
    <n v="4127129.7586206896"/>
    <n v="3.5817247095756254E-2"/>
    <n v="19955592"/>
    <x v="195"/>
    <n v="5388037.1156272702"/>
    <n v="4143600.4593508798"/>
    <n v="1244436.65627639"/>
    <n v="3030753"/>
    <n v="0"/>
    <n v="41557.758620689601"/>
    <n v="0"/>
    <n v="41277"/>
    <n v="0"/>
    <n v="10445"/>
    <n v="0"/>
    <n v="72001"/>
    <n v="-2878"/>
    <n v="731523"/>
    <n v="821406"/>
    <n v="137392"/>
    <n v="136915"/>
    <n v="41913"/>
    <n v="83688"/>
    <n v="20268"/>
    <n v="11645"/>
    <n v="0"/>
    <n v="11673"/>
    <n v="0"/>
    <n v="8697"/>
    <n v="1071146"/>
    <n v="0.19880078347888258"/>
    <n v="-4316891.1156272702"/>
    <n v="-0.74322958392164917"/>
    <n v="0.13400352913466343"/>
    <n v="5.3676483263438136E-2"/>
    <n v="-0.35897175373797041"/>
  </r>
  <r>
    <x v="196"/>
    <n v="31130597"/>
    <n v="4171609.8620689656"/>
    <n v="3.6203267150668253E-2"/>
    <n v="28580201"/>
    <x v="196"/>
    <n v="5447721.4874883704"/>
    <n v="4135978.5753871999"/>
    <n v="1311742.91210117"/>
    <n v="3000776"/>
    <n v="-239835"/>
    <n v="43500.8620689655"/>
    <n v="0"/>
    <n v="50474"/>
    <n v="0"/>
    <n v="7851"/>
    <n v="0"/>
    <n v="87553"/>
    <n v="8753"/>
    <n v="786889"/>
    <n v="87233"/>
    <n v="104771"/>
    <n v="97345"/>
    <n v="62833"/>
    <n v="0"/>
    <n v="26962"/>
    <n v="10653"/>
    <n v="0"/>
    <n v="0"/>
    <n v="0"/>
    <n v="0"/>
    <n v="-35851"/>
    <n v="-6.5809164588053904E-3"/>
    <n v="-5483572.4874883704"/>
    <n v="-1.0096190867408144"/>
    <n v="9.5506447193651256E-2"/>
    <n v="-1.2543998553404155E-3"/>
    <n v="-0.26763001769206884"/>
  </r>
  <r>
    <x v="197"/>
    <n v="39024266"/>
    <n v="3727069"/>
    <n v="3.234532450478305E-2"/>
    <n v="38646290"/>
    <x v="197"/>
    <n v="4864915.8388651898"/>
    <n v="3768983.5749953599"/>
    <n v="1095932.2638698299"/>
    <n v="2683648"/>
    <n v="4729379"/>
    <n v="39650"/>
    <n v="83907"/>
    <n v="18997"/>
    <n v="0"/>
    <n v="6904"/>
    <n v="4938"/>
    <n v="157886"/>
    <n v="-929"/>
    <n v="648054"/>
    <n v="148708"/>
    <n v="111421"/>
    <n v="89719"/>
    <n v="44791"/>
    <n v="5039"/>
    <n v="15718"/>
    <n v="9778"/>
    <n v="0"/>
    <n v="1649"/>
    <n v="0"/>
    <n v="0"/>
    <n v="5072188"/>
    <n v="1.042605497813331"/>
    <n v="207272.16113481019"/>
    <n v="0.61036070970606193"/>
    <n v="7.459774890927065E-2"/>
    <n v="0.13124644047332876"/>
    <n v="-8.4704442705097471E-2"/>
  </r>
  <r>
    <x v="198"/>
    <n v="42222744"/>
    <n v="3149721.6551724137"/>
    <n v="2.7334822359418115E-2"/>
    <n v="44716609"/>
    <x v="198"/>
    <n v="4112858.3879952449"/>
    <n v="3134969.68775257"/>
    <n v="977888.70024267503"/>
    <n v="2251369"/>
    <n v="4211778"/>
    <n v="44689.655172413797"/>
    <n v="61308"/>
    <n v="10825"/>
    <n v="0"/>
    <n v="8554"/>
    <n v="7997"/>
    <n v="102621"/>
    <n v="-3153"/>
    <n v="610477"/>
    <n v="7881"/>
    <n v="69555"/>
    <n v="89442"/>
    <n v="31664"/>
    <n v="12372"/>
    <n v="19967"/>
    <n v="5327"/>
    <n v="0"/>
    <n v="7154"/>
    <n v="0"/>
    <n v="0"/>
    <n v="4400106"/>
    <n v="1.0698413572524605"/>
    <n v="287247.61200475506"/>
    <n v="0.56381820203279709"/>
    <n v="5.8381523259163591E-2"/>
    <n v="9.839981381414678E-2"/>
    <n v="-7.2172139395294654E-2"/>
  </r>
  <r>
    <x v="199"/>
    <n v="48194941"/>
    <n v="2813694.068965517"/>
    <n v="2.4418610902527716E-2"/>
    <n v="40711839"/>
    <x v="199"/>
    <n v="3672367.3183367951"/>
    <n v="2855920.6096663498"/>
    <n v="816446.70867044502"/>
    <n v="1984365"/>
    <n v="3287464"/>
    <n v="43837.068965517203"/>
    <n v="42596"/>
    <n v="7363"/>
    <n v="0"/>
    <n v="4630"/>
    <n v="7508"/>
    <n v="162628"/>
    <n v="-7157"/>
    <n v="508767"/>
    <n v="91612"/>
    <n v="55690"/>
    <n v="75633"/>
    <n v="34679"/>
    <n v="32156"/>
    <n v="11735"/>
    <n v="2714"/>
    <n v="0"/>
    <n v="8746"/>
    <n v="0"/>
    <n v="0"/>
    <n v="3541272"/>
    <n v="0.96430223151093508"/>
    <n v="-131095.31833679508"/>
    <n v="0.23096690693903033"/>
    <n v="5.8213661084564189E-2"/>
    <n v="8.6983837797157723E-2"/>
    <n v="-0.17617925189770711"/>
  </r>
  <r>
    <x v="200"/>
    <n v="49418322"/>
    <n v="2876821.4482758623"/>
    <n v="2.4966461121809849E-2"/>
    <n v="29142685"/>
    <x v="200"/>
    <n v="3743850.333635712"/>
    <n v="3273177.00101378"/>
    <n v="470673.33262193197"/>
    <n v="2341728"/>
    <n v="4166837"/>
    <n v="48778.448275862102"/>
    <n v="43873"/>
    <n v="7001"/>
    <n v="0"/>
    <n v="5776"/>
    <n v="13564"/>
    <n v="121377"/>
    <n v="4700"/>
    <n v="238970"/>
    <n v="382320"/>
    <n v="55955"/>
    <n v="67710"/>
    <n v="41650"/>
    <n v="22398"/>
    <n v="15586"/>
    <n v="5837"/>
    <n v="0"/>
    <n v="4939"/>
    <n v="0"/>
    <n v="0"/>
    <n v="4712178"/>
    <n v="1.258644865598548"/>
    <n v="968327.66636428796"/>
    <n v="-6.3164017270344819E-2"/>
    <n v="0.14908975063249572"/>
    <n v="0.16169333745329231"/>
    <n v="-0.13618801338020492"/>
  </r>
  <r>
    <x v="201"/>
    <n v="33737301"/>
    <n v="5029885.7931034481"/>
    <n v="4.3651804729112634E-2"/>
    <n v="34240943"/>
    <x v="201"/>
    <n v="6570500.00690269"/>
    <n v="4923708.0261605801"/>
    <n v="1646791.9807421099"/>
    <n v="3558327"/>
    <n v="4405412"/>
    <n v="45088.793103448297"/>
    <n v="48043"/>
    <n v="41407"/>
    <n v="-5352"/>
    <n v="3984"/>
    <n v="29247"/>
    <n v="148938"/>
    <n v="3125"/>
    <n v="1077744"/>
    <n v="384714"/>
    <n v="70738"/>
    <n v="72953"/>
    <n v="68483"/>
    <n v="26680"/>
    <n v="15176"/>
    <n v="6091"/>
    <n v="0"/>
    <n v="5410"/>
    <n v="0"/>
    <n v="861"/>
    <n v="4977184"/>
    <n v="0.75750460311561985"/>
    <n v="-1593316.00690269"/>
    <n v="0.120162846268977"/>
    <n v="0.12625097893666129"/>
    <n v="0.14535767896345611"/>
    <n v="-2.7078191407490126E-2"/>
  </r>
  <r>
    <x v="202"/>
    <n v="35193931"/>
    <n v="4443268.2413793104"/>
    <n v="3.8560851202167311E-2"/>
    <n v="33913656"/>
    <x v="202"/>
    <n v="5797917.8047500104"/>
    <n v="4553053.459245"/>
    <n v="1244864.3455050101"/>
    <n v="3287363"/>
    <n v="2355041"/>
    <n v="43017.241379310297"/>
    <n v="44422"/>
    <n v="45721"/>
    <n v="-4595"/>
    <n v="7885"/>
    <n v="8901"/>
    <n v="127866"/>
    <n v="87466"/>
    <n v="797541"/>
    <n v="-140136"/>
    <n v="74451"/>
    <n v="59192"/>
    <n v="41790"/>
    <n v="24678"/>
    <n v="17634"/>
    <n v="2622"/>
    <n v="0"/>
    <n v="4318"/>
    <n v="0"/>
    <n v="-44"/>
    <n v="2441865"/>
    <n v="0.42116240385461728"/>
    <n v="-3356052.8047500104"/>
    <n v="-0.43325897777518141"/>
    <n v="0.11379613401342702"/>
    <n v="7.2002411064144775E-2"/>
    <n v="-0.10429475398334576"/>
  </r>
  <r>
    <x v="203"/>
    <n v="37862518"/>
    <n v="4308608.1724137925"/>
    <n v="3.7392205376579925E-2"/>
    <n v="40007982"/>
    <x v="203"/>
    <n v="5617917.5547398403"/>
    <n v="4553804.0329502802"/>
    <n v="1064113.5217895601"/>
    <n v="3324693"/>
    <n v="3083278"/>
    <n v="47655.172413793101"/>
    <n v="42541"/>
    <n v="29991"/>
    <n v="32416"/>
    <n v="3101"/>
    <n v="5616"/>
    <n v="106991"/>
    <n v="120117"/>
    <n v="677329"/>
    <n v="231502"/>
    <n v="77441"/>
    <n v="72242"/>
    <n v="28165"/>
    <n v="8011"/>
    <n v="13242"/>
    <n v="4728"/>
    <n v="0"/>
    <n v="2732"/>
    <n v="0"/>
    <n v="2454"/>
    <n v="3605637"/>
    <n v="0.64181023748878652"/>
    <n v="-2012280.5547398403"/>
    <n v="-1.5145060753905537E-2"/>
    <n v="8.9659448512505069E-2"/>
    <n v="9.0122940967130014E-2"/>
    <n v="-2.0210062276738161E-2"/>
  </r>
  <r>
    <x v="204"/>
    <n v="40833224"/>
    <n v="3661084.3448275863"/>
    <n v="3.1772677450519253E-2"/>
    <n v="38494412"/>
    <x v="204"/>
    <n v="4777092.2588771898"/>
    <n v="3757108.2463078802"/>
    <n v="1019984.01256931"/>
    <n v="2646867"/>
    <n v="2278603"/>
    <n v="44960.344827586203"/>
    <n v="42639"/>
    <n v="35095"/>
    <n v="39758"/>
    <n v="7885"/>
    <n v="9405"/>
    <n v="163118"/>
    <n v="125561"/>
    <n v="660447"/>
    <n v="-79945"/>
    <n v="62295"/>
    <n v="65983"/>
    <n v="26946"/>
    <n v="21720"/>
    <n v="13471"/>
    <n v="1719"/>
    <n v="0"/>
    <n v="4659"/>
    <n v="0"/>
    <n v="689"/>
    <n v="2510791"/>
    <n v="0.52558980734237226"/>
    <n v="-2266301.2588771898"/>
    <n v="-0.18720969747281757"/>
    <n v="7.4697056623310581E-2"/>
    <n v="6.522481756572876E-2"/>
    <n v="-6.9172662850784494E-2"/>
  </r>
  <r>
    <x v="205"/>
    <n v="41355051"/>
    <n v="3089100.5862068967"/>
    <n v="2.680872312500188E-2"/>
    <n v="43265279"/>
    <x v="205"/>
    <n v="4031932.8562442842"/>
    <n v="3131852.8554466101"/>
    <n v="900080.00079767394"/>
    <n v="2242610"/>
    <n v="2296703"/>
    <n v="44752.5862068965"/>
    <n v="40406"/>
    <n v="-1659"/>
    <n v="-1119"/>
    <n v="4160"/>
    <n v="2696"/>
    <n v="125791"/>
    <n v="111534"/>
    <n v="585838"/>
    <n v="213421"/>
    <n v="65896"/>
    <n v="59424"/>
    <n v="16520"/>
    <n v="16459"/>
    <n v="5192"/>
    <n v="2879"/>
    <n v="0"/>
    <n v="4612"/>
    <n v="0"/>
    <n v="689"/>
    <n v="2747704"/>
    <n v="0.68148555493542273"/>
    <n v="-1284228.8562442842"/>
    <n v="7.5895531889929035E-2"/>
    <n v="5.4414454656181284E-2"/>
    <n v="6.3508292642698555E-2"/>
    <n v="-7.816339884641299E-2"/>
  </r>
  <r>
    <x v="206"/>
    <n v="46933783"/>
    <n v="2553876.2068965519"/>
    <n v="2.2163784640722627E-2"/>
    <n v="43046323"/>
    <x v="206"/>
    <n v="3331988.1964123314"/>
    <n v="2633349.8222933002"/>
    <n v="698638.37411903101"/>
    <n v="1814470"/>
    <n v="3026716"/>
    <n v="48636.206896551703"/>
    <n v="41577"/>
    <n v="22502"/>
    <n v="-2437"/>
    <n v="8441"/>
    <n v="-2118"/>
    <n v="137101"/>
    <n v="77488"/>
    <n v="418048"/>
    <n v="286083"/>
    <n v="74083"/>
    <n v="100894"/>
    <n v="22565"/>
    <n v="1340"/>
    <n v="8030"/>
    <n v="3747"/>
    <n v="0"/>
    <n v="7694"/>
    <n v="0"/>
    <n v="0"/>
    <n v="3540984"/>
    <n v="1.0627240528080806"/>
    <n v="208995.80358766858"/>
    <n v="9.4586719829227839E-2"/>
    <n v="6.8710806872346514E-2"/>
    <n v="8.225984830341955E-2"/>
    <n v="-8.5702949100930237E-2"/>
  </r>
  <r>
    <x v="207"/>
    <n v="47081332"/>
    <n v="3234996.3103448278"/>
    <n v="2.8074877451927861E-2"/>
    <n v="29411304"/>
    <x v="207"/>
    <n v="4217898.0455742115"/>
    <n v="3424148.2696549399"/>
    <n v="793749.77591927198"/>
    <n v="2492742"/>
    <n v="4417927"/>
    <n v="46004.310344827602"/>
    <n v="45240"/>
    <n v="188"/>
    <n v="73371"/>
    <n v="5260"/>
    <n v="3507"/>
    <n v="96913"/>
    <n v="87576"/>
    <n v="456920"/>
    <n v="340627"/>
    <n v="102581"/>
    <n v="129532"/>
    <n v="25564"/>
    <n v="9756"/>
    <n v="8824"/>
    <n v="10295"/>
    <n v="0"/>
    <n v="6328"/>
    <n v="0"/>
    <n v="3358"/>
    <n v="5127517"/>
    <n v="1.2156569325757507"/>
    <n v="909618.95442578848"/>
    <n v="9.9398434623293674E-2"/>
    <n v="0.14756652797888589"/>
    <n v="0.1743383088352696"/>
    <n v="-6.9427649340827458E-2"/>
  </r>
  <r>
    <x v="208"/>
    <n v="31605607"/>
    <n v="4663929.6896551717"/>
    <n v="4.0475858987152814E-2"/>
    <n v="31625771"/>
    <x v="208"/>
    <n v="6086120.65077102"/>
    <n v="4770528.5356123"/>
    <n v="1315592.1151587199"/>
    <n v="3484387"/>
    <n v="3634734"/>
    <n v="44995.689655172398"/>
    <n v="42976"/>
    <n v="50334"/>
    <n v="19778"/>
    <n v="7472"/>
    <n v="1549"/>
    <n v="92406"/>
    <n v="119572"/>
    <n v="769591"/>
    <n v="359776"/>
    <n v="185943"/>
    <n v="124232"/>
    <n v="24718"/>
    <n v="3776"/>
    <n v="4083"/>
    <n v="12332"/>
    <n v="0"/>
    <n v="4861"/>
    <n v="0"/>
    <n v="1636"/>
    <n v="4325222"/>
    <n v="0.71066977606696957"/>
    <n v="-1760898.65077102"/>
    <n v="-0.11936896513482476"/>
    <n v="0.14039380085167399"/>
    <n v="0.13676257884748486"/>
    <n v="-9.5987080862663166E-2"/>
  </r>
  <r>
    <x v="209"/>
    <n v="34983760"/>
    <n v="4911503.0344827585"/>
    <n v="4.2624421350012973E-2"/>
    <n v="34751018"/>
    <x v="209"/>
    <n v="6405135.2441936303"/>
    <n v="5154950.1773788603"/>
    <n v="1250185.06681477"/>
    <n v="3757033"/>
    <n v="3823589"/>
    <n v="48606.034482758601"/>
    <n v="45162"/>
    <n v="41706"/>
    <n v="9832"/>
    <n v="2828"/>
    <n v="6476"/>
    <n v="125933"/>
    <n v="73400"/>
    <n v="723558"/>
    <n v="422769"/>
    <n v="178272"/>
    <n v="119136"/>
    <n v="20718"/>
    <n v="13325"/>
    <n v="12849"/>
    <n v="8955"/>
    <n v="0"/>
    <n v="9537"/>
    <n v="0"/>
    <n v="689"/>
    <n v="4532870"/>
    <n v="0.70769309736420127"/>
    <n v="-1872265.2441936303"/>
    <n v="-5.4965750204157837E-3"/>
    <n v="0.11902965545548119"/>
    <n v="0.13043848096766547"/>
    <n v="-9.248099834925172E-2"/>
  </r>
  <r>
    <x v="210"/>
    <n v="38292331"/>
    <n v="4557922.9655172415"/>
    <n v="3.955588087783142E-2"/>
    <n v="39086770"/>
    <x v="210"/>
    <n v="5945371.52413911"/>
    <n v="4740358.4590393398"/>
    <n v="1205013.06509977"/>
    <n v="3422418"/>
    <n v="3050571"/>
    <n v="44943.965517241399"/>
    <n v="48847"/>
    <n v="35371"/>
    <n v="5466"/>
    <n v="6861"/>
    <n v="0"/>
    <n v="146730"/>
    <n v="119208"/>
    <n v="716501"/>
    <n v="525363"/>
    <n v="157888"/>
    <n v="148304"/>
    <n v="21031"/>
    <n v="15409"/>
    <n v="6179"/>
    <n v="8317"/>
    <n v="0"/>
    <n v="9625"/>
    <n v="0"/>
    <n v="3832"/>
    <n v="3934942"/>
    <n v="0.66184963950924491"/>
    <n v="-2010429.52413911"/>
    <n v="-0.10694752010074637"/>
    <n v="0.10427042440616778"/>
    <n v="0.10067196649915049"/>
    <n v="-7.5025905082905409E-2"/>
  </r>
  <r>
    <x v="211"/>
    <n v="42257151"/>
    <n v="4406171.068965517"/>
    <n v="3.8238903827451674E-2"/>
    <n v="38926840"/>
    <x v="211"/>
    <n v="5749450.9926290801"/>
    <n v="4516968.2502925303"/>
    <n v="1232482.74233655"/>
    <n v="3229434"/>
    <n v="2903566"/>
    <n v="53487.068965517203"/>
    <n v="49697"/>
    <n v="38487"/>
    <n v="28578"/>
    <n v="4745"/>
    <n v="11071"/>
    <n v="157866"/>
    <n v="72428"/>
    <n v="760045"/>
    <n v="381868"/>
    <n v="130193"/>
    <n v="115054"/>
    <n v="26548"/>
    <n v="16287"/>
    <n v="5366"/>
    <n v="8524"/>
    <n v="0"/>
    <n v="12321"/>
    <n v="0"/>
    <n v="3617"/>
    <n v="3603011"/>
    <n v="0.62667044290300722"/>
    <n v="-2146439.9926290801"/>
    <n v="-3.1272573450989993E-2"/>
    <n v="8.8205863895906289E-2"/>
    <n v="9.2558527740756763E-2"/>
    <n v="-7.682801764371594E-2"/>
  </r>
  <r>
    <x v="212"/>
    <n v="42166401"/>
    <n v="3719323.8275862071"/>
    <n v="2.5617418980320671E-2"/>
    <n v="47869700"/>
    <x v="212"/>
    <n v="4918875.4135660902"/>
    <n v="3866025.8284156998"/>
    <n v="1052849.5851503899"/>
    <n v="2745483"/>
    <n v="2446126"/>
    <n v="43694.827586206899"/>
    <n v="48403"/>
    <n v="12201"/>
    <n v="6004"/>
    <n v="2825"/>
    <n v="1786"/>
    <n v="168709"/>
    <n v="85521"/>
    <n v="619607"/>
    <n v="329279"/>
    <n v="90655"/>
    <n v="108433"/>
    <n v="24972"/>
    <n v="26082"/>
    <n v="11177"/>
    <n v="12102"/>
    <n v="0"/>
    <n v="5795"/>
    <n v="0"/>
    <n v="2041"/>
    <n v="3071572"/>
    <n v="0.62444598444772748"/>
    <n v="-1847303.4135660902"/>
    <n v="2.0871625016340989E-3"/>
    <n v="5.7847091245027286E-2"/>
    <n v="6.4165265293076826E-2"/>
    <n v="-9.6585555129669154E-2"/>
  </r>
  <r>
    <x v="213"/>
    <n v="52987530"/>
    <n v="3065174.4827586208"/>
    <n v="2.1111864041043975E-2"/>
    <n v="49204889"/>
    <x v="213"/>
    <n v="4071434.6100753602"/>
    <n v="2977267.21201998"/>
    <n v="1094167.39805538"/>
    <n v="2144459"/>
    <n v="2980176"/>
    <n v="42634.482758620703"/>
    <n v="54927"/>
    <n v="10464"/>
    <n v="0"/>
    <n v="4246"/>
    <n v="2470"/>
    <n v="87668"/>
    <n v="72324"/>
    <n v="684341"/>
    <n v="378023"/>
    <n v="63880"/>
    <n v="109603"/>
    <n v="21198"/>
    <n v="27620"/>
    <n v="6284"/>
    <n v="16588"/>
    <n v="0"/>
    <n v="6225"/>
    <n v="0"/>
    <n v="861"/>
    <n v="3648817"/>
    <n v="0.89619933744495583"/>
    <n v="-422617.61007536016"/>
    <n v="1.7751738183356069E-2"/>
    <n v="6.6016287665956533E-2"/>
    <n v="7.415557832068273E-2"/>
    <n v="-9.3956340952704109E-2"/>
  </r>
  <r>
    <x v="214"/>
    <n v="54307415"/>
    <n v="3585173.9310344825"/>
    <n v="2.4693440788197914E-2"/>
    <n v="31269737"/>
    <x v="214"/>
    <n v="4751209.9008082803"/>
    <n v="3611456.3673758898"/>
    <n v="1139753.5334323901"/>
    <n v="2587395"/>
    <n v="4221939"/>
    <n v="45812.931034482703"/>
    <n v="46928"/>
    <n v="9328"/>
    <n v="52670"/>
    <n v="2300"/>
    <n v="2247"/>
    <n v="132317"/>
    <n v="65922"/>
    <n v="692254"/>
    <n v="437544"/>
    <n v="69290"/>
    <n v="118991"/>
    <n v="36198"/>
    <n v="35120"/>
    <n v="10279"/>
    <n v="9760"/>
    <n v="0"/>
    <n v="11524"/>
    <n v="0"/>
    <n v="1378"/>
    <n v="5004023"/>
    <n v="1.0532102568545143"/>
    <n v="252813.09919171967"/>
    <n v="2.9506670880419694E-2"/>
    <n v="0.14289962755166058"/>
    <n v="0.16002766508717359"/>
    <n v="-8.0683207177822514E-2"/>
  </r>
  <r>
    <x v="215"/>
    <n v="34014104"/>
    <n v="4860602.7931034481"/>
    <n v="3.3478154637763088E-2"/>
    <n v="34390488"/>
    <x v="215"/>
    <n v="6413866.4549796497"/>
    <n v="5222018.5112575199"/>
    <n v="1191847.94372213"/>
    <n v="3838217"/>
    <n v="4338817"/>
    <n v="45938.793103448297"/>
    <n v="52837"/>
    <n v="56057"/>
    <n v="38712"/>
    <n v="1839"/>
    <n v="7853"/>
    <n v="73598"/>
    <n v="80292"/>
    <n v="691486"/>
    <n v="401548"/>
    <n v="97155"/>
    <n v="100971"/>
    <n v="44478"/>
    <n v="28918"/>
    <n v="11834"/>
    <n v="15532"/>
    <n v="0"/>
    <n v="6075"/>
    <n v="0"/>
    <n v="1809"/>
    <n v="5073364"/>
    <n v="0.79099931930467626"/>
    <n v="-1340502.4549796497"/>
    <n v="5.4377319473350338E-2"/>
    <n v="0.13301143125805226"/>
    <n v="0.14752230326013402"/>
    <n v="-4.9335366586035878E-2"/>
  </r>
  <r>
    <x v="216"/>
    <n v="36175205"/>
    <n v="4811715.7931034481"/>
    <n v="3.3141437852738292E-2"/>
    <n v="37626260"/>
    <x v="216"/>
    <n v="6349963.68176034"/>
    <n v="5162333.2807319798"/>
    <n v="1187630.40102836"/>
    <n v="3763555"/>
    <n v="3961812"/>
    <n v="44913.793103448297"/>
    <n v="50879"/>
    <n v="51008"/>
    <n v="36417"/>
    <n v="6626"/>
    <n v="15109"/>
    <n v="103650"/>
    <n v="79655"/>
    <n v="708997"/>
    <n v="395590"/>
    <n v="83531"/>
    <n v="91725"/>
    <n v="38553"/>
    <n v="30739"/>
    <n v="10882"/>
    <n v="8694"/>
    <n v="0"/>
    <n v="8108"/>
    <n v="0"/>
    <n v="904"/>
    <n v="4679632"/>
    <n v="0.7369541362010924"/>
    <n v="-1670331.68176034"/>
    <n v="-3.5446373442002077E-2"/>
    <n v="0.12829368470147623"/>
    <n v="0.12437143633196603"/>
    <n v="-5.027661552446494E-3"/>
  </r>
  <r>
    <x v="217"/>
    <n v="37816388"/>
    <n v="4851603.7586206896"/>
    <n v="3.3416172393825813E-2"/>
    <n v="42043061"/>
    <x v="217"/>
    <n v="6405096.0189463003"/>
    <n v="5175695.0186568704"/>
    <n v="1229401.0002894299"/>
    <n v="3783964"/>
    <n v="3534572"/>
    <n v="41382.758620689601"/>
    <n v="51525"/>
    <n v="54972"/>
    <n v="41165"/>
    <n v="5869"/>
    <n v="14122"/>
    <n v="93840"/>
    <n v="85303"/>
    <n v="761176"/>
    <n v="451607"/>
    <n v="70344"/>
    <n v="155591"/>
    <n v="37254"/>
    <n v="25766"/>
    <n v="2802"/>
    <n v="15513"/>
    <n v="0"/>
    <n v="6476"/>
    <n v="0"/>
    <n v="2153"/>
    <n v="4383793"/>
    <n v="0.6844226826627926"/>
    <n v="-2021303.0189463003"/>
    <n v="2.7160597585292656E-2"/>
    <n v="9.9665740213246132E-2"/>
    <n v="0.104269120652276"/>
    <n v="-1.8187545499513957E-2"/>
  </r>
  <r>
    <x v="218"/>
    <n v="42821886"/>
    <n v="4267874.9655172415"/>
    <n v="2.9395649912589576E-2"/>
    <n v="42322930"/>
    <x v="218"/>
    <n v="5646066.1847261796"/>
    <n v="4415885.1506208098"/>
    <n v="1230181.0341053701"/>
    <n v="3146416"/>
    <n v="3007032"/>
    <n v="39518.965517241399"/>
    <n v="49458"/>
    <n v="64553"/>
    <n v="15410"/>
    <n v="11511"/>
    <n v="753"/>
    <n v="133747"/>
    <n v="96092"/>
    <n v="769223"/>
    <n v="376897"/>
    <n v="62096"/>
    <n v="182901"/>
    <n v="32591"/>
    <n v="15451"/>
    <n v="8219"/>
    <n v="10998"/>
    <n v="0"/>
    <n v="6179"/>
    <n v="0"/>
    <n v="4565"/>
    <n v="3765736"/>
    <n v="0.66696632253215948"/>
    <n v="-1880330.1847261796"/>
    <n v="-1.746296818933013E-4"/>
    <n v="8.5221204062357725E-2"/>
    <n v="8.8976259441395006E-2"/>
    <n v="-4.2370150807208851E-2"/>
  </r>
  <r>
    <x v="219"/>
    <n v="44195500"/>
    <n v="3766393.7241379311"/>
    <n v="2.5941620183878796E-2"/>
    <n v="54566301"/>
    <x v="219"/>
    <n v="4992670.0877949502"/>
    <n v="3778645.48647033"/>
    <n v="1214024.60132462"/>
    <n v="2760929"/>
    <n v="3117315"/>
    <n v="36501.724137931"/>
    <n v="49755"/>
    <n v="22813"/>
    <n v="-2143"/>
    <n v="1010"/>
    <n v="16358"/>
    <n v="84465"/>
    <n v="107597"/>
    <n v="765638"/>
    <n v="405849"/>
    <n v="51057"/>
    <n v="220499"/>
    <n v="38417"/>
    <n v="32535"/>
    <n v="5563"/>
    <n v="11591"/>
    <n v="0"/>
    <n v="10109"/>
    <n v="0"/>
    <n v="2067"/>
    <n v="3971532"/>
    <n v="0.79547254878882989"/>
    <n v="-1021138.0877949502"/>
    <n v="0.34240556518946685"/>
    <n v="5.6301615735539393E-2"/>
    <n v="7.2783603198611532E-2"/>
    <n v="3.8415233253919823E-2"/>
  </r>
  <r>
    <x v="220"/>
    <n v="52547670"/>
    <n v="2958518.7241379311"/>
    <n v="2.0377255982722969E-2"/>
    <n v="56796162"/>
    <x v="220"/>
    <n v="3917807.2143991757"/>
    <n v="3014865.1768484898"/>
    <n v="902942.03755068604"/>
    <n v="2172261"/>
    <n v="3596880"/>
    <n v="36326.724137931"/>
    <n v="57414"/>
    <n v="7009"/>
    <n v="14662"/>
    <n v="11103"/>
    <n v="6852"/>
    <n v="91684"/>
    <n v="58728"/>
    <n v="517547"/>
    <n v="433070"/>
    <n v="91885"/>
    <n v="212540"/>
    <n v="25396"/>
    <n v="26298"/>
    <n v="5307"/>
    <n v="11364"/>
    <n v="0"/>
    <n v="5631"/>
    <n v="0"/>
    <n v="2540"/>
    <n v="4425979"/>
    <n v="1.1297082163035315"/>
    <n v="508171.78560082428"/>
    <n v="0.26473254771359533"/>
    <n v="6.5421150986422968E-2"/>
    <n v="7.7927431082403062E-2"/>
    <n v="6.1760381577601331E-2"/>
  </r>
  <r>
    <x v="221"/>
    <n v="53492448"/>
    <n v="3499537.5172413792"/>
    <n v="2.4103606723242677E-2"/>
    <n v="34686047"/>
    <x v="221"/>
    <n v="6588484.2128836699"/>
    <n v="5499826.4207687099"/>
    <n v="1088657.79211496"/>
    <n v="2525352"/>
    <n v="4582140"/>
    <n v="36340.517241379297"/>
    <n v="47910"/>
    <n v="7272"/>
    <n v="22732"/>
    <n v="5023"/>
    <n v="9417"/>
    <n v="153753"/>
    <n v="120697"/>
    <n v="597616"/>
    <n v="489155"/>
    <n v="139394"/>
    <n v="205946"/>
    <n v="29128"/>
    <n v="44324"/>
    <n v="5659"/>
    <n v="9798"/>
    <n v="0"/>
    <n v="7778"/>
    <n v="0"/>
    <n v="1464"/>
    <n v="5541361"/>
    <n v="0.8410676600186674"/>
    <n v="-1047123.2128836699"/>
    <n v="3.9016027751272331E-2"/>
    <n v="0.160189569803774"/>
    <n v="0.15975763972181667"/>
    <n v="4.1825172145262268E-2"/>
  </r>
  <r>
    <x v="222"/>
    <n v="33293539"/>
    <n v="5333277.6896551717"/>
    <n v="3.6733776204413184E-2"/>
    <n v="39106187"/>
    <x v="222"/>
    <n v="7335506.5023224503"/>
    <n v="5778262.7903368799"/>
    <n v="1557243.7119855699"/>
    <n v="3999839"/>
    <n v="4741330"/>
    <n v="32970.689655172398"/>
    <n v="54809"/>
    <n v="56378"/>
    <n v="44133"/>
    <n v="5019"/>
    <n v="4828"/>
    <n v="135073"/>
    <n v="136695"/>
    <n v="700812"/>
    <n v="425261"/>
    <n v="356162"/>
    <n v="184068"/>
    <n v="39654"/>
    <n v="28255"/>
    <n v="7370"/>
    <n v="12530"/>
    <n v="0"/>
    <n v="14828"/>
    <n v="0"/>
    <n v="6805"/>
    <n v="5653542"/>
    <n v="0.77070915255954942"/>
    <n v="-1681964.5023224503"/>
    <n v="-1.3833854219447161E-3"/>
    <n v="0.15570204974273497"/>
    <n v="0.14456899109084709"/>
    <n v="7.5518703033945922E-2"/>
  </r>
  <r>
    <x v="223"/>
    <n v="36360304"/>
    <n v="5661373.8620689651"/>
    <n v="3.8993589413530386E-2"/>
    <n v="41672796"/>
    <x v="223"/>
    <n v="7372436.8198702503"/>
    <n v="5654414.4560906999"/>
    <n v="1718022.36377955"/>
    <n v="4225069"/>
    <n v="4494722"/>
    <n v="32825.8620689655"/>
    <n v="58059"/>
    <n v="72043"/>
    <n v="50719"/>
    <n v="15704"/>
    <n v="6868"/>
    <n v="97751"/>
    <n v="135678"/>
    <n v="651028"/>
    <n v="452304"/>
    <n v="527190"/>
    <n v="214357"/>
    <n v="34217"/>
    <n v="33975"/>
    <n v="5546"/>
    <n v="9612"/>
    <n v="0"/>
    <n v="10923"/>
    <n v="0"/>
    <n v="3591"/>
    <n v="5470808"/>
    <n v="0.7420623782431115"/>
    <n v="-1901628.8198702503"/>
    <n v="-2.4898045969300675E-2"/>
    <n v="0.1431358453120086"/>
    <n v="0.13128008017508591"/>
    <n v="6.316237977178818E-2"/>
  </r>
  <r>
    <x v="224"/>
    <n v="39197019"/>
    <n v="5610498.4482758623"/>
    <n v="3.8643177120503212E-2"/>
    <n v="45632674"/>
    <x v="224"/>
    <n v="6148587.6181572191"/>
    <n v="4363259.4794024397"/>
    <n v="1785328.1387547799"/>
    <n v="4089143"/>
    <n v="3681443"/>
    <n v="34528.448275862"/>
    <n v="51171"/>
    <n v="43939"/>
    <n v="38856"/>
    <n v="4540"/>
    <n v="15603"/>
    <n v="176005"/>
    <n v="100446"/>
    <n v="668270"/>
    <n v="469013"/>
    <n v="554038"/>
    <n v="191108"/>
    <n v="35960"/>
    <n v="37897"/>
    <n v="4075"/>
    <n v="13748"/>
    <n v="0"/>
    <n v="6868"/>
    <n v="0"/>
    <n v="2756"/>
    <n v="4608909"/>
    <n v="0.74958824468721275"/>
    <n v="-1539678.6181572191"/>
    <n v="-9.3846282031727624E-3"/>
    <n v="0.10534497463240182"/>
    <n v="0.10100019560545587"/>
    <n v="3.3229199080549998E-2"/>
  </r>
  <r>
    <x v="225"/>
    <n v="44165103"/>
    <n v="4652571.6551724132"/>
    <n v="3.2045307951544102E-2"/>
    <n v="47566437"/>
    <x v="225"/>
    <n v="5377096.9016619604"/>
    <n v="3547199.63364462"/>
    <n v="1829897.26801734"/>
    <n v="3070125"/>
    <n v="3263047"/>
    <n v="38764.655172413797"/>
    <n v="53656"/>
    <n v="46072"/>
    <n v="30164"/>
    <n v="4716"/>
    <n v="15984"/>
    <n v="195600"/>
    <n v="120703"/>
    <n v="651924"/>
    <n v="516985"/>
    <n v="601203"/>
    <n v="216650"/>
    <n v="40376"/>
    <n v="33945"/>
    <n v="3791"/>
    <n v="10550"/>
    <n v="0"/>
    <n v="10464"/>
    <n v="0"/>
    <n v="1903"/>
    <n v="4274051"/>
    <n v="0.79486218644841056"/>
    <n v="-1103045.9016619604"/>
    <n v="0.32355156332344892"/>
    <n v="7.3326948907217152E-2"/>
    <n v="8.9854344146062484E-2"/>
    <n v="8.0103569640698868E-2"/>
  </r>
  <r>
    <x v="226"/>
    <n v="44038774"/>
    <n v="3229228.931034483"/>
    <n v="2.2241814465338055E-2"/>
    <n v="61569045"/>
    <x v="226"/>
    <n v="4306751.3905300098"/>
    <n v="2931100.39722447"/>
    <n v="1375650.9933055399"/>
    <n v="2011046"/>
    <n v="3131893"/>
    <n v="34462.931034482703"/>
    <n v="62359"/>
    <n v="24847"/>
    <n v="-4461"/>
    <n v="5456"/>
    <n v="3375"/>
    <n v="178158"/>
    <n v="200572"/>
    <n v="507359"/>
    <n v="493567"/>
    <n v="433481"/>
    <n v="253687"/>
    <n v="26228"/>
    <n v="29680"/>
    <n v="8191"/>
    <n v="7085"/>
    <n v="0"/>
    <n v="10393"/>
    <n v="0"/>
    <n v="6245"/>
    <n v="4194395"/>
    <n v="0.97391156806100609"/>
    <n v="-112356.39053000975"/>
    <n v="-0.14205227758922134"/>
    <n v="8.0212678975803961E-2"/>
    <n v="6.8125061871594728E-2"/>
    <n v="1.0175746562547605E-2"/>
  </r>
  <r>
    <x v="227"/>
    <n v="60948845"/>
    <n v="4888870.137931034"/>
    <n v="3.3672850353833453E-2"/>
    <n v="65717622"/>
    <x v="227"/>
    <n v="5604284.5680249101"/>
    <n v="3861268.6794992299"/>
    <n v="1743015.8885256799"/>
    <n v="3412516"/>
    <n v="3769446"/>
    <n v="47499.1379310345"/>
    <n v="60816"/>
    <n v="28829"/>
    <n v="12907"/>
    <n v="2060"/>
    <n v="1416"/>
    <n v="162266"/>
    <n v="121507"/>
    <n v="782613"/>
    <n v="480467"/>
    <n v="397386"/>
    <n v="261280"/>
    <n v="46230"/>
    <n v="34538"/>
    <n v="9471"/>
    <n v="2595"/>
    <n v="0"/>
    <n v="6215"/>
    <n v="0"/>
    <n v="2842"/>
    <n v="4754029"/>
    <n v="0.84828472614042127"/>
    <n v="-850255.56802491006"/>
    <n v="0.20601721642801563"/>
    <n v="6.344445797757467E-2"/>
    <n v="7.2340246882335452E-2"/>
    <n v="5.7711466375750087E-2"/>
  </r>
  <r>
    <x v="228"/>
    <n v="62131899"/>
    <n v="3941924.6551724137"/>
    <n v="2.7150616660863266E-2"/>
    <n v="40824335"/>
    <x v="228"/>
    <n v="6122642.9537522905"/>
    <n v="4750643.8728327602"/>
    <n v="1371999.08091953"/>
    <n v="2730517"/>
    <n v="5336867"/>
    <n v="40964.655172413797"/>
    <n v="56728"/>
    <n v="3525"/>
    <n v="55656"/>
    <n v="11086"/>
    <n v="16254"/>
    <n v="183162"/>
    <n v="166309"/>
    <n v="524015"/>
    <n v="260464"/>
    <n v="403338"/>
    <n v="286210"/>
    <n v="35960"/>
    <n v="20932"/>
    <n v="7429"/>
    <n v="2353"/>
    <n v="1928"/>
    <n v="7205"/>
    <n v="0"/>
    <n v="3101"/>
    <n v="6212079"/>
    <n v="1.0146074247548436"/>
    <n v="89436.046247709543"/>
    <n v="7.723938391466012E-3"/>
    <n v="0.16008376318988846"/>
    <n v="0.15216607937398122"/>
    <n v="6.0159011639917548E-2"/>
  </r>
  <r>
    <x v="229"/>
    <n v="38507747"/>
    <n v="6164465.0517241377"/>
    <n v="4.2458707910369799E-2"/>
    <n v="45092354"/>
    <x v="229"/>
    <n v="8157498.6179166595"/>
    <n v="6350011.3561475696"/>
    <n v="1807487.2617690901"/>
    <n v="4641789"/>
    <n v="5655220"/>
    <n v="35684.482758620703"/>
    <n v="49156"/>
    <n v="59195"/>
    <n v="49650"/>
    <n v="10114"/>
    <n v="13529"/>
    <n v="136276"/>
    <n v="131515"/>
    <n v="856553"/>
    <n v="874101"/>
    <n v="371767"/>
    <n v="238455"/>
    <n v="47937"/>
    <n v="52443"/>
    <n v="4445"/>
    <n v="8603"/>
    <n v="704.56896551724196"/>
    <n v="14092"/>
    <n v="0"/>
    <n v="8931"/>
    <n v="7095695"/>
    <n v="0.86983710722493102"/>
    <n v="-1061803.6179166595"/>
    <n v="0.20089941652235366"/>
    <n v="0.13808108963159166"/>
    <n v="0.15735916115623505"/>
    <n v="5.3777223727777157E-2"/>
  </r>
  <r>
    <x v="230"/>
    <n v="42791164"/>
    <n v="5908650.5517241377"/>
    <n v="4.069674591632793E-2"/>
    <n v="46969163"/>
    <x v="230"/>
    <n v="7793317.8955410402"/>
    <n v="6389469.67933382"/>
    <n v="1403848.21620722"/>
    <n v="4674224"/>
    <n v="5265416"/>
    <n v="38029.310344827602"/>
    <n v="58356"/>
    <n v="63390"/>
    <n v="21927"/>
    <n v="4385"/>
    <n v="11760"/>
    <n v="133373"/>
    <n v="132555"/>
    <n v="669054"/>
    <n v="482072"/>
    <n v="282672"/>
    <n v="231761"/>
    <n v="39386"/>
    <n v="38192"/>
    <n v="3720"/>
    <n v="5870"/>
    <n v="73.275862068965495"/>
    <n v="7522"/>
    <n v="343.96551724137902"/>
    <n v="4435"/>
    <n v="6259866"/>
    <n v="0.80323503851698297"/>
    <n v="-1533451.8955410402"/>
    <n v="7.7942236070341675E-2"/>
    <n v="0.12551404930590754"/>
    <n v="0.13327608158569912"/>
    <n v="1.5162611004995385E-2"/>
  </r>
  <r>
    <x v="231"/>
    <n v="46267625"/>
    <n v="5807236.9655172406"/>
    <n v="3.9998244132511754E-2"/>
    <n v="52243046"/>
    <x v="231"/>
    <n v="7650924.6914080195"/>
    <n v="6381727.7150928797"/>
    <n v="1269196.97631514"/>
    <n v="4567064"/>
    <n v="4304572"/>
    <n v="35700.8620689655"/>
    <n v="50878"/>
    <n v="58510"/>
    <n v="64872"/>
    <n v="15761"/>
    <n v="7444"/>
    <n v="230412"/>
    <n v="156605"/>
    <n v="657997"/>
    <n v="453882"/>
    <n v="205256"/>
    <n v="217643"/>
    <n v="29971"/>
    <n v="42319"/>
    <n v="4086"/>
    <n v="5284"/>
    <n v="2479.10344827586"/>
    <n v="8130"/>
    <n v="0"/>
    <n v="603"/>
    <n v="5312232"/>
    <n v="0.69432548538422167"/>
    <n v="-2338692.6914080195"/>
    <n v="7.0228392303829157E-2"/>
    <n v="8.9991096339197302E-2"/>
    <n v="0.1016830450506274"/>
    <n v="-5.2831017119860824E-2"/>
  </r>
  <r>
    <x v="232"/>
    <n v="55157049"/>
    <n v="4963643.3103448264"/>
    <n v="3.4187862161088482E-2"/>
    <n v="54107999"/>
    <x v="232"/>
    <n v="6545015.7147723902"/>
    <n v="5389623.2256290102"/>
    <n v="1155392.48914338"/>
    <n v="3915278"/>
    <n v="3937861"/>
    <n v="41030.172413793101"/>
    <n v="53958"/>
    <n v="35238"/>
    <n v="9844"/>
    <n v="9197"/>
    <n v="10484"/>
    <n v="143792"/>
    <n v="110885"/>
    <n v="605960"/>
    <n v="398065"/>
    <n v="173300"/>
    <n v="190143"/>
    <n v="28936"/>
    <n v="25340"/>
    <n v="11397"/>
    <n v="10331"/>
    <n v="203.068965517241"/>
    <n v="13946"/>
    <n v="-687.93103448275895"/>
    <n v="2903"/>
    <n v="4763760"/>
    <n v="0.7278454640296711"/>
    <n v="-1781255.7147723902"/>
    <n v="0.19540577835738748"/>
    <n v="7.3270472186961769E-2"/>
    <n v="8.8041696016147267E-2"/>
    <n v="-5.1538100855724744E-3"/>
  </r>
  <r>
    <x v="233"/>
    <n v="54388306"/>
    <n v="3985056.8620689656"/>
    <n v="2.7447696416979025E-2"/>
    <n v="67054494"/>
    <x v="233"/>
    <n v="5262495.1695219995"/>
    <n v="4234543.1917588096"/>
    <n v="1027951.9777631901"/>
    <n v="3000765"/>
    <n v="3369224"/>
    <n v="35025.8620689655"/>
    <n v="59039"/>
    <n v="36025"/>
    <n v="-1601"/>
    <n v="6236"/>
    <n v="4870"/>
    <n v="178245"/>
    <n v="139900"/>
    <n v="579403"/>
    <n v="387183"/>
    <n v="113017"/>
    <n v="152415"/>
    <n v="25208"/>
    <n v="32485"/>
    <n v="11132"/>
    <n v="5859"/>
    <n v="0"/>
    <n v="10215"/>
    <n v="0"/>
    <n v="2454"/>
    <n v="4162043"/>
    <n v="0.79088775683912782"/>
    <n v="-1100452.1695219995"/>
    <n v="1.0573267451987611E-3"/>
    <n v="5.8438289080454758E-2"/>
    <n v="6.206956091563378E-2"/>
    <n v="-5.7507793136193031E-2"/>
  </r>
  <r>
    <x v="234"/>
    <n v="71145940"/>
    <n v="4157647.0086206896"/>
    <n v="2.8636437785315279E-2"/>
    <n v="77397218"/>
    <x v="234"/>
    <n v="5490882.4495420801"/>
    <n v="4412363.5770457499"/>
    <n v="1078518.8724963299"/>
    <n v="3117784"/>
    <n v="3958103"/>
    <n v="47162.931034482703"/>
    <n v="68578"/>
    <n v="19293"/>
    <n v="43857"/>
    <n v="5273"/>
    <n v="7918"/>
    <n v="203525"/>
    <n v="150805"/>
    <n v="648055"/>
    <n v="508203"/>
    <n v="76037"/>
    <n v="121705"/>
    <n v="28466"/>
    <n v="47502"/>
    <n v="11786"/>
    <n v="7251"/>
    <n v="265.07758620689702"/>
    <n v="7580"/>
    <n v="0"/>
    <n v="9302"/>
    <n v="4930804"/>
    <n v="0.89799846296312746"/>
    <n v="-560078.44954208005"/>
    <n v="8.1630987044716941E-2"/>
    <n v="5.9965501535775588E-2"/>
    <n v="6.3707767894189679E-2"/>
    <n v="1.8094759221471524E-2"/>
  </r>
  <r>
    <x v="235"/>
    <n v="76021625"/>
    <n v="4558674.8706896557"/>
    <n v="3.1398579303944539E-2"/>
    <n v="47309764"/>
    <x v="235"/>
    <n v="6029133.3442718405"/>
    <n v="4736116.6027066"/>
    <n v="1293016.7415652401"/>
    <n v="3423344"/>
    <n v="6131578"/>
    <n v="43106.896551724101"/>
    <n v="58667"/>
    <n v="5283"/>
    <n v="32753"/>
    <n v="5236"/>
    <n v="15416"/>
    <n v="165029"/>
    <n v="133228"/>
    <n v="757892"/>
    <n v="636618"/>
    <n v="97355"/>
    <n v="135260"/>
    <n v="44629"/>
    <n v="52222"/>
    <n v="14410"/>
    <n v="6960"/>
    <n v="2389.9741379310299"/>
    <n v="13168"/>
    <n v="0"/>
    <n v="4349"/>
    <n v="7220219"/>
    <n v="1.1975550361412699"/>
    <n v="1191085.6557281595"/>
    <n v="0.13013245223673175"/>
    <n v="0.13796057122414837"/>
    <n v="0.15261583211448698"/>
    <n v="2.1609072331146839E-2"/>
  </r>
  <r>
    <x v="236"/>
    <n v="46309068"/>
    <n v="6388825.4741379302"/>
    <n v="4.4004025072846058E-2"/>
    <n v="54670468"/>
    <x v="236"/>
    <n v="8412520.1364019103"/>
    <n v="7075596.2266776804"/>
    <n v="1336923.9097242299"/>
    <n v="5203886"/>
    <n v="6380671"/>
    <n v="38813.793103448297"/>
    <n v="61333"/>
    <n v="56753"/>
    <n v="74046"/>
    <n v="4215"/>
    <n v="-197"/>
    <n v="137354"/>
    <n v="119701"/>
    <n v="801333"/>
    <n v="614316"/>
    <n v="95156"/>
    <n v="116509"/>
    <n v="42338"/>
    <n v="54496"/>
    <n v="7580"/>
    <n v="2681"/>
    <n v="1311.33620689655"/>
    <n v="9207"/>
    <n v="85.344827586206904"/>
    <n v="4952"/>
    <n v="7437715"/>
    <n v="0.88412448105962682"/>
    <n v="-974805.13640191033"/>
    <n v="4.7253851014347426E-2"/>
    <n v="0.13203218602369335"/>
    <n v="0.13604630199982923"/>
    <n v="1.6354088561180369E-2"/>
  </r>
  <r>
    <x v="237"/>
    <n v="53790769"/>
    <n v="7102112.818965517"/>
    <n v="4.8916902147512459E-2"/>
    <n v="59000790"/>
    <x v="237"/>
    <n v="9354046.4810934905"/>
    <n v="7838384.3182702204"/>
    <n v="1515662.1628232701"/>
    <n v="5685559"/>
    <n v="5466857"/>
    <n v="40163.793103448297"/>
    <n v="70041"/>
    <n v="95169"/>
    <n v="52851"/>
    <n v="522"/>
    <n v="8568"/>
    <n v="206180"/>
    <n v="157094"/>
    <n v="931011"/>
    <n v="775906"/>
    <n v="80136"/>
    <n v="249538"/>
    <n v="46712"/>
    <n v="51355"/>
    <n v="15753"/>
    <n v="5672"/>
    <n v="992.37068965517199"/>
    <n v="9556"/>
    <n v="-85.344827586206904"/>
    <n v="5254"/>
    <n v="6852692"/>
    <n v="0.73259118541379309"/>
    <n v="-2501354.4810934905"/>
    <n v="0.1880432433113306"/>
    <n v="0.10150305419382888"/>
    <n v="0.11614576686176575"/>
    <n v="3.8264423824984517E-2"/>
  </r>
  <r>
    <x v="238"/>
    <n v="56826362"/>
    <n v="5768049.3017241377"/>
    <n v="3.9728333028024962E-2"/>
    <n v="64275874"/>
    <x v="238"/>
    <n v="7612671.9237513505"/>
    <n v="6180720.2253777403"/>
    <n v="1431951.6983736099"/>
    <n v="4516794"/>
    <n v="3927126"/>
    <n v="37898.275862069"/>
    <n v="60647"/>
    <n v="51151"/>
    <n v="52706"/>
    <n v="2199"/>
    <n v="5466"/>
    <n v="144834"/>
    <n v="156592"/>
    <n v="864251"/>
    <n v="626922"/>
    <n v="85695"/>
    <n v="258753"/>
    <n v="46707"/>
    <n v="52309"/>
    <n v="16838"/>
    <n v="7041"/>
    <n v="1079.4396551724101"/>
    <n v="8479"/>
    <n v="602.58620689655197"/>
    <n v="4392"/>
    <n v="5160433"/>
    <n v="0.67787408306662678"/>
    <n v="-2452238.9237513505"/>
    <n v="2.0925711624696586E-2"/>
    <n v="7.9307670032749036E-2"/>
    <n v="8.0285691642248219E-2"/>
    <n v="8.489032220955206E-3"/>
  </r>
  <r>
    <x v="239"/>
    <n v="63734827"/>
    <n v="5054660.6293103443"/>
    <n v="3.4814758043913069E-2"/>
    <n v="63186398"/>
    <x v="239"/>
    <n v="6670038.5053026695"/>
    <n v="5429316.5206810199"/>
    <n v="1240721.9846216501"/>
    <n v="3868560"/>
    <n v="2812166"/>
    <n v="31270.689655172398"/>
    <n v="61210"/>
    <n v="38622"/>
    <n v="22420"/>
    <n v="4537"/>
    <n v="3648"/>
    <n v="232069"/>
    <n v="190048"/>
    <n v="646678"/>
    <n v="477252"/>
    <n v="183692"/>
    <n v="316767"/>
    <n v="35183"/>
    <n v="43552"/>
    <n v="12747"/>
    <n v="6081"/>
    <n v="1301.9396551724101"/>
    <n v="8857"/>
    <n v="0"/>
    <n v="5442"/>
    <n v="3947443"/>
    <n v="0.59181712322376989"/>
    <n v="-2722595.5053026695"/>
    <n v="-0.15435629411619134"/>
    <n v="7.0800431640461001E-2"/>
    <n v="6.2472986670327371E-2"/>
    <n v="-4.1634751567753647E-2"/>
  </r>
  <r>
    <x v="240"/>
    <n v="65931437"/>
    <n v="4667974.1982758613"/>
    <n v="3.2151395353000503E-2"/>
    <n v="84788455"/>
    <x v="240"/>
    <n v="6161658.7453408297"/>
    <n v="4991715.1867080601"/>
    <n v="1169943.5586327701"/>
    <n v="3565076"/>
    <n v="2274844"/>
    <n v="41705.172413793101"/>
    <n v="80338"/>
    <n v="58290"/>
    <n v="603"/>
    <n v="-1718"/>
    <n v="4423"/>
    <n v="175197"/>
    <n v="202862"/>
    <n v="594390"/>
    <n v="439794"/>
    <n v="186981"/>
    <n v="319856"/>
    <n v="36599"/>
    <n v="40578"/>
    <n v="9709"/>
    <n v="3124"/>
    <n v="711.40517241379303"/>
    <n v="6457"/>
    <n v="1033.6206896551701"/>
    <n v="5141"/>
    <n v="3378020"/>
    <n v="0.5482322438830789"/>
    <n v="-2783638.7453408297"/>
    <n v="-0.11615655299018435"/>
    <n v="4.4352414290973051E-2"/>
    <n v="3.984056555812935E-2"/>
    <n v="-1.6063397168761595E-2"/>
  </r>
  <r>
    <x v="241"/>
    <n v="86172681"/>
    <n v="3821966.4482758618"/>
    <n v="2.632438592951248E-2"/>
    <n v="79055636"/>
    <x v="241"/>
    <n v="5088951.2944574002"/>
    <n v="3567368.0222272598"/>
    <n v="1521583.2722301399"/>
    <n v="2504987"/>
    <n v="2783669"/>
    <n v="48545.689655172398"/>
    <n v="75806"/>
    <n v="23754"/>
    <n v="3831"/>
    <n v="1397"/>
    <n v="2613"/>
    <n v="164566"/>
    <n v="101774"/>
    <n v="758218"/>
    <n v="492535"/>
    <n v="270836"/>
    <n v="287070"/>
    <n v="35654"/>
    <n v="38815"/>
    <n v="13751"/>
    <n v="6059"/>
    <n v="257.758620689655"/>
    <n v="10962"/>
    <n v="0"/>
    <n v="2627"/>
    <n v="3805761"/>
    <n v="0.74784779413098745"/>
    <n v="-1283190.2944574002"/>
    <n v="-7.9548808396772697E-2"/>
    <n v="5.0402885896544694E-2"/>
    <n v="4.8140286924008811E-2"/>
    <n v="-3.6287497476911179E-2"/>
  </r>
  <r>
    <x v="242"/>
    <n v="82032386"/>
    <n v="4134668.9913793104"/>
    <n v="2.8478173132304021E-2"/>
    <m/>
    <x v="242"/>
    <n v="5496657.1747764302"/>
    <n v="3961469.0685033901"/>
    <n v="1535188.1062730399"/>
    <n v="2787596"/>
    <m/>
    <n v="44080.172413793101"/>
    <m/>
    <n v="9613"/>
    <m/>
    <n v="3315"/>
    <m/>
    <n v="201703"/>
    <m/>
    <n v="650854"/>
    <m/>
    <n v="373478"/>
    <m/>
    <n v="47088"/>
    <m/>
    <n v="16121"/>
    <m/>
    <n v="820.81896551724105"/>
    <m/>
    <n v="0"/>
    <m/>
    <n v="0"/>
    <n v="0"/>
    <n v="-5496657.1747764302"/>
    <n v="-1"/>
    <n v="0.15768335110555873"/>
    <e v="#DIV/0!"/>
    <n v="-1"/>
  </r>
  <r>
    <x v="243"/>
    <n v="31649055"/>
    <n v="4990529.0517241387"/>
    <n v="4.3286377238336768E-2"/>
    <m/>
    <x v="243"/>
    <n v="6596901.5508277509"/>
    <n v="5311464.7585612005"/>
    <n v="1285436.79226655"/>
    <n v="3909270"/>
    <m/>
    <n v="26356.896551724101"/>
    <m/>
    <n v="17828"/>
    <m/>
    <n v="10082"/>
    <m/>
    <n v="117359"/>
    <m/>
    <n v="480576"/>
    <m/>
    <n v="371920"/>
    <m/>
    <n v="38723"/>
    <m/>
    <n v="18027"/>
    <m/>
    <n v="387.15517241379303"/>
    <m/>
    <n v="0"/>
    <m/>
    <n v="0"/>
    <n v="0"/>
    <n v="-6596901.5508277509"/>
    <n v="-1"/>
    <n v="0.15300029120124153"/>
    <e v="#DIV/0!"/>
    <n v="-1"/>
  </r>
  <r>
    <x v="244"/>
    <n v="30778336"/>
    <n v="4709094.3706896557"/>
    <n v="4.0845295812911374E-2"/>
    <m/>
    <x v="244"/>
    <n v="6215808.3236736199"/>
    <n v="5117707.0744952802"/>
    <n v="1098101.24917834"/>
    <n v="3732813"/>
    <m/>
    <n v="28554.310344827602"/>
    <m/>
    <n v="44084"/>
    <m/>
    <n v="7771"/>
    <m/>
    <n v="118806"/>
    <m/>
    <n v="643534"/>
    <m/>
    <n v="90021"/>
    <m/>
    <n v="39947"/>
    <m/>
    <n v="2996"/>
    <m/>
    <n v="568.06034482758605"/>
    <m/>
    <n v="0"/>
    <m/>
    <n v="0"/>
    <n v="0"/>
    <n v="-6215808.3236736199"/>
    <n v="-1"/>
    <n v="0.1299459143191399"/>
    <e v="#DIV/0!"/>
    <n v="-1"/>
  </r>
  <r>
    <x v="245"/>
    <n v="33293451"/>
    <n v="4326347.931034483"/>
    <n v="3.7525466071048584E-2"/>
    <m/>
    <x v="245"/>
    <n v="5685055.4293565881"/>
    <n v="4999669.5734518198"/>
    <n v="685385.85590476799"/>
    <n v="3629418"/>
    <m/>
    <n v="23437.931034482801"/>
    <m/>
    <n v="67723"/>
    <m/>
    <n v="4425"/>
    <m/>
    <n v="116334"/>
    <m/>
    <n v="10115"/>
    <m/>
    <n v="447014"/>
    <m/>
    <n v="12385"/>
    <m/>
    <n v="15496"/>
    <m/>
    <n v="0"/>
    <m/>
    <n v="0"/>
    <m/>
    <n v="0"/>
    <n v="0"/>
    <n v="-5685055.4293565881"/>
    <n v="-1"/>
    <n v="0.12591500493416294"/>
    <e v="#DIV/0!"/>
    <n v="-1"/>
  </r>
  <r>
    <x v="246"/>
    <n v="38630666"/>
    <n v="4864180.5"/>
    <n v="4.2190467162117683E-2"/>
    <m/>
    <x v="246"/>
    <n v="6502548.4818756497"/>
    <n v="4329481.2871723697"/>
    <n v="2173067.19470328"/>
    <n v="3079282"/>
    <m/>
    <n v="38493.965517241399"/>
    <m/>
    <n v="37107"/>
    <m/>
    <n v="8353"/>
    <m/>
    <n v="163184"/>
    <m/>
    <n v="1235813"/>
    <m/>
    <n v="273796"/>
    <m/>
    <n v="18920"/>
    <m/>
    <n v="8328"/>
    <m/>
    <n v="903.53448275862104"/>
    <m/>
    <n v="0"/>
    <m/>
    <n v="0"/>
    <n v="0"/>
    <n v="-6502548.4818756497"/>
    <n v="-1"/>
    <n v="8.2692712065836713E-2"/>
    <e v="#DIV/0!"/>
    <n v="-1"/>
  </r>
  <r>
    <x v="247"/>
    <n v="37424855"/>
    <n v="3094762.7586206896"/>
    <n v="2.6843059492165419E-2"/>
    <m/>
    <x v="247"/>
    <n v="4079737.6799719241"/>
    <n v="3424182.6222861698"/>
    <n v="655555.05768575403"/>
    <n v="2474103"/>
    <m/>
    <n v="30516.379310344801"/>
    <m/>
    <n v="25936"/>
    <m/>
    <n v="835"/>
    <m/>
    <n v="99472"/>
    <m/>
    <n v="184786"/>
    <m/>
    <n v="246588"/>
    <m/>
    <n v="23810"/>
    <m/>
    <n v="7925"/>
    <m/>
    <n v="791.37931034482801"/>
    <m/>
    <n v="0"/>
    <m/>
    <n v="0"/>
    <n v="0"/>
    <n v="-4079737.6799719241"/>
    <n v="-1"/>
    <n v="6.4616742143880287E-2"/>
    <e v="#DIV/0!"/>
    <n v="-1"/>
  </r>
  <r>
    <x v="248"/>
    <n v="54832854"/>
    <n v="3543120.3879310344"/>
    <n v="3.0731981343709174E-2"/>
    <m/>
    <x v="248"/>
    <n v="4742084.1852022205"/>
    <n v="3088800.7257642699"/>
    <n v="1653283.45943795"/>
    <n v="2230610"/>
    <m/>
    <n v="36679.310344827602"/>
    <m/>
    <n v="4751"/>
    <m/>
    <n v="697"/>
    <m/>
    <n v="100445"/>
    <m/>
    <n v="869801"/>
    <m/>
    <n v="263561"/>
    <m/>
    <n v="29692"/>
    <m/>
    <n v="3281"/>
    <m/>
    <n v="1880.66379310345"/>
    <m/>
    <n v="1722.41379310345"/>
    <m/>
    <n v="0"/>
    <n v="0"/>
    <n v="-4742084.1852022205"/>
    <n v="-1"/>
    <n v="6.8416432664436949E-2"/>
    <e v="#DIV/0!"/>
    <n v="-1"/>
  </r>
  <r>
    <x v="249"/>
    <n v="54084046"/>
    <n v="3700237.4913793104"/>
    <n v="3.2094768763633562E-2"/>
    <m/>
    <x v="249"/>
    <n v="4916325.7663962999"/>
    <n v="3646145.6581461602"/>
    <n v="1270180.10825014"/>
    <n v="2674804"/>
    <m/>
    <n v="33514.655172413797"/>
    <m/>
    <n v="11139"/>
    <m/>
    <n v="1207"/>
    <m/>
    <n v="80736"/>
    <m/>
    <n v="589007"/>
    <m/>
    <n v="264958"/>
    <m/>
    <n v="38489"/>
    <m/>
    <n v="5467"/>
    <m/>
    <n v="915.83620689655197"/>
    <m/>
    <n v="0"/>
    <m/>
    <n v="0"/>
    <n v="0"/>
    <n v="-4916325.7663962999"/>
    <n v="-1"/>
    <n v="0.16293916227096147"/>
    <e v="#DIV/0!"/>
    <n v="-1"/>
  </r>
  <r>
    <x v="250"/>
    <n v="28435547"/>
    <n v="4633264.2068965519"/>
    <n v="4.018756733523441E-2"/>
    <m/>
    <x v="250"/>
    <n v="6127095.8821069803"/>
    <n v="4902567.0005274704"/>
    <n v="1224528.8815795099"/>
    <n v="3525502"/>
    <m/>
    <n v="25892.241379310301"/>
    <m/>
    <n v="45000"/>
    <m/>
    <n v="10415"/>
    <m/>
    <n v="159923"/>
    <m/>
    <n v="610021"/>
    <m/>
    <n v="212908"/>
    <m/>
    <n v="37056"/>
    <m/>
    <n v="6203"/>
    <m/>
    <n v="343.96551724137902"/>
    <m/>
    <n v="0"/>
    <m/>
    <n v="0"/>
    <n v="0"/>
    <n v="-6127095.8821069803"/>
    <n v="-1"/>
    <n v="0.16005897113035517"/>
    <e v="#DIV/0!"/>
    <n v="-1"/>
  </r>
  <r>
    <x v="251"/>
    <n v="29640196"/>
    <n v="4744179.2758620689"/>
    <n v="4.1149611933491745E-2"/>
    <m/>
    <x v="251"/>
    <n v="6267893.7942838604"/>
    <n v="5088482.8383087805"/>
    <n v="1179410.9559750799"/>
    <n v="3709022"/>
    <m/>
    <n v="28638.793103448301"/>
    <m/>
    <n v="39009"/>
    <m/>
    <n v="6468"/>
    <m/>
    <n v="126437"/>
    <m/>
    <n v="512439"/>
    <m/>
    <n v="272574"/>
    <m/>
    <n v="41801"/>
    <m/>
    <n v="6981"/>
    <m/>
    <n v="809.48275862068999"/>
    <m/>
    <n v="0"/>
    <m/>
    <n v="0"/>
    <n v="0"/>
    <n v="-6267893.7942838604"/>
    <n v="-1"/>
    <n v="0.12769944866425717"/>
    <e v="#DIV/0!"/>
    <n v="-1"/>
  </r>
  <r>
    <x v="252"/>
    <n v="32533171"/>
    <n v="4154468.0000000005"/>
    <n v="3.6034630238345133E-2"/>
    <m/>
    <x v="252"/>
    <n v="5520536.0320603298"/>
    <n v="4085615.3785323901"/>
    <n v="1434920.6535279399"/>
    <n v="2984548"/>
    <m/>
    <n v="24654.310344827602"/>
    <m/>
    <n v="17827"/>
    <m/>
    <n v="2299"/>
    <m/>
    <n v="109725"/>
    <m/>
    <n v="666967"/>
    <m/>
    <n v="299912"/>
    <m/>
    <n v="40233"/>
    <m/>
    <n v="7382"/>
    <m/>
    <n v="920.68965517241395"/>
    <m/>
    <n v="0"/>
    <m/>
    <n v="0"/>
    <n v="0"/>
    <n v="-5520536.0320603298"/>
    <n v="-1"/>
    <n v="8.6359322116965009E-2"/>
    <e v="#DIV/0!"/>
    <n v="-1"/>
  </r>
  <r>
    <x v="253"/>
    <n v="36603847"/>
    <n v="3161083.4137931033"/>
    <n v="2.7418305296514546E-2"/>
    <m/>
    <x v="253"/>
    <n v="4184986.054014463"/>
    <n v="3289726.9989228998"/>
    <n v="895259.05509156303"/>
    <n v="2427761"/>
    <m/>
    <n v="25539.655172413801"/>
    <m/>
    <n v="22302"/>
    <m/>
    <n v="3261"/>
    <m/>
    <n v="48694"/>
    <m/>
    <n v="356119"/>
    <m/>
    <n v="246603"/>
    <m/>
    <n v="27305"/>
    <m/>
    <n v="3241"/>
    <m/>
    <n v="257.758620689655"/>
    <m/>
    <n v="0"/>
    <m/>
    <n v="0"/>
    <n v="0"/>
    <n v="-4184986.054014463"/>
    <n v="-1"/>
    <n v="7.3126037849472289E-2"/>
    <e v="#DIV/0!"/>
    <n v="-1"/>
  </r>
  <r>
    <x v="254"/>
    <n v="36893493"/>
    <n v="2697874.965517241"/>
    <n v="2.3400571820917117E-2"/>
    <m/>
    <x v="254"/>
    <n v="3553299.6401585471"/>
    <n v="3022745.76213062"/>
    <n v="530553.87802792701"/>
    <n v="2178584"/>
    <m/>
    <n v="26887.068965517199"/>
    <m/>
    <n v="27326"/>
    <m/>
    <n v="1339"/>
    <m/>
    <n v="88295"/>
    <m/>
    <n v="120118"/>
    <m/>
    <n v="219269"/>
    <m/>
    <n v="32816"/>
    <m/>
    <n v="2209"/>
    <m/>
    <n v="1031.89655172414"/>
    <m/>
    <n v="0"/>
    <m/>
    <n v="0"/>
    <n v="0"/>
    <n v="-3553299.6401585471"/>
    <n v="-1"/>
    <n v="5.2984761813140803E-2"/>
    <e v="#DIV/0!"/>
    <n v="-1"/>
  </r>
  <r>
    <x v="255"/>
    <n v="51169546"/>
    <n v="2711206.2068965519"/>
    <n v="2.3516203077126478E-2"/>
    <m/>
    <x v="255"/>
    <n v="3618510.3301902404"/>
    <n v="2481900.6800431302"/>
    <n v="1136609.65014711"/>
    <n v="1799983"/>
    <m/>
    <n v="29600.8620689655"/>
    <m/>
    <n v="7912"/>
    <m/>
    <n v="4922"/>
    <m/>
    <n v="64472"/>
    <m/>
    <n v="592754"/>
    <m/>
    <n v="169324"/>
    <m/>
    <n v="37170"/>
    <m/>
    <n v="3458"/>
    <m/>
    <n v="576.72413793103499"/>
    <m/>
    <n v="1033.6206896551701"/>
    <m/>
    <n v="0"/>
    <n v="0"/>
    <n v="-3618510.3301902404"/>
    <n v="-1"/>
    <n v="4.7331187172263957E-2"/>
    <e v="#DIV/0!"/>
    <n v="-1"/>
  </r>
  <r>
    <x v="256"/>
    <n v="49356688"/>
    <n v="2336110.6379310344"/>
    <n v="2.0262734731308407E-2"/>
    <m/>
    <x v="256"/>
    <n v="3091910.722210601"/>
    <n v="2441522.1685973001"/>
    <n v="650388.55361330102"/>
    <n v="1780921"/>
    <m/>
    <n v="27704.310344827602"/>
    <m/>
    <n v="12528"/>
    <m/>
    <n v="4369"/>
    <m/>
    <n v="50344"/>
    <m/>
    <n v="241106"/>
    <m/>
    <n v="174010"/>
    <m/>
    <n v="37039"/>
    <m/>
    <n v="6282"/>
    <m/>
    <n v="773.70689655172396"/>
    <m/>
    <n v="1033.6206896551701"/>
    <m/>
    <n v="0"/>
    <n v="0"/>
    <n v="-3091910.722210601"/>
    <n v="-1"/>
    <n v="0.11130421100196954"/>
    <e v="#DIV/0!"/>
    <n v="-1"/>
  </r>
  <r>
    <x v="257"/>
    <n v="27726860"/>
    <n v="3086116.2758620689"/>
    <n v="2.6768062450650325E-2"/>
    <m/>
    <x v="257"/>
    <n v="4103348.4351300402"/>
    <n v="3006295.81930889"/>
    <n v="1097052.6158211499"/>
    <n v="2148281"/>
    <m/>
    <n v="18573.275862069"/>
    <m/>
    <n v="21024"/>
    <m/>
    <n v="2539"/>
    <m/>
    <n v="119375"/>
    <m/>
    <n v="616987"/>
    <m/>
    <n v="121950"/>
    <m/>
    <n v="30964"/>
    <m/>
    <n v="6423"/>
    <m/>
    <n v="0"/>
    <m/>
    <n v="0"/>
    <m/>
    <n v="0"/>
    <n v="0"/>
    <n v="-4103348.4351300402"/>
    <n v="-1"/>
    <n v="0.14324340261017793"/>
    <e v="#DIV/0!"/>
    <n v="-1"/>
  </r>
  <r>
    <x v="258"/>
    <n v="22429730"/>
    <n v="3212910.8448275863"/>
    <n v="2.7867841148886241E-2"/>
    <m/>
    <x v="258"/>
    <n v="4239129.4675608054"/>
    <n v="3512446.5907780901"/>
    <n v="726682.87678271497"/>
    <n v="2565352"/>
    <m/>
    <n v="27786.206896551699"/>
    <m/>
    <n v="61867"/>
    <m/>
    <n v="895"/>
    <m/>
    <n v="42777"/>
    <m/>
    <n v="318804"/>
    <m/>
    <n v="152090"/>
    <m/>
    <n v="39436"/>
    <m/>
    <n v="2132"/>
    <m/>
    <n v="1771.6379310344801"/>
    <m/>
    <n v="0"/>
    <m/>
    <n v="0"/>
    <n v="0"/>
    <n v="-4239129.4675608054"/>
    <n v="-1"/>
    <n v="0.13515784763233887"/>
    <e v="#DIV/0!"/>
    <n v="-1"/>
  </r>
  <r>
    <x v="259"/>
    <n v="27789776"/>
    <n v="3756006.3103448274"/>
    <n v="3.2578491052564808E-2"/>
    <m/>
    <x v="259"/>
    <n v="4967720.0838129297"/>
    <n v="3965889.5507743401"/>
    <n v="1001830.53303859"/>
    <n v="2881595"/>
    <m/>
    <n v="29182.758620689699"/>
    <m/>
    <n v="37711"/>
    <m/>
    <n v="8906"/>
    <m/>
    <n v="89671"/>
    <m/>
    <n v="560772"/>
    <m/>
    <n v="112089"/>
    <m/>
    <n v="30343"/>
    <m/>
    <n v="5195"/>
    <m/>
    <n v="885.51724137931001"/>
    <m/>
    <n v="-343.96551724137902"/>
    <m/>
    <n v="0"/>
    <n v="0"/>
    <n v="-4967720.0838129297"/>
    <n v="-1"/>
    <n v="0.11479893708704396"/>
    <e v="#DIV/0!"/>
    <n v="-1"/>
  </r>
  <r>
    <x v="260"/>
    <n v="34810000"/>
    <n v="3996151"/>
    <n v="3.4661435269592429E-2"/>
    <m/>
    <x v="260"/>
    <n v="5282207.5297296103"/>
    <n v="4255954.5196211003"/>
    <n v="1026253.01010851"/>
    <n v="3137096"/>
    <m/>
    <n v="30500"/>
    <m/>
    <n v="48555"/>
    <m/>
    <n v="554"/>
    <m/>
    <n v="53223"/>
    <m/>
    <n v="582614"/>
    <m/>
    <n v="109550"/>
    <m/>
    <n v="24701"/>
    <m/>
    <n v="9358"/>
    <m/>
    <n v="0"/>
    <m/>
    <n v="0"/>
    <m/>
    <n v="0"/>
    <n v="0"/>
    <n v="-5282207.5297296103"/>
    <n v="-1"/>
    <n v="9.112243630224505E-2"/>
    <e v="#DIV/0!"/>
    <n v="-1"/>
  </r>
  <r>
    <x v="261"/>
    <n v="36200541"/>
    <n v="3298681.4913793104"/>
    <n v="2.8611790442464907E-2"/>
    <m/>
    <x v="261"/>
    <n v="4361061.8551802728"/>
    <n v="3503971.3414703701"/>
    <n v="857090.513709903"/>
    <n v="2528021"/>
    <m/>
    <n v="32440.517241379301"/>
    <m/>
    <n v="31205"/>
    <m/>
    <n v="6171"/>
    <m/>
    <n v="94328"/>
    <m/>
    <n v="458250"/>
    <m/>
    <n v="104253"/>
    <m/>
    <n v="32064"/>
    <m/>
    <n v="11786"/>
    <m/>
    <n v="162.97413793103499"/>
    <m/>
    <n v="0"/>
    <m/>
    <n v="0"/>
    <n v="0"/>
    <n v="-4361061.8551802728"/>
    <n v="-1"/>
    <n v="6.4863648186702011E-2"/>
    <e v="#DIV/0!"/>
    <n v="-1"/>
  </r>
  <r>
    <x v="262"/>
    <n v="49554588"/>
    <n v="3214291.3620689656"/>
    <n v="2.7879815348309793E-2"/>
    <m/>
    <x v="262"/>
    <n v="4245549.8398925532"/>
    <n v="3460317.6521310401"/>
    <n v="785232.18776151305"/>
    <n v="2508912"/>
    <m/>
    <n v="33902.5862068965"/>
    <m/>
    <n v="41569"/>
    <m/>
    <n v="834"/>
    <m/>
    <n v="73408"/>
    <m/>
    <n v="439924"/>
    <m/>
    <n v="75203"/>
    <m/>
    <n v="28962"/>
    <m/>
    <n v="9571"/>
    <m/>
    <n v="714.39655172413802"/>
    <m/>
    <n v="1291.3793103448299"/>
    <m/>
    <n v="0"/>
    <n v="0"/>
    <n v="-4245549.8398925532"/>
    <n v="-1"/>
    <n v="7.5517659242318791E-2"/>
    <e v="#DIV/0!"/>
    <n v="-1"/>
  </r>
  <r>
    <x v="263"/>
    <n v="49902512"/>
    <n v="3768520.8965517241"/>
    <n v="3.2687038882648331E-2"/>
    <m/>
    <x v="263"/>
    <n v="4970929.575501441"/>
    <n v="4134718.76641089"/>
    <n v="836210.80909055099"/>
    <n v="3005335"/>
    <m/>
    <n v="40560.344827586203"/>
    <m/>
    <n v="7591"/>
    <m/>
    <n v="8870"/>
    <m/>
    <n v="114424"/>
    <m/>
    <n v="457192"/>
    <m/>
    <n v="90772"/>
    <m/>
    <n v="35716"/>
    <m/>
    <n v="7889"/>
    <m/>
    <n v="171.55172413793099"/>
    <m/>
    <n v="0"/>
    <m/>
    <n v="0"/>
    <n v="0"/>
    <n v="-4970929.575501441"/>
    <n v="-1"/>
    <n v="0.17991389026770591"/>
    <e v="#DIV/0!"/>
    <n v="-1"/>
  </r>
  <r>
    <x v="264"/>
    <n v="29240389"/>
    <n v="5260752.1379310349"/>
    <n v="4.5630212596637749E-2"/>
    <m/>
    <x v="264"/>
    <n v="6941785.4112114906"/>
    <n v="5742753.9171086904"/>
    <n v="1199031.4941028"/>
    <n v="4228644"/>
    <m/>
    <n v="30948.275862069"/>
    <m/>
    <n v="30977"/>
    <m/>
    <n v="3889"/>
    <m/>
    <n v="117805"/>
    <m/>
    <n v="708970"/>
    <m/>
    <n v="87697"/>
    <m/>
    <n v="40001"/>
    <m/>
    <n v="9770"/>
    <m/>
    <n v="1103.44827586207"/>
    <m/>
    <n v="947.41379310344803"/>
    <m/>
    <n v="0"/>
    <n v="0"/>
    <n v="-6941785.4112114906"/>
    <n v="-1"/>
    <n v="0.13989631202743075"/>
    <e v="#DIV/0!"/>
    <n v="-1"/>
  </r>
  <r>
    <x v="265"/>
    <n v="30161823"/>
    <n v="4219527.8017241377"/>
    <n v="3.6598939771722044E-2"/>
    <m/>
    <x v="265"/>
    <n v="5513156.1922506103"/>
    <n v="5243987.3870758396"/>
    <n v="269168.805174771"/>
    <n v="3819612"/>
    <m/>
    <n v="28138.793103448301"/>
    <m/>
    <n v="70945"/>
    <m/>
    <n v="2241"/>
    <m/>
    <n v="108115"/>
    <m/>
    <n v="130750"/>
    <m/>
    <n v="23990"/>
    <m/>
    <n v="26470"/>
    <m/>
    <n v="9026"/>
    <m/>
    <n v="240.008620689655"/>
    <m/>
    <n v="0"/>
    <m/>
    <n v="0"/>
    <n v="0"/>
    <n v="-5513156.1922506103"/>
    <n v="-1"/>
    <n v="0.14624918591141906"/>
    <e v="#DIV/0!"/>
    <n v="-1"/>
  </r>
  <r>
    <x v="266"/>
    <n v="34413776"/>
    <n v="5032986.7241379311"/>
    <n v="4.3654642567666969E-2"/>
    <m/>
    <x v="266"/>
    <n v="6691164.0781895295"/>
    <n v="4911835.9222691599"/>
    <n v="1779328.15592037"/>
    <n v="3568039"/>
    <m/>
    <n v="27351.724137931"/>
    <m/>
    <n v="49010"/>
    <m/>
    <n v="1023"/>
    <m/>
    <n v="128430"/>
    <m/>
    <n v="1012262"/>
    <m/>
    <n v="207202"/>
    <m/>
    <n v="31837"/>
    <m/>
    <n v="7832"/>
    <m/>
    <n v="0"/>
    <m/>
    <n v="0"/>
    <m/>
    <n v="0"/>
    <n v="0"/>
    <n v="-6691164.0781895295"/>
    <n v="-1"/>
    <n v="0.1063717820812342"/>
    <e v="#DIV/0!"/>
    <n v="-1"/>
  </r>
  <r>
    <x v="267"/>
    <n v="37280200"/>
    <n v="3965561.3103448274"/>
    <n v="3.4396109322725132E-2"/>
    <m/>
    <x v="267"/>
    <n v="5242448.90920828"/>
    <n v="4215496.8832882997"/>
    <n v="1026952.02591998"/>
    <n v="3032045"/>
    <m/>
    <n v="32489.655172413801"/>
    <m/>
    <n v="32271"/>
    <m/>
    <n v="854"/>
    <m/>
    <n v="141184"/>
    <m/>
    <n v="537518"/>
    <m/>
    <n v="147100"/>
    <m/>
    <n v="28015"/>
    <m/>
    <n v="5570"/>
    <m/>
    <n v="8514.6551724137898"/>
    <m/>
    <n v="0"/>
    <m/>
    <n v="0"/>
    <n v="0"/>
    <n v="-5242448.90920828"/>
    <n v="-1"/>
    <n v="7.4994828748070924E-2"/>
    <e v="#DIV/0!"/>
    <n v="-1"/>
  </r>
  <r>
    <x v="268"/>
    <n v="42246323"/>
    <n v="3168255.7586206896"/>
    <n v="2.7480516100353687E-2"/>
    <m/>
    <x v="268"/>
    <n v="4198560.7494607661"/>
    <n v="3249614.9897906198"/>
    <n v="948945.75967014604"/>
    <n v="2325415"/>
    <m/>
    <n v="32150.8620689655"/>
    <m/>
    <n v="53906"/>
    <m/>
    <n v="1765"/>
    <m/>
    <n v="83502"/>
    <m/>
    <n v="491681"/>
    <m/>
    <n v="151968"/>
    <m/>
    <n v="22504"/>
    <m/>
    <n v="4607"/>
    <m/>
    <n v="756.89655172413802"/>
    <m/>
    <n v="0"/>
    <m/>
    <n v="0"/>
    <n v="0"/>
    <n v="-4198560.7494607661"/>
    <n v="-1"/>
    <n v="5.671854473915483E-2"/>
    <e v="#DIV/0!"/>
    <n v="-1"/>
  </r>
  <r>
    <x v="269"/>
    <n v="48917414"/>
    <n v="2774524.534482759"/>
    <n v="2.4065407577408916E-2"/>
    <m/>
    <x v="269"/>
    <n v="3687250.413163099"/>
    <n v="2723766.0260986299"/>
    <n v="963484.38706446905"/>
    <n v="1949302"/>
    <m/>
    <n v="33178.448275862102"/>
    <m/>
    <n v="11242"/>
    <m/>
    <n v="4281"/>
    <m/>
    <n v="94716"/>
    <m/>
    <n v="515813"/>
    <m/>
    <n v="133564"/>
    <m/>
    <n v="17092"/>
    <m/>
    <n v="8878"/>
    <m/>
    <n v="6458.0862068965498"/>
    <m/>
    <n v="0"/>
    <m/>
    <n v="0"/>
    <n v="0"/>
    <n v="-3687250.413163099"/>
    <n v="-1"/>
    <n v="6.7618035616147321E-2"/>
    <e v="#DIV/0!"/>
    <n v="-1"/>
  </r>
  <r>
    <x v="270"/>
    <n v="50196219"/>
    <n v="3394169.7241379311"/>
    <n v="2.9440027212990022E-2"/>
    <m/>
    <x v="270"/>
    <n v="4489379.3603481036"/>
    <n v="3581187.8061755002"/>
    <n v="908191.55417260295"/>
    <n v="2625801"/>
    <m/>
    <n v="32585.344827586199"/>
    <m/>
    <n v="-5250"/>
    <m/>
    <n v="868"/>
    <m/>
    <n v="97488"/>
    <m/>
    <n v="448438"/>
    <m/>
    <n v="152669"/>
    <m/>
    <n v="32751"/>
    <m/>
    <n v="8303"/>
    <m/>
    <n v="516.37931034482801"/>
    <m/>
    <n v="0"/>
    <m/>
    <n v="0"/>
    <n v="0"/>
    <n v="-4489379.3603481036"/>
    <n v="-1"/>
    <n v="0.15569618443092395"/>
    <e v="#DIV/0!"/>
    <n v="-1"/>
  </r>
  <r>
    <x v="271"/>
    <n v="28392462"/>
    <n v="4420598"/>
    <n v="3.834296337397905E-2"/>
    <m/>
    <x v="271"/>
    <n v="5847755.3289961405"/>
    <n v="4655469.1791051803"/>
    <n v="1192286.14989096"/>
    <n v="3385820"/>
    <m/>
    <n v="30803.448275862102"/>
    <m/>
    <n v="62947"/>
    <m/>
    <n v="3822"/>
    <m/>
    <n v="93490"/>
    <m/>
    <n v="662792"/>
    <m/>
    <n v="132803"/>
    <m/>
    <n v="35780"/>
    <m/>
    <n v="6759"/>
    <m/>
    <n v="5581.5517241379303"/>
    <m/>
    <n v="0"/>
    <m/>
    <n v="0"/>
    <n v="0"/>
    <n v="-5847755.3289961405"/>
    <n v="-1"/>
    <n v="0.1606790171733688"/>
    <e v="#DIV/0!"/>
    <n v="-1"/>
  </r>
  <r>
    <x v="272"/>
    <n v="31463170"/>
    <n v="5055471.2327586217"/>
    <n v="4.3849666564539126E-2"/>
    <m/>
    <x v="272"/>
    <n v="6675436.1487542298"/>
    <n v="5465858.3723724801"/>
    <n v="1209577.7763817499"/>
    <n v="4032670"/>
    <m/>
    <n v="36310.344827586203"/>
    <m/>
    <n v="32319"/>
    <m/>
    <n v="5531"/>
    <m/>
    <n v="92689"/>
    <m/>
    <n v="711212"/>
    <m/>
    <n v="102182"/>
    <m/>
    <n v="36207"/>
    <m/>
    <n v="5283"/>
    <m/>
    <n v="1067.8879310344801"/>
    <m/>
    <n v="0"/>
    <m/>
    <n v="0"/>
    <n v="0"/>
    <n v="-6675436.1487542298"/>
    <n v="-1"/>
    <n v="0.13411267102576951"/>
    <e v="#DIV/0!"/>
    <n v="-1"/>
  </r>
  <r>
    <x v="273"/>
    <n v="35229204"/>
    <n v="4724682.6465517236"/>
    <n v="3.504005182694659E-2"/>
    <m/>
    <x v="273"/>
    <n v="6234160.2586209103"/>
    <n v="5054886.4743162701"/>
    <n v="1179273.78430464"/>
    <n v="3666861"/>
    <m/>
    <n v="32700"/>
    <m/>
    <n v="61161"/>
    <m/>
    <n v="4101"/>
    <m/>
    <n v="118698"/>
    <m/>
    <n v="660285"/>
    <m/>
    <n v="134226"/>
    <m/>
    <n v="33430"/>
    <m/>
    <n v="4950"/>
    <m/>
    <n v="7668.0603448275897"/>
    <m/>
    <n v="602.58620689655197"/>
    <m/>
    <n v="0"/>
    <n v="0"/>
    <n v="-6234160.2586209103"/>
    <n v="-1"/>
    <n v="0.10301436205853891"/>
    <e v="#DIV/0!"/>
    <n v="-1"/>
  </r>
  <r>
    <x v="274"/>
    <n v="40655242"/>
    <n v="4188073.8189655175"/>
    <n v="3.1060355721189984E-2"/>
    <m/>
    <x v="274"/>
    <n v="5518562.2028435636"/>
    <n v="4578711.6651646504"/>
    <n v="939850.53767891298"/>
    <n v="3300421"/>
    <m/>
    <n v="32825.8620689655"/>
    <m/>
    <n v="37692"/>
    <m/>
    <n v="7757"/>
    <m/>
    <n v="138994"/>
    <m/>
    <n v="486606"/>
    <m/>
    <n v="138868"/>
    <m/>
    <n v="29586"/>
    <m/>
    <n v="6542"/>
    <m/>
    <n v="7145.75"/>
    <m/>
    <n v="1636.2068965517201"/>
    <m/>
    <n v="0"/>
    <n v="0"/>
    <n v="-5518562.2028435636"/>
    <n v="-1"/>
    <n v="8.1622369023297725E-2"/>
    <e v="#DIV/0!"/>
    <n v="-1"/>
  </r>
  <r>
    <x v="275"/>
    <n v="40527045"/>
    <n v="3307913.4224137929"/>
    <n v="2.4532749907557765E-2"/>
    <m/>
    <x v="275"/>
    <n v="4366021.8084425963"/>
    <n v="3522611.92870137"/>
    <n v="843409.87974122597"/>
    <n v="2511111"/>
    <m/>
    <n v="29472.413793103398"/>
    <m/>
    <n v="35787"/>
    <m/>
    <n v="2591"/>
    <m/>
    <n v="127358"/>
    <m/>
    <n v="439292"/>
    <m/>
    <n v="130492"/>
    <m/>
    <n v="25977"/>
    <m/>
    <n v="5364"/>
    <m/>
    <n v="469.008620689655"/>
    <m/>
    <n v="0"/>
    <m/>
    <n v="0"/>
    <n v="0"/>
    <n v="-4366021.8084425963"/>
    <n v="-1"/>
    <n v="5.5942387191759008E-2"/>
    <e v="#DIV/0!"/>
    <n v="-1"/>
  </r>
  <r>
    <x v="276"/>
    <n v="52851490"/>
    <n v="2956638.5172413792"/>
    <n v="2.192756098725419E-2"/>
    <m/>
    <x v="276"/>
    <n v="3913033.7729016151"/>
    <n v="3010378.3927468699"/>
    <n v="902655.38015474495"/>
    <n v="2157345"/>
    <m/>
    <n v="34722.413793103398"/>
    <m/>
    <n v="15783"/>
    <m/>
    <n v="-491"/>
    <m/>
    <n v="105426"/>
    <m/>
    <n v="459901"/>
    <m/>
    <n v="150843"/>
    <m/>
    <n v="25838"/>
    <m/>
    <n v="5526"/>
    <m/>
    <n v="1745.10344827586"/>
    <m/>
    <n v="0"/>
    <m/>
    <n v="0"/>
    <n v="0"/>
    <n v="-3913033.7729016151"/>
    <n v="-1"/>
    <n v="6.411962314461904E-2"/>
    <e v="#DIV/0!"/>
    <n v="-1"/>
  </r>
  <r>
    <x v="277"/>
    <n v="51164374"/>
    <n v="3280640.3793103448"/>
    <n v="2.4330482598763841E-2"/>
    <m/>
    <x v="277"/>
    <n v="4324654.7879951037"/>
    <n v="3563234.60019344"/>
    <n v="761420.187801664"/>
    <n v="2589139"/>
    <m/>
    <n v="24383.620689655199"/>
    <m/>
    <n v="18991"/>
    <m/>
    <n v="-1894"/>
    <m/>
    <n v="106909"/>
    <m/>
    <n v="323111"/>
    <m/>
    <n v="170727"/>
    <m/>
    <n v="38180"/>
    <m/>
    <n v="8511"/>
    <m/>
    <n v="1032.7586206896599"/>
    <m/>
    <n v="1550"/>
    <m/>
    <n v="0"/>
    <n v="0"/>
    <n v="-4324654.7879951037"/>
    <n v="-1"/>
    <n v="0.15058944151525389"/>
    <e v="#DIV/0!"/>
    <n v="-1"/>
  </r>
  <r>
    <x v="278"/>
    <n v="28890790"/>
    <n v="4350647.9310344821"/>
    <n v="3.226606745651129E-2"/>
    <m/>
    <x v="278"/>
    <n v="5760835.2214753805"/>
    <n v="4392539.2660790402"/>
    <n v="1368295.95539634"/>
    <n v="3206472"/>
    <m/>
    <n v="24687.068965517199"/>
    <m/>
    <n v="60560"/>
    <m/>
    <n v="-2415"/>
    <m/>
    <n v="85355"/>
    <m/>
    <n v="749807"/>
    <m/>
    <n v="180881"/>
    <m/>
    <n v="39968"/>
    <m/>
    <n v="4257"/>
    <m/>
    <n v="1075.8620689655199"/>
    <m/>
    <n v="0"/>
    <m/>
    <n v="0"/>
    <n v="0"/>
    <n v="-5760835.2214753805"/>
    <n v="-1"/>
    <n v="0.14008895755054906"/>
    <e v="#DIV/0!"/>
    <n v="-1"/>
  </r>
  <r>
    <x v="279"/>
    <n v="32567490"/>
    <n v="4562345.7241379311"/>
    <n v="3.3836099180739154E-2"/>
    <m/>
    <x v="279"/>
    <n v="6011868.5632571001"/>
    <n v="4986156.6558287097"/>
    <n v="1025711.90742839"/>
    <n v="3626258"/>
    <m/>
    <n v="33481.896551724101"/>
    <m/>
    <n v="54703"/>
    <m/>
    <n v="2927"/>
    <m/>
    <n v="113348"/>
    <m/>
    <n v="522052"/>
    <m/>
    <n v="144499"/>
    <m/>
    <n v="55307"/>
    <m/>
    <n v="7575"/>
    <m/>
    <n v="1506.03448275862"/>
    <m/>
    <n v="688.79310344827604"/>
    <m/>
    <n v="0"/>
    <n v="0"/>
    <n v="-6011868.5632571001"/>
    <n v="-1"/>
    <n v="0.14780999880499757"/>
    <e v="#DIV/0!"/>
    <n v="-1"/>
  </r>
  <r>
    <x v="280"/>
    <n v="34762879"/>
    <n v="5138301.1034482755"/>
    <n v="3.810760434855661E-2"/>
    <m/>
    <x v="280"/>
    <n v="6772646.4787645806"/>
    <n v="5591832.0265857"/>
    <n v="1180814.4521788801"/>
    <n v="4043316"/>
    <m/>
    <n v="36340.517241379297"/>
    <m/>
    <n v="109501"/>
    <m/>
    <n v="1656"/>
    <m/>
    <n v="105227"/>
    <m/>
    <n v="614752"/>
    <m/>
    <n v="153038"/>
    <m/>
    <n v="62307"/>
    <m/>
    <n v="10011"/>
    <m/>
    <n v="1463.7931034482799"/>
    <m/>
    <n v="688.79310344827604"/>
    <m/>
    <n v="0"/>
    <n v="0"/>
    <n v="-6772646.4787645806"/>
    <n v="-1"/>
    <n v="9.9308740370839338E-2"/>
    <e v="#DIV/0!"/>
    <n v="-1"/>
  </r>
  <r>
    <x v="281"/>
    <n v="39983455"/>
    <n v="3970706.5517241382"/>
    <n v="2.9448277010426509E-2"/>
    <m/>
    <x v="281"/>
    <n v="5252498.6652221"/>
    <n v="4076966.2611807398"/>
    <n v="1175532.4040413599"/>
    <n v="2935762"/>
    <m/>
    <n v="36452.5862068965"/>
    <m/>
    <n v="11636"/>
    <m/>
    <n v="6503"/>
    <m/>
    <n v="141860"/>
    <m/>
    <n v="640869"/>
    <m/>
    <n v="128902"/>
    <m/>
    <n v="53273"/>
    <m/>
    <n v="14605"/>
    <m/>
    <n v="843.96551724137896"/>
    <m/>
    <n v="0"/>
    <m/>
    <n v="0"/>
    <n v="0"/>
    <n v="-5252498.6652221"/>
    <n v="-1"/>
    <n v="0.10905444500159932"/>
    <e v="#DIV/0!"/>
    <n v="-1"/>
  </r>
  <r>
    <x v="282"/>
    <n v="42763583"/>
    <n v="4663558.8103448274"/>
    <n v="3.4586734101974187E-2"/>
    <m/>
    <x v="282"/>
    <n v="6163557.00068356"/>
    <n v="4859127.3407384502"/>
    <n v="1304429.6599451101"/>
    <n v="3483391"/>
    <m/>
    <n v="38300"/>
    <m/>
    <n v="25004"/>
    <m/>
    <n v="0"/>
    <m/>
    <n v="186430"/>
    <m/>
    <n v="732700"/>
    <m/>
    <n v="129327"/>
    <m/>
    <n v="38381"/>
    <m/>
    <n v="15134"/>
    <m/>
    <n v="14030.603448275901"/>
    <m/>
    <n v="861.20689655172396"/>
    <m/>
    <n v="0"/>
    <n v="0"/>
    <n v="-6163557.00068356"/>
    <n v="-1"/>
    <n v="7.7202167829212284E-2"/>
    <e v="#DIV/0!"/>
    <n v="-1"/>
  </r>
  <r>
    <x v="283"/>
    <n v="58985064"/>
    <n v="4553774.8103448274"/>
    <n v="3.3772534009069093E-2"/>
    <m/>
    <x v="283"/>
    <n v="6002134.4204214998"/>
    <n v="4956553.4484463399"/>
    <n v="1045580.9719751599"/>
    <n v="3555883"/>
    <m/>
    <n v="40308.620689655203"/>
    <m/>
    <n v="31280"/>
    <m/>
    <n v="2597"/>
    <m/>
    <n v="177906"/>
    <m/>
    <n v="582185"/>
    <m/>
    <n v="99364"/>
    <m/>
    <n v="49257"/>
    <m/>
    <n v="13284"/>
    <m/>
    <n v="1710.1896551724101"/>
    <m/>
    <n v="0"/>
    <m/>
    <n v="0"/>
    <n v="0"/>
    <n v="-6002134.4204214998"/>
    <n v="-1"/>
    <n v="0.10004550558837402"/>
    <e v="#DIV/0!"/>
    <n v="-1"/>
  </r>
  <r>
    <x v="284"/>
    <n v="59452948"/>
    <n v="5948000.2413793104"/>
    <n v="4.4112642544729318E-2"/>
    <m/>
    <x v="284"/>
    <n v="7800801.1742279902"/>
    <n v="6980063.5872923797"/>
    <n v="820737.58693561004"/>
    <n v="5079374"/>
    <m/>
    <n v="33968.103448275797"/>
    <m/>
    <n v="0"/>
    <m/>
    <n v="7846"/>
    <m/>
    <n v="241390"/>
    <m/>
    <n v="416113"/>
    <m/>
    <n v="102685"/>
    <m/>
    <n v="46963"/>
    <m/>
    <n v="17337"/>
    <m/>
    <n v="1118.96551724138"/>
    <m/>
    <n v="1205.1724137931001"/>
    <m/>
    <n v="0"/>
    <n v="0"/>
    <n v="-7800801.1742279902"/>
    <n v="-1"/>
    <n v="0.15647554353299239"/>
    <e v="#DIV/0!"/>
    <n v="-1"/>
  </r>
  <r>
    <x v="285"/>
    <n v="30334126"/>
    <n v="4746548.8534482764"/>
    <n v="3.5202219972456462E-2"/>
    <m/>
    <x v="285"/>
    <n v="6264741.6938360697"/>
    <n v="5055847.5221082997"/>
    <n v="1208894.17172777"/>
    <n v="3532434"/>
    <m/>
    <n v="27835.344827586199"/>
    <m/>
    <n v="56747"/>
    <m/>
    <n v="6296"/>
    <m/>
    <n v="260947"/>
    <m/>
    <n v="696035"/>
    <m/>
    <n v="89849"/>
    <m/>
    <n v="44082"/>
    <m/>
    <n v="19797"/>
    <m/>
    <n v="12526.508620689699"/>
    <m/>
    <n v="0"/>
    <m/>
    <n v="0"/>
    <n v="0"/>
    <n v="-6264741.6938360697"/>
    <n v="-1"/>
    <n v="0.19690160847885563"/>
    <e v="#DIV/0!"/>
    <n v="-1"/>
  </r>
  <r>
    <x v="286"/>
    <n v="36736864"/>
    <n v="7233547.612068966"/>
    <n v="5.3646753058551176E-2"/>
    <m/>
    <x v="286"/>
    <n v="9516697.0984582193"/>
    <n v="8100771.2561988896"/>
    <n v="1415925.84225933"/>
    <n v="5860826"/>
    <m/>
    <n v="34962.931034482703"/>
    <m/>
    <n v="51290"/>
    <m/>
    <n v="8434"/>
    <m/>
    <n v="268072"/>
    <m/>
    <n v="843210"/>
    <m/>
    <n v="87564"/>
    <m/>
    <n v="54009"/>
    <m/>
    <n v="8460"/>
    <m/>
    <n v="16719.681034482801"/>
    <m/>
    <n v="0"/>
    <m/>
    <n v="0"/>
    <n v="0"/>
    <n v="-9516697.0984582193"/>
    <n v="-1"/>
    <n v="0.14362521307931883"/>
    <e v="#DIV/0!"/>
    <n v="-1"/>
  </r>
  <r>
    <x v="287"/>
    <n v="38912618"/>
    <n v="5588833.0517241377"/>
    <n v="4.1448921427028163E-2"/>
    <m/>
    <x v="287"/>
    <n v="7357115.1101991897"/>
    <n v="6203615.4278781796"/>
    <n v="1153499.6823210099"/>
    <n v="4393558"/>
    <m/>
    <n v="34782.758620689601"/>
    <m/>
    <n v="52617"/>
    <m/>
    <n v="5393"/>
    <m/>
    <n v="279705"/>
    <m/>
    <n v="668950"/>
    <m/>
    <n v="93705"/>
    <m/>
    <n v="42427"/>
    <m/>
    <n v="12416"/>
    <m/>
    <n v="4590.5"/>
    <m/>
    <n v="688.79310344827604"/>
    <m/>
    <n v="0"/>
    <n v="0"/>
    <n v="-7357115.1101991897"/>
    <n v="-1"/>
    <n v="0.10456272839443309"/>
    <e v="#DIV/0!"/>
    <n v="-1"/>
  </r>
  <r>
    <x v="288"/>
    <n v="46278011"/>
    <n v="4838955.0948275868"/>
    <n v="3.5887539967319512E-2"/>
    <m/>
    <x v="288"/>
    <n v="6376006.9473173004"/>
    <n v="5293050.47276734"/>
    <n v="1082956.4745499601"/>
    <n v="3659618"/>
    <m/>
    <n v="37947.413793103398"/>
    <m/>
    <n v="37369"/>
    <m/>
    <n v="9908"/>
    <m/>
    <n v="321653"/>
    <m/>
    <n v="573332"/>
    <m/>
    <n v="132053"/>
    <m/>
    <n v="44310"/>
    <m/>
    <n v="14263"/>
    <m/>
    <n v="6779.2672413793098"/>
    <m/>
    <n v="1722.41379310345"/>
    <m/>
    <n v="0"/>
    <n v="0"/>
    <n v="-6376006.9473173004"/>
    <n v="-1"/>
    <n v="8.949790217765427E-2"/>
    <e v="#DIV/0!"/>
    <n v="-1"/>
  </r>
  <r>
    <x v="289"/>
    <n v="43693955"/>
    <n v="3910517.3103448278"/>
    <n v="2.9001890597807896E-2"/>
    <m/>
    <x v="289"/>
    <n v="5173649.6724917796"/>
    <n v="4005176.3232548898"/>
    <n v="1168473.34923689"/>
    <n v="2757514"/>
    <m/>
    <n v="38559.482758620703"/>
    <m/>
    <n v="28828"/>
    <m/>
    <n v="2569"/>
    <m/>
    <n v="249589"/>
    <m/>
    <n v="603059"/>
    <m/>
    <n v="182555"/>
    <m/>
    <n v="33984"/>
    <m/>
    <n v="6959"/>
    <m/>
    <n v="6900.8275862069004"/>
    <m/>
    <n v="0"/>
    <m/>
    <n v="0"/>
    <n v="0"/>
    <n v="-5173649.6724917796"/>
    <n v="-1"/>
    <n v="5.2087410632322077E-2"/>
    <e v="#DIV/0!"/>
    <n v="-1"/>
  </r>
  <r>
    <x v="290"/>
    <n v="58058265"/>
    <n v="3024104.6896551726"/>
    <n v="2.2427915900968955E-2"/>
    <m/>
    <x v="290"/>
    <n v="4011449.9742653999"/>
    <n v="2960673.6580391498"/>
    <n v="1050776.31622625"/>
    <n v="2057157"/>
    <m/>
    <n v="39201.724137931"/>
    <m/>
    <n v="21446"/>
    <m/>
    <n v="128"/>
    <m/>
    <n v="156666"/>
    <m/>
    <n v="518617"/>
    <m/>
    <n v="193438"/>
    <m/>
    <n v="25309"/>
    <m/>
    <n v="10273"/>
    <m/>
    <n v="1868.96551724138"/>
    <m/>
    <n v="0"/>
    <m/>
    <n v="0"/>
    <n v="0"/>
    <n v="-4011449.9742653999"/>
    <n v="-1"/>
    <n v="6.3572612553030358E-2"/>
    <e v="#DIV/0!"/>
    <n v="-1"/>
  </r>
  <r>
    <x v="291"/>
    <n v="57993512"/>
    <n v="3686799.068965517"/>
    <n v="2.7342710636104921E-2"/>
    <m/>
    <x v="291"/>
    <n v="4889287.8269058503"/>
    <n v="3625305.0828013201"/>
    <n v="1263982.74410453"/>
    <n v="2619522"/>
    <m/>
    <n v="32746.551724137898"/>
    <m/>
    <n v="2872"/>
    <m/>
    <n v="3770"/>
    <m/>
    <n v="126305"/>
    <m/>
    <n v="624995"/>
    <m/>
    <n v="224236"/>
    <m/>
    <n v="42542"/>
    <m/>
    <n v="7745"/>
    <m/>
    <n v="1462.93103448276"/>
    <m/>
    <n v="602.58620689655197"/>
    <m/>
    <n v="0"/>
    <n v="0"/>
    <n v="-4889287.8269058503"/>
    <n v="-1"/>
    <n v="0.1403258425852103"/>
    <e v="#DIV/0!"/>
    <n v="-1"/>
  </r>
  <r>
    <x v="292"/>
    <n v="32252775"/>
    <n v="4525897.8275862066"/>
    <n v="3.3565787653024648E-2"/>
    <m/>
    <x v="292"/>
    <n v="5933000.9059289787"/>
    <n v="5346404.4691381902"/>
    <n v="586596.43679078901"/>
    <n v="3847226"/>
    <m/>
    <n v="31251.724137931"/>
    <m/>
    <n v="55327"/>
    <m/>
    <n v="3409"/>
    <m/>
    <n v="170272"/>
    <m/>
    <n v="271999"/>
    <m/>
    <n v="100871"/>
    <m/>
    <n v="38995"/>
    <m/>
    <n v="5429"/>
    <m/>
    <n v="429.31034482758599"/>
    <m/>
    <n v="688.79310344827604"/>
    <m/>
    <n v="0"/>
    <n v="0"/>
    <n v="-5933000.9059289787"/>
    <n v="-1"/>
    <n v="0.15297330886264721"/>
    <e v="#DIV/0!"/>
    <n v="-1"/>
  </r>
  <r>
    <x v="293"/>
    <n v="35044736"/>
    <n v="5360909.2241379311"/>
    <n v="3.9758551231043555E-2"/>
    <m/>
    <x v="293"/>
    <n v="7101295.3491040505"/>
    <n v="5376980.9326536804"/>
    <n v="1724314.4164503701"/>
    <n v="3931017"/>
    <m/>
    <n v="32601.724137931"/>
    <m/>
    <n v="9294"/>
    <m/>
    <n v="2891"/>
    <m/>
    <n v="155173"/>
    <m/>
    <n v="877636"/>
    <m/>
    <n v="293673"/>
    <m/>
    <n v="44439"/>
    <m/>
    <n v="6738"/>
    <m/>
    <n v="7446.5"/>
    <m/>
    <n v="0"/>
    <m/>
    <n v="0"/>
    <n v="0"/>
    <n v="-7101295.3491040505"/>
    <n v="-1"/>
    <n v="0.14335070901016397"/>
    <e v="#DIV/0!"/>
    <n v="-1"/>
  </r>
  <r>
    <x v="294"/>
    <n v="38948520"/>
    <n v="5583297.9568965519"/>
    <n v="4.1407871048804938E-2"/>
    <m/>
    <x v="294"/>
    <n v="7377712.3098019995"/>
    <n v="5835740.0944034997"/>
    <n v="1541972.2153985"/>
    <n v="4257253"/>
    <m/>
    <n v="28862.931034482801"/>
    <m/>
    <n v="58162"/>
    <m/>
    <n v="4241"/>
    <m/>
    <n v="134909"/>
    <m/>
    <n v="802589"/>
    <m/>
    <n v="231059"/>
    <m/>
    <n v="43400"/>
    <m/>
    <n v="12873"/>
    <m/>
    <n v="9949.0258620689692"/>
    <m/>
    <n v="0"/>
    <m/>
    <n v="0"/>
    <n v="0"/>
    <n v="-7377712.3098019995"/>
    <n v="-1"/>
    <n v="0.10721433301361773"/>
    <e v="#DIV/0!"/>
    <n v="-1"/>
  </r>
  <r>
    <x v="295"/>
    <n v="43242417"/>
    <n v="4636206.8965517245"/>
    <n v="3.4383881858008974E-2"/>
    <m/>
    <x v="295"/>
    <n v="6124530.4343229504"/>
    <n v="4867953.0287912004"/>
    <n v="1256577.4055317501"/>
    <n v="3461017"/>
    <m/>
    <n v="26515.517241379301"/>
    <m/>
    <n v="97029"/>
    <m/>
    <n v="4241"/>
    <m/>
    <n v="151103"/>
    <m/>
    <n v="627269"/>
    <m/>
    <n v="217360"/>
    <m/>
    <n v="37546"/>
    <m/>
    <n v="11591"/>
    <m/>
    <n v="2535.3793103448302"/>
    <m/>
    <n v="0"/>
    <m/>
    <n v="0"/>
    <n v="0"/>
    <n v="-6124530.4343229504"/>
    <n v="-1"/>
    <n v="8.4929141839281991E-2"/>
    <e v="#DIV/0!"/>
    <n v="-1"/>
  </r>
  <r>
    <x v="296"/>
    <n v="42069566"/>
    <n v="3572932.1379310349"/>
    <n v="2.6498229966543843E-2"/>
    <m/>
    <x v="296"/>
    <n v="4725181.9509325605"/>
    <n v="3683283.0781274401"/>
    <n v="1041898.87280512"/>
    <n v="2656715"/>
    <m/>
    <n v="22585.344827586199"/>
    <m/>
    <n v="27735"/>
    <m/>
    <n v="1495"/>
    <m/>
    <n v="121228"/>
    <m/>
    <n v="505230"/>
    <m/>
    <n v="186135"/>
    <m/>
    <n v="27757"/>
    <m/>
    <n v="5852"/>
    <m/>
    <n v="17338.586206896602"/>
    <m/>
    <n v="861.20689655172396"/>
    <m/>
    <n v="0"/>
    <n v="0"/>
    <n v="-4725181.9509325605"/>
    <n v="-1"/>
    <n v="5.3434890227021067E-2"/>
    <e v="#DIV/0!"/>
    <n v="-1"/>
  </r>
  <r>
    <x v="297"/>
    <n v="52693132"/>
    <n v="2815651.7241379311"/>
    <n v="2.0881949057981995E-2"/>
    <m/>
    <x v="297"/>
    <n v="3733752.2378137349"/>
    <n v="2771986.6099905199"/>
    <n v="961765.62782321498"/>
    <n v="2019623"/>
    <m/>
    <n v="28975"/>
    <m/>
    <n v="-2410"/>
    <m/>
    <n v="41"/>
    <m/>
    <n v="83407"/>
    <m/>
    <n v="490357"/>
    <m/>
    <n v="162629"/>
    <m/>
    <n v="25730"/>
    <m/>
    <n v="6748"/>
    <m/>
    <n v="551.72413793103499"/>
    <m/>
    <n v="0"/>
    <m/>
    <n v="0"/>
    <n v="0"/>
    <n v="-3733752.2378137349"/>
    <n v="-1"/>
    <n v="6.9850905135859662E-2"/>
    <e v="#DIV/0!"/>
    <n v="-1"/>
  </r>
  <r>
    <x v="298"/>
    <n v="50632279"/>
    <n v="3536710.5172413792"/>
    <n v="2.6229596587083348E-2"/>
    <m/>
    <x v="298"/>
    <n v="4681022.4112888705"/>
    <n v="3597380.65696972"/>
    <n v="1083641.75431915"/>
    <n v="2657024"/>
    <m/>
    <n v="30806.034482758601"/>
    <m/>
    <n v="-4552"/>
    <m/>
    <n v="130"/>
    <m/>
    <n v="80354"/>
    <m/>
    <n v="573146"/>
    <m/>
    <n v="162092"/>
    <m/>
    <n v="29698"/>
    <m/>
    <n v="3328"/>
    <m/>
    <n v="3048.2758620689701"/>
    <m/>
    <n v="1636.2068965517201"/>
    <m/>
    <n v="0"/>
    <n v="0"/>
    <n v="-4681022.4112888705"/>
    <n v="-1"/>
    <n v="0.17410433865774438"/>
    <e v="#DIV/0!"/>
    <n v="-1"/>
  </r>
  <r>
    <x v="299"/>
    <n v="27179504"/>
    <n v="4732069.5689655179"/>
    <n v="3.5094836066139862E-2"/>
    <m/>
    <x v="299"/>
    <n v="6238996.0183507893"/>
    <n v="5126502.1740799397"/>
    <n v="1112493.8442708501"/>
    <n v="3776827"/>
    <m/>
    <n v="29792.241379310301"/>
    <m/>
    <n v="64916"/>
    <m/>
    <n v="3260"/>
    <m/>
    <n v="63746"/>
    <m/>
    <n v="549556"/>
    <m/>
    <n v="173311"/>
    <m/>
    <n v="35148"/>
    <m/>
    <n v="7879"/>
    <m/>
    <n v="26773.120689655199"/>
    <m/>
    <n v="861.20689655172396"/>
    <m/>
    <n v="0"/>
    <n v="0"/>
    <n v="-6238996.0183507893"/>
    <n v="-1"/>
    <n v="0.15125872381941793"/>
    <e v="#DIV/0!"/>
    <n v="-1"/>
  </r>
  <r>
    <x v="300"/>
    <n v="30046512"/>
    <n v="4544797.0603448264"/>
    <n v="3.3705951584634936E-2"/>
    <m/>
    <x v="300"/>
    <n v="5972355.2516823364"/>
    <n v="5179593.4218156897"/>
    <n v="792761.82986664702"/>
    <n v="3810274"/>
    <m/>
    <n v="28745.689655172398"/>
    <m/>
    <n v="-671"/>
    <m/>
    <n v="2634"/>
    <m/>
    <n v="138347"/>
    <m/>
    <n v="371112"/>
    <m/>
    <n v="145967"/>
    <m/>
    <n v="36008"/>
    <m/>
    <n v="9114"/>
    <m/>
    <n v="682.75"/>
    <m/>
    <n v="2583.6206896551698"/>
    <m/>
    <n v="0"/>
    <n v="0"/>
    <n v="-5972355.2516823364"/>
    <n v="-1"/>
    <n v="0.13241817960794397"/>
    <e v="#DIV/0!"/>
    <n v="-1"/>
  </r>
  <r>
    <x v="301"/>
    <n v="32503062"/>
    <n v="4303996.3017241387"/>
    <n v="3.1920081147771805E-2"/>
    <m/>
    <x v="301"/>
    <n v="5667398.9249175191"/>
    <n v="4756204.5172217404"/>
    <n v="911194.40769577899"/>
    <n v="3411835"/>
    <m/>
    <n v="32697.413793103398"/>
    <m/>
    <n v="103284"/>
    <m/>
    <n v="6626"/>
    <m/>
    <n v="99610"/>
    <m/>
    <n v="451504"/>
    <m/>
    <n v="161597"/>
    <m/>
    <n v="29605"/>
    <m/>
    <n v="6174"/>
    <m/>
    <n v="1063.8879310344801"/>
    <m/>
    <n v="0"/>
    <m/>
    <n v="0"/>
    <n v="0"/>
    <n v="-5667398.9249175191"/>
    <n v="-1"/>
    <n v="8.5811165338737158E-2"/>
    <e v="#DIV/0!"/>
    <n v="-1"/>
  </r>
  <r>
    <x v="302"/>
    <n v="36140823"/>
    <n v="3101286.1379310344"/>
    <n v="2.3000323012722548E-2"/>
    <m/>
    <x v="302"/>
    <n v="4087894.046608422"/>
    <n v="3372708.1321647498"/>
    <n v="715185.91444367205"/>
    <n v="2388298"/>
    <m/>
    <n v="26326.724137931"/>
    <m/>
    <n v="50337"/>
    <m/>
    <n v="4122"/>
    <m/>
    <n v="122069"/>
    <m/>
    <n v="313708"/>
    <m/>
    <n v="168402"/>
    <m/>
    <n v="24166"/>
    <m/>
    <n v="3722"/>
    <m/>
    <n v="135.413793103448"/>
    <m/>
    <n v="0"/>
    <m/>
    <n v="0"/>
    <n v="0"/>
    <n v="-4087894.046608422"/>
    <n v="-1"/>
    <n v="9.2823990611015622E-2"/>
    <e v="#DIV/0!"/>
    <n v="-1"/>
  </r>
  <r>
    <x v="303"/>
    <n v="37148684"/>
    <n v="3448289.0948275863"/>
    <n v="2.5573829532283827E-2"/>
    <m/>
    <x v="303"/>
    <n v="4562047.2741711605"/>
    <n v="3532671.2875747802"/>
    <n v="1029375.98659638"/>
    <n v="2518660"/>
    <m/>
    <n v="25826.724137931"/>
    <m/>
    <n v="91252"/>
    <m/>
    <n v="2632"/>
    <m/>
    <n v="75677"/>
    <m/>
    <n v="539551"/>
    <m/>
    <n v="143470"/>
    <m/>
    <n v="48956"/>
    <m/>
    <n v="2157"/>
    <m/>
    <n v="-667.62931034482699"/>
    <m/>
    <n v="775"/>
    <m/>
    <n v="0"/>
    <n v="0"/>
    <n v="-4562047.2741711605"/>
    <n v="-1"/>
    <n v="6.1332516268645478E-2"/>
    <e v="#DIV/0!"/>
    <n v="-1"/>
  </r>
  <r>
    <x v="304"/>
    <n v="38306116"/>
    <n v="2349410.4827586208"/>
    <n v="1.3946712552076792E-2"/>
    <m/>
    <x v="304"/>
    <n v="3110331.7005311521"/>
    <n v="2352862.0725459899"/>
    <n v="757469.62798516196"/>
    <n v="1683835"/>
    <m/>
    <n v="24736.206896551699"/>
    <m/>
    <n v="-1342"/>
    <m/>
    <n v="3614"/>
    <m/>
    <n v="101714"/>
    <m/>
    <n v="370351"/>
    <m/>
    <n v="133732"/>
    <m/>
    <n v="24368"/>
    <m/>
    <n v="7154"/>
    <m/>
    <n v="1248.2758620689699"/>
    <m/>
    <n v="0"/>
    <m/>
    <n v="0"/>
    <n v="0"/>
    <n v="-3110331.7005311521"/>
    <n v="-1"/>
    <n v="7.8516705556695016E-2"/>
    <e v="#DIV/0!"/>
    <n v="-1"/>
  </r>
  <r>
    <x v="305"/>
    <n v="39057895"/>
    <n v="3066697.2413793104"/>
    <n v="1.8204713575443062E-2"/>
    <m/>
    <x v="305"/>
    <n v="4033364.4534092778"/>
    <n v="3376787.98777891"/>
    <n v="656576.46563036798"/>
    <n v="2484015"/>
    <m/>
    <n v="31896.551724137898"/>
    <m/>
    <n v="5110"/>
    <m/>
    <n v="809"/>
    <m/>
    <n v="79521"/>
    <m/>
    <n v="252270"/>
    <m/>
    <n v="160805"/>
    <m/>
    <n v="44223"/>
    <m/>
    <n v="6928"/>
    <m/>
    <n v="1119.6896551724101"/>
    <m/>
    <n v="0"/>
    <m/>
    <n v="0"/>
    <n v="0"/>
    <n v="-4033364.4534092778"/>
    <n v="-1"/>
    <n v="0.12197507161805875"/>
    <e v="#DIV/0!"/>
    <n v="-1"/>
  </r>
  <r>
    <x v="306"/>
    <n v="34119561"/>
    <n v="4161735.8965517241"/>
    <n v="2.4705148245833294E-2"/>
    <m/>
    <x v="306"/>
    <n v="5498447.4894344397"/>
    <n v="4296459.3403919199"/>
    <n v="1201988.14904252"/>
    <n v="3169867"/>
    <m/>
    <n v="37387.068965517203"/>
    <m/>
    <n v="28365"/>
    <m/>
    <n v="5684"/>
    <m/>
    <n v="68529"/>
    <m/>
    <n v="675820"/>
    <m/>
    <n v="143167"/>
    <m/>
    <n v="26685"/>
    <m/>
    <n v="6387"/>
    <m/>
    <n v="-155.172413793103"/>
    <m/>
    <n v="0"/>
    <m/>
    <n v="0"/>
    <n v="0"/>
    <n v="-5498447.4894344397"/>
    <n v="-1"/>
    <n v="0.17724419127264734"/>
    <e v="#DIV/0!"/>
    <n v="-1"/>
  </r>
  <r>
    <x v="307"/>
    <n v="36354046"/>
    <n v="6443543.4827586198"/>
    <n v="3.8250552396158322E-2"/>
    <m/>
    <x v="307"/>
    <n v="8464575.10752251"/>
    <n v="7210871.9391162703"/>
    <n v="1253703.1684062399"/>
    <n v="5275115"/>
    <m/>
    <n v="48925.8620689655"/>
    <m/>
    <n v="61590"/>
    <m/>
    <n v="4784"/>
    <m/>
    <n v="164572"/>
    <m/>
    <n v="705965"/>
    <m/>
    <n v="121452"/>
    <m/>
    <n v="50681"/>
    <m/>
    <n v="6631"/>
    <m/>
    <n v="2450.03448275862"/>
    <m/>
    <n v="1377.58620689655"/>
    <m/>
    <n v="0"/>
    <n v="0"/>
    <n v="-8464575.10752251"/>
    <n v="-1"/>
    <n v="0.14833522180735395"/>
    <e v="#DIV/0!"/>
    <n v="-1"/>
  </r>
  <r>
    <x v="308"/>
    <n v="40657652"/>
    <n v="6030961.8275862075"/>
    <n v="3.5801360230218335E-2"/>
    <m/>
    <x v="308"/>
    <n v="7942244.7131025996"/>
    <n v="6523038.8478428498"/>
    <n v="1419205.86525975"/>
    <n v="4794794"/>
    <m/>
    <n v="47206.896551724101"/>
    <m/>
    <n v="52913"/>
    <m/>
    <n v="9080"/>
    <m/>
    <n v="121112"/>
    <m/>
    <n v="807271"/>
    <m/>
    <n v="136768"/>
    <m/>
    <n v="42494"/>
    <m/>
    <n v="12012"/>
    <m/>
    <n v="7310.93103448276"/>
    <m/>
    <n v="0"/>
    <m/>
    <n v="0"/>
    <n v="0"/>
    <n v="-7942244.7131025996"/>
    <n v="-1"/>
    <n v="0.1053779513559948"/>
    <e v="#DIV/0!"/>
    <n v="-1"/>
  </r>
  <r>
    <x v="309"/>
    <n v="45608200"/>
    <n v="4806098.6810344821"/>
    <n v="2.8530253564970551E-2"/>
    <m/>
    <x v="309"/>
    <n v="6325493.9024184505"/>
    <n v="5240958.0038128104"/>
    <n v="1084535.89860564"/>
    <n v="3788708"/>
    <m/>
    <n v="42858.620689655101"/>
    <m/>
    <n v="75396"/>
    <m/>
    <n v="1642"/>
    <m/>
    <n v="128834"/>
    <m/>
    <n v="597718"/>
    <m/>
    <n v="113410"/>
    <m/>
    <n v="31381"/>
    <m/>
    <n v="18407"/>
    <m/>
    <n v="7744.0603448275897"/>
    <m/>
    <n v="0"/>
    <m/>
    <n v="0"/>
    <n v="0"/>
    <n v="-6325493.9024184505"/>
    <n v="-1"/>
    <n v="9.5761168337127792E-2"/>
    <e v="#DIV/0!"/>
    <n v="-1"/>
  </r>
  <r>
    <x v="310"/>
    <n v="47127819"/>
    <n v="4513015.0086206896"/>
    <n v="2.6790432549077793E-2"/>
    <m/>
    <x v="310"/>
    <n v="5936196.4154814631"/>
    <n v="4962288.8243266204"/>
    <n v="973907.59115484299"/>
    <n v="3647018"/>
    <m/>
    <n v="44673.275862069"/>
    <m/>
    <n v="12603"/>
    <m/>
    <n v="6822"/>
    <m/>
    <n v="111646"/>
    <m/>
    <n v="548934"/>
    <m/>
    <n v="88083"/>
    <m/>
    <n v="26380"/>
    <m/>
    <n v="13005"/>
    <m/>
    <n v="13850.732758620699"/>
    <m/>
    <n v="0"/>
    <m/>
    <n v="0"/>
    <n v="0"/>
    <n v="-5936196.4154814631"/>
    <n v="-1"/>
    <n v="6.4292534381886979E-2"/>
    <e v="#DIV/0!"/>
    <n v="-1"/>
  </r>
  <r>
    <x v="311"/>
    <n v="65744526"/>
    <n v="4226882.1982758623"/>
    <n v="2.509187366084489E-2"/>
    <m/>
    <x v="311"/>
    <n v="5583045.0453190198"/>
    <n v="4380659.2656452497"/>
    <n v="1202385.7796737701"/>
    <n v="3186164"/>
    <m/>
    <n v="55446.551724137898"/>
    <m/>
    <n v="74700"/>
    <m/>
    <n v="1403"/>
    <m/>
    <n v="56983"/>
    <m/>
    <n v="714555"/>
    <m/>
    <n v="94071"/>
    <m/>
    <n v="34042"/>
    <m/>
    <n v="8377"/>
    <m/>
    <n v="1140.64655172414"/>
    <m/>
    <n v="0"/>
    <m/>
    <n v="0"/>
    <n v="0"/>
    <n v="-5583045.0453190198"/>
    <n v="-1"/>
    <n v="6.0114361707572443E-2"/>
    <e v="#DIV/0!"/>
    <n v="-1"/>
  </r>
  <r>
    <x v="312"/>
    <n v="67492039"/>
    <n v="4057240.8448275859"/>
    <n v="2.4084838402063567E-2"/>
    <m/>
    <x v="312"/>
    <n v="5365303.1581960004"/>
    <n v="4132063.5598633499"/>
    <n v="1233239.59833265"/>
    <n v="2924037"/>
    <m/>
    <n v="54995.689655172398"/>
    <m/>
    <n v="1732"/>
    <m/>
    <n v="3073"/>
    <m/>
    <n v="199350"/>
    <m/>
    <n v="711297"/>
    <m/>
    <n v="107725"/>
    <m/>
    <n v="34480"/>
    <m/>
    <n v="17056"/>
    <m/>
    <n v="1686.53448275862"/>
    <m/>
    <n v="1808.6206896551701"/>
    <m/>
    <n v="0"/>
    <n v="0"/>
    <n v="-5365303.1581960004"/>
    <n v="-1"/>
    <n v="0.17611712843177682"/>
    <e v="#DIV/0!"/>
    <n v="-1"/>
  </r>
  <r>
    <x v="313"/>
    <n v="40411989"/>
    <n v="7117243.4568965519"/>
    <n v="4.2249810914240217E-2"/>
    <m/>
    <x v="313"/>
    <n v="9370083.8270121608"/>
    <n v="7728985.2910984801"/>
    <n v="1641098.53591368"/>
    <n v="5697624"/>
    <m/>
    <n v="67562.068965517203"/>
    <m/>
    <n v="81533"/>
    <m/>
    <n v="4644"/>
    <m/>
    <n v="102759"/>
    <m/>
    <n v="901540"/>
    <m/>
    <n v="162599"/>
    <m/>
    <n v="39109"/>
    <m/>
    <n v="22528"/>
    <m/>
    <n v="35709.181034482797"/>
    <m/>
    <n v="1636.2068965517201"/>
    <m/>
    <n v="0"/>
    <n v="0"/>
    <n v="-9370083.8270121608"/>
    <n v="-1"/>
    <n v="0.15945379925058437"/>
    <e v="#DIV/0!"/>
    <n v="-1"/>
  </r>
  <r>
    <x v="314"/>
    <n v="45078912"/>
    <n v="7188003.7844827585"/>
    <n v="4.2669862648995763E-2"/>
    <m/>
    <x v="314"/>
    <n v="9495929.8588947915"/>
    <n v="7429839.5055282405"/>
    <n v="2066090.3533665501"/>
    <n v="5483822"/>
    <m/>
    <n v="68879.310344827594"/>
    <m/>
    <n v="48671"/>
    <m/>
    <n v="3768"/>
    <m/>
    <n v="118531"/>
    <m/>
    <n v="1226151"/>
    <m/>
    <n v="160872"/>
    <m/>
    <n v="41738"/>
    <m/>
    <n v="20120"/>
    <m/>
    <n v="13470.4396551724"/>
    <m/>
    <n v="1981.03448275862"/>
    <m/>
    <n v="0"/>
    <n v="0"/>
    <n v="-9495929.8588947915"/>
    <n v="-1"/>
    <n v="0.12992657618915429"/>
    <e v="#DIV/0!"/>
    <n v="-1"/>
  </r>
  <r>
    <x v="315"/>
    <n v="48292081"/>
    <n v="6274424.7413793104"/>
    <n v="3.7246619498737706E-2"/>
    <m/>
    <x v="315"/>
    <n v="8272997.5277931001"/>
    <n v="6669805.0466117198"/>
    <n v="1603192.4811813801"/>
    <n v="4822707"/>
    <m/>
    <n v="67868.103448275797"/>
    <m/>
    <n v="98985"/>
    <m/>
    <n v="4095"/>
    <m/>
    <n v="144514"/>
    <m/>
    <n v="868042"/>
    <m/>
    <n v="187197"/>
    <m/>
    <n v="46378"/>
    <m/>
    <n v="28094"/>
    <m/>
    <n v="6544.6379310344801"/>
    <m/>
    <n v="0"/>
    <m/>
    <n v="0"/>
    <n v="0"/>
    <n v="-8272997.5277931001"/>
    <n v="-1"/>
    <n v="0.11452765452777235"/>
    <e v="#DIV/0!"/>
    <n v="-1"/>
  </r>
  <r>
    <x v="316"/>
    <n v="65809693"/>
    <n v="7537029.7844827585"/>
    <n v="4.4741771892154301E-2"/>
    <m/>
    <x v="316"/>
    <n v="9958097.8704865705"/>
    <n v="7778224.1211139001"/>
    <n v="2179873.74937267"/>
    <n v="5687818"/>
    <m/>
    <n v="65544.827586206899"/>
    <m/>
    <n v="82830"/>
    <m/>
    <n v="4235"/>
    <m/>
    <n v="151626"/>
    <m/>
    <n v="1184601"/>
    <m/>
    <n v="265899"/>
    <m/>
    <n v="62519"/>
    <m/>
    <n v="25374"/>
    <m/>
    <n v="2707.9568965517301"/>
    <m/>
    <n v="3875"/>
    <m/>
    <n v="0"/>
    <n v="0"/>
    <n v="-9958097.8704865705"/>
    <n v="-1"/>
    <n v="0.10664807746096908"/>
    <e v="#DIV/0!"/>
    <n v="-1"/>
  </r>
  <r>
    <x v="317"/>
    <n v="75117979"/>
    <n v="8011188.0431034481"/>
    <n v="4.7556498814378331E-2"/>
    <m/>
    <x v="317"/>
    <n v="10598196.073287521"/>
    <n v="8110785.4693160597"/>
    <n v="2487410.6039714599"/>
    <n v="5897136"/>
    <m/>
    <n v="73120.689655172406"/>
    <m/>
    <n v="58945"/>
    <m/>
    <n v="7484"/>
    <m/>
    <n v="211561"/>
    <m/>
    <n v="1342849"/>
    <m/>
    <n v="347316"/>
    <m/>
    <n v="17568"/>
    <m/>
    <n v="34059"/>
    <m/>
    <n v="18479.525862069"/>
    <m/>
    <n v="2669.8275862068999"/>
    <m/>
    <n v="0"/>
    <n v="0"/>
    <n v="-10598196.073287521"/>
    <n v="-1"/>
    <n v="7.1044674116166731E-2"/>
    <e v="#DIV/0!"/>
    <n v="-1"/>
  </r>
  <r>
    <x v="318"/>
    <n v="87981274"/>
    <n v="6250600.9396551726"/>
    <n v="3.7105195206566299E-2"/>
    <m/>
    <x v="318"/>
    <n v="8281975.1424713098"/>
    <n v="6179898.0675442601"/>
    <n v="2102077.0749270502"/>
    <n v="4408030"/>
    <m/>
    <n v="69456.034482758594"/>
    <m/>
    <n v="25308"/>
    <m/>
    <n v="1153"/>
    <m/>
    <n v="256816"/>
    <m/>
    <n v="1108972"/>
    <m/>
    <n v="362812"/>
    <m/>
    <n v="-2259"/>
    <m/>
    <n v="12703"/>
    <m/>
    <n v="3562.4913793103501"/>
    <m/>
    <n v="4047.4137931034502"/>
    <m/>
    <n v="0"/>
    <n v="0"/>
    <n v="-8281975.1424713098"/>
    <n v="-1"/>
    <n v="6.8283459955625625E-2"/>
    <e v="#DIV/0!"/>
    <n v="-1"/>
  </r>
  <r>
    <x v="319"/>
    <n v="90614671"/>
    <n v="6187483.2586206906"/>
    <n v="3.6730512212342151E-2"/>
    <m/>
    <x v="319"/>
    <n v="8152312.3388383891"/>
    <n v="6646980.4645995097"/>
    <n v="1505331.8742388799"/>
    <n v="4732740"/>
    <m/>
    <n v="78706.896551724101"/>
    <m/>
    <n v="23936"/>
    <m/>
    <n v="4170"/>
    <m/>
    <n v="281033"/>
    <m/>
    <n v="434970"/>
    <m/>
    <n v="457126"/>
    <m/>
    <n v="158214"/>
    <m/>
    <n v="13795"/>
    <m/>
    <n v="1069.94827586207"/>
    <m/>
    <n v="1722.41379310345"/>
    <m/>
    <n v="0"/>
    <n v="0"/>
    <n v="-8152312.3388383891"/>
    <n v="-1"/>
    <n v="0.10441891513293554"/>
    <e v="#DIV/0!"/>
    <n v="-1"/>
  </r>
  <r>
    <x v="320"/>
    <n v="92083785"/>
    <n v="9615288.931034483"/>
    <n v="5.7078859488549114E-2"/>
    <m/>
    <x v="320"/>
    <n v="12714274.281289689"/>
    <n v="9804142.3963300195"/>
    <n v="2910131.8849596698"/>
    <n v="7301102"/>
    <m/>
    <n v="73426.724137931"/>
    <m/>
    <n v="16174"/>
    <m/>
    <n v="2385"/>
    <m/>
    <n v="159658"/>
    <m/>
    <n v="1473035"/>
    <m/>
    <n v="390070"/>
    <m/>
    <n v="88451"/>
    <m/>
    <n v="106398"/>
    <m/>
    <n v="886.62068965517301"/>
    <m/>
    <n v="3702.5862068965498"/>
    <m/>
    <n v="0"/>
    <n v="0"/>
    <n v="-12714274.281289689"/>
    <n v="-1"/>
    <n v="0.16021420753121948"/>
    <e v="#DIV/0!"/>
    <n v="-1"/>
  </r>
  <r>
    <x v="321"/>
    <n v="39600628"/>
    <n v="6344583.2327586208"/>
    <n v="3.7663098577015115E-2"/>
    <m/>
    <x v="321"/>
    <n v="8386418.3696318399"/>
    <n v="6503811.6308371797"/>
    <n v="1882606.73879466"/>
    <n v="4720959"/>
    <m/>
    <n v="47643.965517241399"/>
    <m/>
    <n v="95259"/>
    <m/>
    <n v="-1341"/>
    <m/>
    <n v="147773"/>
    <m/>
    <n v="932318"/>
    <m/>
    <n v="326265"/>
    <m/>
    <n v="34579"/>
    <m/>
    <n v="35129"/>
    <m/>
    <n v="5998.2672413793098"/>
    <m/>
    <n v="0"/>
    <m/>
    <n v="0"/>
    <n v="0"/>
    <n v="-8386418.3696318399"/>
    <n v="-1"/>
    <n v="0.13850719600983555"/>
    <e v="#DIV/0!"/>
    <n v="-1"/>
  </r>
  <r>
    <x v="322"/>
    <n v="44043429"/>
    <n v="6100331.8534482755"/>
    <n v="3.6213158771822018E-2"/>
    <m/>
    <x v="322"/>
    <n v="8086775.2394312397"/>
    <n v="5986412.6311157104"/>
    <n v="2100362.6083155298"/>
    <n v="4242519"/>
    <m/>
    <n v="49587.068965517203"/>
    <m/>
    <n v="76524"/>
    <m/>
    <n v="2601"/>
    <m/>
    <n v="240478"/>
    <m/>
    <n v="1127916"/>
    <m/>
    <n v="278096"/>
    <m/>
    <n v="37316"/>
    <m/>
    <n v="34950"/>
    <m/>
    <n v="5866.3362068965498"/>
    <m/>
    <n v="4478.4482758620697"/>
    <m/>
    <n v="0"/>
    <n v="0"/>
    <n v="-8086775.2394312397"/>
    <n v="-1"/>
    <n v="9.3308248291307808E-2"/>
    <e v="#DIV/0!"/>
    <n v="-1"/>
  </r>
  <r>
    <x v="323"/>
    <n v="45264544"/>
    <n v="4223555.3103448274"/>
    <n v="2.5072124387566497E-2"/>
    <m/>
    <x v="323"/>
    <n v="5561961.8076369297"/>
    <n v="4569174.5399318105"/>
    <n v="992787.26770511898"/>
    <n v="3180652"/>
    <m/>
    <n v="40595.689655172398"/>
    <m/>
    <n v="49953"/>
    <m/>
    <n v="6804"/>
    <m/>
    <n v="241917"/>
    <m/>
    <n v="322746"/>
    <m/>
    <n v="305105"/>
    <m/>
    <n v="24957"/>
    <m/>
    <n v="45711"/>
    <m/>
    <n v="2272.3793103448302"/>
    <m/>
    <n v="2842.2413793103501"/>
    <m/>
    <n v="0"/>
    <n v="0"/>
    <n v="-5561961.8076369297"/>
    <n v="-1"/>
    <n v="7.8852145747983951E-2"/>
    <e v="#DIV/0!"/>
    <n v="-1"/>
  </r>
  <r>
    <x v="324"/>
    <n v="48516289"/>
    <n v="3825613.4913793104"/>
    <n v="2.2709838102435941E-2"/>
    <m/>
    <x v="324"/>
    <n v="5057961.3563756002"/>
    <n v="3908096.51238397"/>
    <n v="1149864.84399163"/>
    <n v="2745907"/>
    <m/>
    <n v="33519.827586206899"/>
    <m/>
    <n v="17150"/>
    <m/>
    <n v="7339"/>
    <m/>
    <n v="206736"/>
    <m/>
    <n v="475176"/>
    <m/>
    <n v="235742"/>
    <m/>
    <n v="25815"/>
    <m/>
    <n v="62744"/>
    <m/>
    <n v="14709.6637931035"/>
    <m/>
    <n v="775"/>
    <m/>
    <n v="0"/>
    <n v="0"/>
    <n v="-5057961.3563756002"/>
    <n v="-1"/>
    <n v="9.6721207255750855E-2"/>
    <e v="#DIV/0!"/>
    <n v="-1"/>
  </r>
  <r>
    <x v="325"/>
    <n v="62976306"/>
    <n v="6091144.3448275859"/>
    <n v="3.6158619327675147E-2"/>
    <m/>
    <x v="325"/>
    <n v="8261030.5790344095"/>
    <n v="3832948.4360700799"/>
    <n v="4428082.1429643296"/>
    <n v="2622616"/>
    <m/>
    <n v="47146.551724137898"/>
    <m/>
    <n v="58779"/>
    <m/>
    <n v="5619"/>
    <m/>
    <n v="218600"/>
    <m/>
    <n v="2828747"/>
    <m/>
    <n v="232232"/>
    <m/>
    <n v="32234"/>
    <m/>
    <n v="42932"/>
    <m/>
    <n v="0"/>
    <m/>
    <n v="2238.7931034482799"/>
    <m/>
    <n v="0"/>
    <n v="0"/>
    <n v="-8261030.5790344095"/>
    <n v="-1"/>
    <n v="5.3332503329828654E-2"/>
    <e v="#DIV/0!"/>
    <n v="-1"/>
  </r>
  <r>
    <x v="326"/>
    <n v="64339155"/>
    <n v="3431368.1982758618"/>
    <n v="2.0369495357618127E-2"/>
    <m/>
    <x v="326"/>
    <n v="4486178.6751943501"/>
    <n v="4086669.89572642"/>
    <n v="399508.77946793003"/>
    <n v="2912051"/>
    <m/>
    <n v="50568.103448275797"/>
    <m/>
    <n v="-4265"/>
    <m/>
    <n v="1723"/>
    <m/>
    <n v="188141"/>
    <m/>
    <n v="-35352"/>
    <m/>
    <n v="235657"/>
    <m/>
    <n v="30424"/>
    <m/>
    <n v="50063"/>
    <m/>
    <n v="635.68103448275895"/>
    <m/>
    <n v="1722.41379310345"/>
    <m/>
    <n v="0"/>
    <n v="0"/>
    <n v="-4486178.6751943501"/>
    <n v="-1"/>
    <n v="0.17890553497733533"/>
    <e v="#DIV/0!"/>
    <n v="-1"/>
  </r>
  <r>
    <x v="327"/>
    <n v="34296937"/>
    <n v="6135911.862068966"/>
    <n v="3.6424370970147842E-2"/>
    <m/>
    <x v="327"/>
    <n v="8145394.5805129893"/>
    <n v="5889585.7384903599"/>
    <n v="2255808.8420226299"/>
    <n v="4329304"/>
    <m/>
    <n v="41142.241379310297"/>
    <m/>
    <n v="88047"/>
    <m/>
    <n v="6720"/>
    <m/>
    <n v="71904"/>
    <m/>
    <n v="1270753"/>
    <m/>
    <n v="227520"/>
    <m/>
    <n v="42479"/>
    <m/>
    <n v="30741"/>
    <m/>
    <n v="26526.620689655199"/>
    <m/>
    <n v="775"/>
    <m/>
    <n v="0"/>
    <n v="0"/>
    <n v="-8145394.5805129893"/>
    <n v="-1"/>
    <n v="0.14404502982535219"/>
    <e v="#DIV/0!"/>
    <n v="-1"/>
  </r>
  <r>
    <x v="328"/>
    <n v="41221018"/>
    <n v="5937682.7672413802"/>
    <n v="3.5247631432588383E-2"/>
    <m/>
    <x v="328"/>
    <n v="7878997.6218831399"/>
    <n v="5736683.0662500998"/>
    <n v="2142314.5556330401"/>
    <n v="4166212"/>
    <m/>
    <n v="42426.724137931"/>
    <m/>
    <n v="58241"/>
    <m/>
    <n v="1526"/>
    <m/>
    <n v="150921"/>
    <m/>
    <n v="1227377"/>
    <m/>
    <n v="207275"/>
    <m/>
    <n v="45350"/>
    <m/>
    <n v="31920"/>
    <m/>
    <n v="5486.6293103448297"/>
    <m/>
    <n v="947.41379310344803"/>
    <m/>
    <n v="0"/>
    <n v="0"/>
    <n v="-7878997.6218831399"/>
    <n v="-1"/>
    <n v="0.13321215599143663"/>
    <e v="#DIV/0!"/>
    <n v="-1"/>
  </r>
  <r>
    <x v="329"/>
    <n v="45570391"/>
    <n v="6070530.0344827594"/>
    <n v="3.6036247412274042E-2"/>
    <m/>
    <x v="329"/>
    <n v="8060819.3982962798"/>
    <n v="5801306.0511934701"/>
    <n v="2259513.3471028102"/>
    <n v="4117696"/>
    <m/>
    <n v="37900.8620689655"/>
    <m/>
    <n v="90470"/>
    <m/>
    <n v="6491"/>
    <m/>
    <n v="216552"/>
    <m/>
    <n v="1254318"/>
    <m/>
    <n v="277281"/>
    <m/>
    <n v="43933"/>
    <m/>
    <n v="18743"/>
    <m/>
    <n v="6197.7586206896603"/>
    <m/>
    <n v="947.41379310344803"/>
    <m/>
    <n v="0"/>
    <n v="0"/>
    <n v="-8060819.3982962798"/>
    <n v="-1"/>
    <n v="0.10258856545620262"/>
    <e v="#DIV/0!"/>
    <n v="-1"/>
  </r>
  <r>
    <x v="330"/>
    <n v="50030169"/>
    <n v="5132523.2672413792"/>
    <n v="3.0467994929098931E-2"/>
    <m/>
    <x v="330"/>
    <n v="6814130.4330856297"/>
    <n v="4918086.4037961299"/>
    <n v="1896044.0292895001"/>
    <n v="3604392"/>
    <m/>
    <n v="43066.379310344797"/>
    <m/>
    <n v="49493"/>
    <m/>
    <n v="2376"/>
    <m/>
    <n v="89383"/>
    <m/>
    <n v="885777"/>
    <m/>
    <n v="367182"/>
    <m/>
    <n v="52085"/>
    <m/>
    <n v="32521"/>
    <m/>
    <n v="7195.3017241379303"/>
    <m/>
    <n v="-947.41379310344803"/>
    <m/>
    <n v="0"/>
    <n v="0"/>
    <n v="-6814130.4330856297"/>
    <n v="-1"/>
    <n v="0.11336835928654444"/>
    <e v="#DIV/0!"/>
    <n v="-1"/>
  </r>
  <r>
    <x v="331"/>
    <n v="61473070"/>
    <n v="6969101.0862068962"/>
    <n v="4.1370399216729671E-2"/>
    <m/>
    <x v="331"/>
    <n v="9340018.4454301596"/>
    <n v="5670568.62085634"/>
    <n v="3669449.82457382"/>
    <n v="4096929"/>
    <m/>
    <n v="54208.620689655203"/>
    <m/>
    <n v="68087"/>
    <m/>
    <n v="4812"/>
    <m/>
    <n v="144358"/>
    <m/>
    <n v="1726586"/>
    <m/>
    <n v="740810"/>
    <m/>
    <n v="72416"/>
    <m/>
    <n v="40806"/>
    <m/>
    <n v="18624.672413793101"/>
    <m/>
    <n v="1463.7931034482799"/>
    <m/>
    <n v="0"/>
    <n v="0"/>
    <n v="-9340018.4454301596"/>
    <n v="-1"/>
    <n v="6.9067686931212319E-2"/>
    <e v="#DIV/0!"/>
    <n v="-1"/>
  </r>
  <r>
    <x v="332"/>
    <n v="71412130"/>
    <n v="4932270.6379310349"/>
    <n v="2.9279243163800921E-2"/>
    <m/>
    <x v="332"/>
    <n v="6636601.8939045798"/>
    <n v="3710141.5736314901"/>
    <n v="2926460.3202730902"/>
    <n v="2657112"/>
    <m/>
    <n v="46651.724137931"/>
    <m/>
    <n v="33620"/>
    <m/>
    <n v="-301"/>
    <m/>
    <n v="121072"/>
    <m/>
    <n v="1566964"/>
    <m/>
    <n v="376748"/>
    <m/>
    <n v="87941"/>
    <m/>
    <n v="21084"/>
    <m/>
    <n v="21378.9137931035"/>
    <m/>
    <n v="0"/>
    <m/>
    <n v="0"/>
    <n v="0"/>
    <n v="-6636601.8939045798"/>
    <n v="-1"/>
    <n v="7.0656751132996715E-2"/>
    <e v="#DIV/0!"/>
    <n v="-1"/>
  </r>
  <r>
    <x v="333"/>
    <n v="76776183"/>
    <n v="5424755.6551724132"/>
    <n v="3.2202762498576856E-2"/>
    <m/>
    <x v="333"/>
    <n v="7227302.4975645505"/>
    <n v="4908324.4997209003"/>
    <n v="2318977.9978436502"/>
    <n v="3541686"/>
    <m/>
    <n v="50855.172413793101"/>
    <m/>
    <n v="-6179"/>
    <m/>
    <n v="2597"/>
    <m/>
    <n v="192231"/>
    <m/>
    <n v="1294466"/>
    <m/>
    <n v="250269"/>
    <m/>
    <n v="68872"/>
    <m/>
    <n v="26453"/>
    <m/>
    <n v="2816.6896551724099"/>
    <m/>
    <n v="688.79310344827604"/>
    <m/>
    <n v="0"/>
    <n v="0"/>
    <n v="-7227302.4975645505"/>
    <n v="-1"/>
    <n v="0.15851760098190079"/>
    <e v="#DIV/0!"/>
    <n v="-1"/>
  </r>
  <r>
    <x v="334"/>
    <n v="44076818"/>
    <n v="6986951.4482758623"/>
    <n v="3.718505903657026E-2"/>
    <m/>
    <x v="334"/>
    <n v="9106665.4773930795"/>
    <n v="6659548.1180451997"/>
    <n v="2447117.3593478799"/>
    <n v="4957610"/>
    <m/>
    <n v="38026.724137931"/>
    <m/>
    <n v="2176"/>
    <m/>
    <n v="2708"/>
    <m/>
    <n v="131176"/>
    <m/>
    <n v="1425540"/>
    <m/>
    <n v="251615"/>
    <m/>
    <n v="71926"/>
    <m/>
    <n v="87429"/>
    <m/>
    <n v="17280.931034482801"/>
    <m/>
    <n v="1463.7931034482799"/>
    <m/>
    <n v="0"/>
    <n v="0"/>
    <n v="-9106665.4773930795"/>
    <n v="-1"/>
    <n v="0.15767581007759246"/>
    <e v="#DIV/0!"/>
    <n v="-1"/>
  </r>
  <r>
    <x v="335"/>
    <n v="48777721"/>
    <n v="7691066.6724137934"/>
    <n v="4.0932410992848389E-2"/>
    <m/>
    <x v="335"/>
    <n v="10021756.19968288"/>
    <n v="7491595.7081994703"/>
    <n v="2530160.4914834099"/>
    <n v="5378786"/>
    <m/>
    <n v="44301.724137931"/>
    <m/>
    <n v="199752"/>
    <m/>
    <n v="8853"/>
    <m/>
    <n v="141161"/>
    <m/>
    <n v="1473812"/>
    <m/>
    <n v="201559"/>
    <m/>
    <n v="90442"/>
    <m/>
    <n v="143542"/>
    <m/>
    <n v="7307.9482758620697"/>
    <m/>
    <n v="1550"/>
    <m/>
    <n v="0"/>
    <n v="0"/>
    <n v="-10021756.19968288"/>
    <n v="-1"/>
    <n v="0.12371209374293493"/>
    <e v="#DIV/0!"/>
    <n v="-1"/>
  </r>
  <r>
    <x v="336"/>
    <n v="53214752"/>
    <n v="6583308.387931034"/>
    <n v="3.5036841585835268E-2"/>
    <m/>
    <x v="336"/>
    <n v="8581631.7941627502"/>
    <n v="6209763.7643569903"/>
    <n v="2371868.0298057599"/>
    <n v="4538987"/>
    <m/>
    <n v="41768.103448275899"/>
    <m/>
    <n v="-1295"/>
    <m/>
    <n v="7445"/>
    <m/>
    <n v="198198"/>
    <m/>
    <n v="1463021"/>
    <m/>
    <n v="179885"/>
    <m/>
    <n v="54687"/>
    <m/>
    <n v="79303"/>
    <m/>
    <n v="19759.284482758601"/>
    <m/>
    <n v="1550"/>
    <m/>
    <n v="0"/>
    <n v="0"/>
    <n v="-8581631.7941627502"/>
    <n v="-1"/>
    <n v="0.110556972094325"/>
    <e v="#DIV/0!"/>
    <n v="-1"/>
  </r>
  <r>
    <x v="337"/>
    <n v="60436653"/>
    <n v="6681693.3591954028"/>
    <n v="3.5560453491808884E-2"/>
    <m/>
    <x v="337"/>
    <n v="8720531.61314697"/>
    <n v="5653395.1349199796"/>
    <n v="3067136.47822699"/>
    <n v="3922857"/>
    <m/>
    <n v="43610.057471264401"/>
    <m/>
    <n v="173906"/>
    <m/>
    <n v="5606"/>
    <m/>
    <n v="210399"/>
    <m/>
    <n v="1926958"/>
    <m/>
    <n v="174968"/>
    <m/>
    <n v="92776"/>
    <m/>
    <n v="116168"/>
    <m/>
    <n v="13497.8879310345"/>
    <m/>
    <n v="947.41379310344803"/>
    <m/>
    <n v="0"/>
    <n v="0"/>
    <n v="-8720531.61314697"/>
    <n v="-1"/>
    <n v="9.1394059989951412E-2"/>
    <e v="#DIV/0!"/>
    <n v="-1"/>
  </r>
  <r>
    <x v="338"/>
    <n v="60693345"/>
    <n v="5547011.2139208177"/>
    <n v="2.95215933577243E-2"/>
    <m/>
    <x v="338"/>
    <n v="7240010.9238516204"/>
    <n v="4669198.65739433"/>
    <n v="2570812.2664572899"/>
    <n v="3411915"/>
    <m/>
    <n v="50703.575989782898"/>
    <m/>
    <n v="-24113"/>
    <m/>
    <n v="-438"/>
    <m/>
    <n v="159911"/>
    <m/>
    <n v="1631283"/>
    <m/>
    <n v="157380"/>
    <m/>
    <n v="62080"/>
    <m/>
    <n v="82359"/>
    <m/>
    <n v="14983.224137931"/>
    <m/>
    <n v="947.41379310344803"/>
    <m/>
    <n v="0"/>
    <n v="0"/>
    <n v="-7240010.9238516204"/>
    <n v="-1"/>
    <n v="6.5983539802911148E-2"/>
    <e v="#DIV/0!"/>
    <n v="-1"/>
  </r>
  <r>
    <x v="339"/>
    <n v="79744108"/>
    <n v="5261798.5242656451"/>
    <n v="2.800367087302982E-2"/>
    <m/>
    <x v="339"/>
    <n v="6871184.3849720396"/>
    <n v="4219709.1117787901"/>
    <n v="2651475.2731932499"/>
    <n v="3024346"/>
    <m/>
    <n v="56625.127713920803"/>
    <m/>
    <n v="72012"/>
    <m/>
    <n v="2160"/>
    <m/>
    <n v="96469"/>
    <m/>
    <n v="1700937"/>
    <m/>
    <n v="135278"/>
    <m/>
    <n v="74970"/>
    <m/>
    <n v="95661"/>
    <m/>
    <n v="3340.39655172414"/>
    <m/>
    <n v="0"/>
    <m/>
    <n v="0"/>
    <n v="0"/>
    <n v="-6871184.3849720396"/>
    <n v="-1"/>
    <n v="7.0008407482111942E-2"/>
    <e v="#DIV/0!"/>
    <n v="-1"/>
  </r>
  <r>
    <x v="340"/>
    <n v="90362378"/>
    <n v="6326126.180076628"/>
    <n v="3.3668099344956882E-2"/>
    <m/>
    <x v="340"/>
    <n v="8260183.3157518897"/>
    <n v="5126059.2782656197"/>
    <n v="3134124.0374862701"/>
    <n v="3620613"/>
    <m/>
    <n v="54843.007662835204"/>
    <m/>
    <n v="85835"/>
    <m/>
    <n v="2936"/>
    <m/>
    <n v="185798"/>
    <m/>
    <n v="1934319"/>
    <m/>
    <n v="233864"/>
    <m/>
    <n v="92460"/>
    <m/>
    <n v="115028"/>
    <m/>
    <n v="430.172413793104"/>
    <m/>
    <n v="0"/>
    <m/>
    <n v="0"/>
    <n v="0"/>
    <n v="-8260183.3157518897"/>
    <n v="-1"/>
    <n v="0.1637269582896744"/>
    <e v="#DIV/0!"/>
    <n v="-1"/>
  </r>
  <r>
    <x v="341"/>
    <n v="51770672"/>
    <n v="8476254.6551724151"/>
    <n v="4.5111238012018495E-2"/>
    <m/>
    <x v="341"/>
    <n v="11048605.67883426"/>
    <n v="8029724.9303178396"/>
    <n v="3018880.7485164199"/>
    <n v="5946618"/>
    <m/>
    <n v="48381.896551724101"/>
    <m/>
    <n v="16084"/>
    <m/>
    <n v="8369"/>
    <m/>
    <n v="168071"/>
    <m/>
    <n v="1704520"/>
    <m/>
    <n v="319874"/>
    <m/>
    <n v="110203"/>
    <m/>
    <n v="125518"/>
    <m/>
    <n v="27668.344827586199"/>
    <m/>
    <n v="947.41379310344803"/>
    <m/>
    <n v="0"/>
    <n v="0"/>
    <n v="-11048605.67883426"/>
    <n v="-1"/>
    <n v="0.14667852484588231"/>
    <e v="#DIV/0!"/>
    <n v="-1"/>
  </r>
  <r>
    <x v="342"/>
    <n v="58970219"/>
    <n v="8649664.7327586208"/>
    <n v="4.6034138939599796E-2"/>
    <m/>
    <x v="342"/>
    <n v="11274150.919565121"/>
    <n v="8223918.3371270504"/>
    <n v="3050232.5824380699"/>
    <n v="6085695"/>
    <m/>
    <n v="46312.931034482703"/>
    <m/>
    <n v="50291"/>
    <m/>
    <n v="6649"/>
    <m/>
    <n v="148217"/>
    <m/>
    <n v="1686373"/>
    <m/>
    <n v="385223"/>
    <m/>
    <n v="96804"/>
    <m/>
    <n v="119084"/>
    <m/>
    <n v="25015.801724137898"/>
    <m/>
    <n v="0"/>
    <m/>
    <n v="0"/>
    <n v="0"/>
    <n v="-11274150.919565121"/>
    <n v="-1"/>
    <n v="0.1220932438054229"/>
    <e v="#DIV/0!"/>
    <n v="-1"/>
  </r>
  <r>
    <x v="343"/>
    <n v="66302976"/>
    <n v="8095145.4137931028"/>
    <n v="4.3082947169440895E-2"/>
    <m/>
    <x v="343"/>
    <n v="10554981.21780456"/>
    <n v="7477135.9718751898"/>
    <n v="3077845.2459293702"/>
    <n v="5484191"/>
    <m/>
    <n v="52041.379310344797"/>
    <m/>
    <n v="112954"/>
    <m/>
    <n v="4560"/>
    <m/>
    <n v="107965"/>
    <m/>
    <n v="1680477"/>
    <m/>
    <n v="410059"/>
    <m/>
    <n v="100505"/>
    <m/>
    <n v="119493"/>
    <m/>
    <n v="22211.241379310399"/>
    <m/>
    <n v="688.79310344827604"/>
    <m/>
    <n v="0"/>
    <n v="0"/>
    <n v="-10554981.21780456"/>
    <n v="-1"/>
    <n v="0.12828590531200632"/>
    <e v="#DIV/0!"/>
    <n v="-1"/>
  </r>
  <r>
    <x v="344"/>
    <n v="68556369"/>
    <n v="8794815.8620689642"/>
    <n v="4.6806643708322909E-2"/>
    <m/>
    <x v="344"/>
    <n v="11461586.5777383"/>
    <n v="8469034.9160715099"/>
    <n v="2992551.66166679"/>
    <n v="6211860"/>
    <m/>
    <n v="49136.206896551703"/>
    <m/>
    <n v="53115"/>
    <m/>
    <n v="4450"/>
    <m/>
    <n v="207485"/>
    <m/>
    <n v="1665235"/>
    <m/>
    <n v="400482"/>
    <m/>
    <n v="84857"/>
    <m/>
    <n v="100371"/>
    <m/>
    <n v="17824.655172413801"/>
    <m/>
    <n v="0"/>
    <m/>
    <n v="0"/>
    <n v="0"/>
    <n v="-11461586.5777383"/>
    <n v="-1"/>
    <n v="8.346433843313196E-2"/>
    <e v="#DIV/0!"/>
    <n v="-1"/>
  </r>
  <r>
    <x v="345"/>
    <n v="77482550"/>
    <n v="6467029.7758620689"/>
    <n v="3.4417998434214128E-2"/>
    <m/>
    <x v="345"/>
    <n v="8442164.1292602494"/>
    <n v="5362171.2237663995"/>
    <n v="3079992.9054938499"/>
    <n v="3784370"/>
    <m/>
    <n v="54965.517241379297"/>
    <m/>
    <n v="67282"/>
    <m/>
    <n v="3570"/>
    <m/>
    <n v="221780"/>
    <m/>
    <n v="1763567"/>
    <m/>
    <n v="363270"/>
    <m/>
    <n v="90425"/>
    <m/>
    <n v="114050"/>
    <m/>
    <n v="3750.2586206896599"/>
    <m/>
    <n v="0"/>
    <m/>
    <n v="0"/>
    <n v="0"/>
    <n v="-8442164.1292602494"/>
    <n v="-1"/>
    <n v="5.5650374375691078E-2"/>
    <e v="#DIV/0!"/>
    <n v="-1"/>
  </r>
  <r>
    <x v="346"/>
    <n v="92327737"/>
    <n v="5138073.1293103453"/>
    <n v="2.7345195406326656E-2"/>
    <m/>
    <x v="346"/>
    <n v="6704338.5773267001"/>
    <n v="4442155.4196366798"/>
    <n v="2262183.1576900198"/>
    <n v="3236267"/>
    <m/>
    <n v="59461.206896551703"/>
    <m/>
    <n v="-5517"/>
    <m/>
    <n v="1235"/>
    <m/>
    <n v="131578"/>
    <m/>
    <n v="1165862"/>
    <m/>
    <n v="332613"/>
    <m/>
    <n v="91573"/>
    <m/>
    <n v="125582"/>
    <m/>
    <n v="-581.07758620689697"/>
    <m/>
    <n v="0"/>
    <m/>
    <n v="0"/>
    <n v="0"/>
    <n v="-6704338.5773267001"/>
    <n v="-1"/>
    <n v="4.8594738625632079E-2"/>
    <e v="#DIV/0!"/>
    <n v="-1"/>
  </r>
  <r>
    <x v="347"/>
    <n v="104292228"/>
    <n v="5068053.5603448274"/>
    <n v="2.6972546215191875E-2"/>
    <m/>
    <x v="347"/>
    <n v="6590839.4665274341"/>
    <n v="5730779.3602097398"/>
    <n v="860060.10631769395"/>
    <n v="4186498"/>
    <m/>
    <n v="63377.5862068965"/>
    <m/>
    <n v="-2176"/>
    <m/>
    <n v="4620"/>
    <m/>
    <n v="163689"/>
    <m/>
    <n v="3655"/>
    <m/>
    <n v="400332"/>
    <m/>
    <n v="101596"/>
    <m/>
    <n v="147093"/>
    <m/>
    <n v="-631.02586206896603"/>
    <m/>
    <n v="0"/>
    <m/>
    <n v="0"/>
    <n v="0"/>
    <n v="-6590839.4665274341"/>
    <n v="-1"/>
    <n v="0.14440148476815795"/>
    <e v="#DIV/0!"/>
    <n v="-1"/>
  </r>
  <r>
    <x v="348"/>
    <n v="65616616"/>
    <n v="9475136.7758620698"/>
    <n v="5.0427360630501128E-2"/>
    <m/>
    <x v="348"/>
    <n v="12364960.58185959"/>
    <n v="8102268.9720883202"/>
    <n v="4262691.6097712703"/>
    <n v="5911164"/>
    <m/>
    <n v="55170.689655172398"/>
    <m/>
    <n v="96597"/>
    <m/>
    <n v="5578"/>
    <m/>
    <n v="174915"/>
    <m/>
    <n v="2393939"/>
    <m/>
    <n v="492432"/>
    <m/>
    <n v="136733"/>
    <m/>
    <n v="186165"/>
    <m/>
    <n v="22443.086206896602"/>
    <m/>
    <n v="0"/>
    <m/>
    <n v="0"/>
    <n v="0"/>
    <n v="-12364960.58185959"/>
    <n v="-1"/>
    <n v="0.16264674791345135"/>
    <e v="#DIV/0!"/>
    <n v="-1"/>
  </r>
  <r>
    <x v="349"/>
    <n v="77580854"/>
    <n v="12618273.603448274"/>
    <n v="6.7155361298468066E-2"/>
    <m/>
    <x v="349"/>
    <n v="16491338.05188093"/>
    <n v="9289696.4170294795"/>
    <n v="7201641.6348514501"/>
    <n v="6852617"/>
    <m/>
    <n v="56310.344827586203"/>
    <m/>
    <n v="109047"/>
    <m/>
    <n v="2019"/>
    <m/>
    <n v="138436"/>
    <m/>
    <n v="4615472"/>
    <m/>
    <n v="570628"/>
    <m/>
    <n v="102615"/>
    <m/>
    <n v="148024"/>
    <m/>
    <n v="22071.6379310345"/>
    <m/>
    <n v="1033.6206896551701"/>
    <m/>
    <n v="0"/>
    <n v="0"/>
    <n v="-16491338.05188093"/>
    <n v="-1"/>
    <n v="0.11495336783884401"/>
    <e v="#DIV/0!"/>
    <n v="-1"/>
  </r>
  <r>
    <x v="350"/>
    <n v="80887423"/>
    <n v="9298281.6896551717"/>
    <n v="4.9486125118818267E-2"/>
    <m/>
    <x v="350"/>
    <n v="12140564.735394981"/>
    <n v="7561054.78128119"/>
    <n v="4579509.9541137898"/>
    <n v="5512521"/>
    <m/>
    <n v="51579.310344827602"/>
    <m/>
    <n v="78025"/>
    <m/>
    <n v="134"/>
    <m/>
    <n v="184118"/>
    <m/>
    <n v="2496155"/>
    <m/>
    <n v="626379"/>
    <m/>
    <n v="144053"/>
    <m/>
    <n v="183327"/>
    <m/>
    <n v="21990.379310344801"/>
    <m/>
    <n v="0"/>
    <m/>
    <n v="0"/>
    <n v="0"/>
    <n v="-12140564.735394981"/>
    <n v="-1"/>
    <n v="8.3796062506301991E-2"/>
    <e v="#DIV/0!"/>
    <n v="-1"/>
  </r>
  <r>
    <x v="351"/>
    <n v="89154537"/>
    <n v="7470799.1551724132"/>
    <n v="3.9760131395216343E-2"/>
    <m/>
    <x v="351"/>
    <n v="9743710.1453950405"/>
    <n v="6730248.0431377003"/>
    <n v="3013462.1022573402"/>
    <n v="4907692"/>
    <m/>
    <n v="57534.482758620703"/>
    <m/>
    <n v="25079"/>
    <m/>
    <n v="0"/>
    <m/>
    <n v="195871"/>
    <m/>
    <n v="1595724"/>
    <m/>
    <n v="465815"/>
    <m/>
    <n v="88159"/>
    <m/>
    <n v="123030"/>
    <m/>
    <n v="12842.0862068966"/>
    <m/>
    <n v="-947.41379310344803"/>
    <m/>
    <n v="0"/>
    <n v="0"/>
    <n v="-9743710.1453950405"/>
    <n v="-1"/>
    <n v="6.442840868649688E-2"/>
    <e v="#DIV/0!"/>
    <n v="-1"/>
  </r>
  <r>
    <x v="352"/>
    <n v="93901132"/>
    <n v="6049900.5086206896"/>
    <n v="3.2198006418657825E-2"/>
    <m/>
    <x v="352"/>
    <n v="7881734.6451879498"/>
    <n v="5985567.1027632495"/>
    <n v="1896167.5424247"/>
    <n v="4233630"/>
    <m/>
    <n v="55192.241379310297"/>
    <m/>
    <n v="61571"/>
    <m/>
    <n v="1807"/>
    <m/>
    <n v="260142"/>
    <m/>
    <n v="910724"/>
    <m/>
    <n v="311790"/>
    <m/>
    <n v="88213"/>
    <m/>
    <n v="121448"/>
    <m/>
    <n v="5383.2672413793098"/>
    <m/>
    <n v="0"/>
    <m/>
    <n v="0"/>
    <n v="0"/>
    <n v="-7881734.6451879498"/>
    <n v="-1"/>
    <n v="4.7993648997108257E-2"/>
    <e v="#DIV/0!"/>
    <n v="-1"/>
  </r>
  <r>
    <x v="353"/>
    <n v="109415421"/>
    <n v="5251245.3103448274"/>
    <n v="2.7947505908155475E-2"/>
    <m/>
    <x v="353"/>
    <n v="6854030.7340119798"/>
    <n v="4416810.0697513102"/>
    <n v="2437220.6642606701"/>
    <n v="3162185"/>
    <m/>
    <n v="56364.655172413797"/>
    <m/>
    <n v="11112"/>
    <m/>
    <n v="6379"/>
    <m/>
    <n v="167453"/>
    <m/>
    <n v="1460290"/>
    <m/>
    <n v="236261"/>
    <m/>
    <n v="60838"/>
    <m/>
    <n v="88123"/>
    <m/>
    <n v="2239.6551724137898"/>
    <m/>
    <n v="0"/>
    <m/>
    <n v="0"/>
    <n v="0"/>
    <n v="-6854030.7340119798"/>
    <n v="-1"/>
    <n v="3.6739346674946223E-2"/>
    <e v="#DIV/0!"/>
    <n v="-1"/>
  </r>
  <r>
    <x v="354"/>
    <n v="127581576"/>
    <n v="4687263.7499999991"/>
    <n v="2.4945955407595675E-2"/>
    <m/>
    <x v="354"/>
    <n v="6106597.1445624493"/>
    <n v="4632019.4705554498"/>
    <n v="1474577.6740069999"/>
    <n v="3267153"/>
    <m/>
    <n v="67824.137931034493"/>
    <m/>
    <n v="8034"/>
    <m/>
    <n v="4687"/>
    <m/>
    <n v="221631"/>
    <m/>
    <n v="682525"/>
    <m/>
    <n v="246073"/>
    <m/>
    <n v="84110"/>
    <m/>
    <n v="101881"/>
    <m/>
    <n v="2570.6120689655199"/>
    <m/>
    <n v="775"/>
    <m/>
    <n v="0"/>
    <n v="0"/>
    <n v="-6106597.1445624493"/>
    <n v="-1"/>
    <n v="5.8856925811919772E-2"/>
    <e v="#DIV/0!"/>
    <n v="-1"/>
  </r>
  <r>
    <x v="355"/>
    <n v="111476439"/>
    <n v="6561160.5"/>
    <n v="3.4918968930450774E-2"/>
    <m/>
    <x v="355"/>
    <n v="8574536.6079675406"/>
    <n v="4861628.01719655"/>
    <n v="3712908.5907709901"/>
    <n v="3485137"/>
    <m/>
    <n v="49748.275862069"/>
    <m/>
    <n v="47955"/>
    <m/>
    <n v="5639"/>
    <m/>
    <n v="157781"/>
    <m/>
    <n v="2394236"/>
    <m/>
    <n v="262249"/>
    <m/>
    <n v="63093"/>
    <m/>
    <n v="90524"/>
    <m/>
    <n v="4798.2241379310399"/>
    <m/>
    <n v="0"/>
    <m/>
    <n v="0"/>
    <n v="0"/>
    <n v="-8574536.6079675406"/>
    <n v="-1"/>
    <n v="3.6723276356476924E-2"/>
    <e v="#DIV/0!"/>
    <n v="-1"/>
  </r>
  <r>
    <x v="356"/>
    <n v="111875362"/>
    <n v="4108429.8362068967"/>
    <n v="2.1865359611831715E-2"/>
    <m/>
    <x v="356"/>
    <n v="5347551.7033749828"/>
    <n v="4360918.6119045001"/>
    <n v="986633.09147048299"/>
    <n v="3161304"/>
    <m/>
    <n v="49668.965517241399"/>
    <m/>
    <n v="40624"/>
    <m/>
    <n v="2572"/>
    <m/>
    <n v="106256"/>
    <m/>
    <n v="434393"/>
    <m/>
    <n v="198282"/>
    <m/>
    <n v="42615"/>
    <m/>
    <n v="57674"/>
    <m/>
    <n v="15040.870689655199"/>
    <m/>
    <n v="0"/>
    <m/>
    <n v="0"/>
    <n v="0"/>
    <n v="-5347551.7033749828"/>
    <n v="-1"/>
    <n v="4.149018268199136E-2"/>
    <e v="#DIV/0!"/>
    <n v="-1"/>
  </r>
  <r>
    <x v="357"/>
    <n v="53918132"/>
    <n v="2237073.1465517241"/>
    <n v="1.1905864473150047E-2"/>
    <m/>
    <x v="357"/>
    <n v="2911968.3938946808"/>
    <n v="2363376.4382297499"/>
    <n v="548591.95566493098"/>
    <n v="1627852"/>
    <m/>
    <n v="28223.275862069"/>
    <m/>
    <n v="5195"/>
    <m/>
    <n v="3081"/>
    <m/>
    <n v="156813"/>
    <m/>
    <n v="160817"/>
    <m/>
    <n v="185477"/>
    <m/>
    <n v="29110"/>
    <m/>
    <n v="38376"/>
    <m/>
    <n v="2128.8706896551698"/>
    <m/>
    <n v="0"/>
    <m/>
    <n v="0"/>
    <n v="0"/>
    <n v="-2911968.3938946808"/>
    <n v="-1"/>
    <n v="1.0154091726609291"/>
    <e v="#DIV/0!"/>
    <n v="-1"/>
  </r>
  <r>
    <x v="358"/>
    <n v="2799799"/>
    <n v="2842941.5862068967"/>
    <n v="1.5130339963463028E-2"/>
    <m/>
    <x v="358"/>
    <n v="3715710.5043031201"/>
    <n v="2083625.5491528299"/>
    <n v="1632084.9551502899"/>
    <n v="1583968"/>
    <m/>
    <n v="20177.586206896602"/>
    <m/>
    <n v="-301"/>
    <m/>
    <n v="875"/>
    <m/>
    <n v="875"/>
    <m/>
    <n v="937342"/>
    <m/>
    <n v="208467"/>
    <m/>
    <n v="42593"/>
    <m/>
    <n v="48945"/>
    <m/>
    <n v="0"/>
    <m/>
    <n v="0"/>
    <m/>
    <n v="0"/>
    <n v="0"/>
    <n v="-3715710.5043031201"/>
    <n v="-1"/>
    <n v="7.7717782168641808E-2"/>
    <e v="#DIV/0!"/>
    <n v="-1"/>
  </r>
  <r>
    <x v="359"/>
    <n v="53118932"/>
    <n v="4128285.5862068967"/>
    <n v="2.1971033343992481E-2"/>
    <m/>
    <x v="359"/>
    <n v="5383194.09358921"/>
    <n v="3784792.4418557999"/>
    <n v="1598401.6517334101"/>
    <n v="2721769"/>
    <m/>
    <n v="46586.206896551703"/>
    <m/>
    <n v="3089"/>
    <m/>
    <n v="3108"/>
    <m/>
    <n v="141923"/>
    <m/>
    <n v="871637"/>
    <m/>
    <n v="261080"/>
    <m/>
    <n v="31394"/>
    <m/>
    <n v="47183"/>
    <m/>
    <n v="516.37931034482801"/>
    <m/>
    <n v="0"/>
    <m/>
    <n v="0"/>
    <n v="0"/>
    <n v="-5383194.09358921"/>
    <n v="-1"/>
    <n v="5.7728269867496684E-2"/>
    <e v="#DIV/0!"/>
    <n v="-1"/>
  </r>
  <r>
    <x v="360"/>
    <n v="58987154"/>
    <n v="3405226.3448275863"/>
    <n v="1.8122859962987788E-2"/>
    <m/>
    <x v="360"/>
    <n v="4438762.4189326297"/>
    <n v="3218090.7775387201"/>
    <n v="1220671.6413939099"/>
    <n v="2337835"/>
    <m/>
    <n v="29682.758620689699"/>
    <m/>
    <n v="28710"/>
    <m/>
    <n v="1996"/>
    <m/>
    <n v="81564"/>
    <m/>
    <n v="580797"/>
    <m/>
    <n v="266643"/>
    <m/>
    <n v="33335"/>
    <m/>
    <n v="43286"/>
    <m/>
    <n v="1377.58620689655"/>
    <m/>
    <n v="0"/>
    <m/>
    <n v="0"/>
    <n v="0"/>
    <n v="-4438762.4189326297"/>
    <n v="-1"/>
    <n v="5.1796928950863928E-2"/>
    <e v="#DIV/0!"/>
    <n v="-1"/>
  </r>
  <r>
    <x v="361"/>
    <n v="66407159"/>
    <n v="3439686.8965517241"/>
    <n v="1.8306261502240084E-2"/>
    <m/>
    <x v="361"/>
    <n v="4484247.6234333599"/>
    <n v="3216197.5709312102"/>
    <n v="1268050.0525021499"/>
    <n v="2361733"/>
    <m/>
    <n v="46006.896551724101"/>
    <m/>
    <n v="-1939"/>
    <m/>
    <n v="5572"/>
    <m/>
    <n v="66956"/>
    <m/>
    <n v="557576"/>
    <m/>
    <n v="290065"/>
    <m/>
    <n v="51047"/>
    <m/>
    <n v="62670"/>
    <m/>
    <n v="0"/>
    <m/>
    <n v="0"/>
    <m/>
    <n v="0"/>
    <n v="0"/>
    <n v="-4484247.6234333599"/>
    <n v="-1"/>
    <n v="7.8772924398459912E-2"/>
    <e v="#DIV/0!"/>
    <n v="-1"/>
  </r>
  <r>
    <x v="362"/>
    <n v="64104194"/>
    <n v="5049674.8275862075"/>
    <n v="2.6874733275212843E-2"/>
    <m/>
    <x v="362"/>
    <n v="6590760.6626815703"/>
    <n v="4258011.2181180399"/>
    <n v="2332749.4445635299"/>
    <n v="3160262"/>
    <m/>
    <n v="41125.8620689655"/>
    <m/>
    <n v="-878"/>
    <m/>
    <n v="808"/>
    <m/>
    <n v="79809"/>
    <m/>
    <n v="1453361"/>
    <m/>
    <n v="198633"/>
    <m/>
    <n v="31565"/>
    <m/>
    <n v="46263"/>
    <m/>
    <n v="38725.965517241399"/>
    <m/>
    <n v="0"/>
    <m/>
    <n v="0"/>
    <n v="0"/>
    <n v="-6590760.6626815703"/>
    <n v="-1"/>
    <n v="5.4388240205066843E-2"/>
    <e v="#DIV/0!"/>
    <n v="-1"/>
  </r>
  <r>
    <x v="363"/>
    <n v="68127355"/>
    <n v="3705326.9482758618"/>
    <n v="1.9720016997603822E-2"/>
    <m/>
    <x v="363"/>
    <n v="4826005.1722127907"/>
    <n v="3742016.0053084302"/>
    <n v="1083989.1669043601"/>
    <n v="2661283"/>
    <m/>
    <n v="34689.655172413797"/>
    <m/>
    <n v="41930"/>
    <m/>
    <n v="1066"/>
    <m/>
    <n v="144544"/>
    <m/>
    <n v="638572"/>
    <m/>
    <n v="76225"/>
    <m/>
    <n v="34881"/>
    <m/>
    <n v="48503"/>
    <m/>
    <n v="23633.293103448301"/>
    <m/>
    <n v="0"/>
    <m/>
    <n v="0"/>
    <n v="0"/>
    <n v="-4826005.1722127907"/>
    <n v="-1"/>
    <n v="5.281232545210781E-2"/>
    <e v="#DIV/0!"/>
    <n v="-1"/>
  </r>
  <r>
    <x v="364"/>
    <n v="34102697"/>
    <n v="1801042.7327586208"/>
    <n v="9.5852791937664737E-3"/>
    <m/>
    <x v="364"/>
    <n v="2347533.6577677578"/>
    <n v="1711325.7336611201"/>
    <n v="636207.92410663795"/>
    <n v="1199966"/>
    <m/>
    <n v="21188.793103448301"/>
    <m/>
    <n v="9722"/>
    <m/>
    <n v="473"/>
    <m/>
    <n v="87359"/>
    <m/>
    <n v="353464"/>
    <m/>
    <n v="73566"/>
    <m/>
    <n v="22861"/>
    <m/>
    <n v="29946"/>
    <m/>
    <n v="2496.9396551724099"/>
    <m/>
    <n v="0"/>
    <m/>
    <n v="0"/>
    <n v="0"/>
    <n v="-2347533.6577677578"/>
    <e v="#DIV/0!"/>
    <e v="#DIV/0!"/>
    <e v="#DIV/0!"/>
    <e v="#DIV/0!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n v="-29064"/>
    <n v="-29107"/>
    <n v="-3.3795058862703904E-4"/>
    <n v="1767787"/>
    <x v="0"/>
    <n v="-36578.827797188496"/>
    <n v="-91461.011238662599"/>
    <n v="54882.183441474102"/>
    <n v="-70516"/>
    <n v="1117875"/>
    <n v="0"/>
    <n v="17319"/>
    <n v="-1214"/>
    <n v="0"/>
    <n v="0"/>
    <n v="1884"/>
    <n v="0"/>
    <n v="0"/>
    <n v="-35912"/>
    <n v="511381"/>
    <n v="79921"/>
    <n v="78269"/>
    <n v="-1386"/>
    <n v="31357"/>
    <n v="0"/>
    <n v="7591"/>
    <m/>
    <n v="2016"/>
    <n v="0"/>
    <n v="0"/>
    <n v="1767692"/>
    <n v="-48.325550774917602"/>
    <n v="1804270.8277971884"/>
    <n v="-0.49927091429544146"/>
    <n v="9.9204946942109018E-2"/>
    <n v="0.99994626049405277"/>
    <n v="-0.95032252797750527"/>
  </r>
  <r>
    <n v="35585285"/>
    <n v="3530236.3103448278"/>
    <n v="4.0988265333891542E-2"/>
    <n v="37878399"/>
    <x v="1"/>
    <n v="4512263.3008681601"/>
    <n v="3388095.96883546"/>
    <n v="1124167.3320327001"/>
    <n v="2533552"/>
    <n v="1824628"/>
    <n v="48254.310344827602"/>
    <n v="32072"/>
    <n v="21696"/>
    <n v="15461"/>
    <n v="5984"/>
    <n v="5339"/>
    <n v="47691"/>
    <n v="100874"/>
    <n v="671816"/>
    <n v="906403"/>
    <n v="116771"/>
    <n v="134485"/>
    <n v="84472"/>
    <n v="28403"/>
    <n v="0"/>
    <n v="8334"/>
    <n v="0"/>
    <n v="1412"/>
    <n v="0"/>
    <n v="0"/>
    <n v="3057411"/>
    <n v="0.67757814563076446"/>
    <n v="-1454852.3008681601"/>
    <n v="0.44064509957862086"/>
    <n v="4.7098927499513062E-2"/>
    <n v="8.0716479067660704E-2"/>
    <n v="-0.15936819988512507"/>
  </r>
  <r>
    <n v="45059441"/>
    <n v="2122251.3448275863"/>
    <n v="2.4640673762291131E-2"/>
    <n v="45280774"/>
    <x v="2"/>
    <n v="2715709.2287748121"/>
    <n v="1721884.99003478"/>
    <n v="993824.23874003196"/>
    <n v="1249824"/>
    <n v="1844500"/>
    <n v="33610.344827586203"/>
    <n v="30385"/>
    <n v="21922"/>
    <n v="4998"/>
    <n v="4267"/>
    <n v="903"/>
    <n v="40797"/>
    <n v="60781"/>
    <n v="650641"/>
    <n v="517553"/>
    <n v="73651"/>
    <n v="118746"/>
    <n v="47539"/>
    <n v="27889"/>
    <n v="0"/>
    <n v="13091"/>
    <n v="0"/>
    <n v="688"/>
    <n v="0"/>
    <n v="0"/>
    <n v="2619534"/>
    <n v="0.96458559415869372"/>
    <n v="-96175.228774812073"/>
    <n v="0.99679850842739448"/>
    <n v="2.4863123636672625E-2"/>
    <n v="5.7850910410674521E-2"/>
    <n v="-0.1418173397770226"/>
  </r>
  <r>
    <n v="52763562"/>
    <n v="1311866.9655172415"/>
    <n v="1.5231601099286058E-2"/>
    <n v="49319936"/>
    <x v="3"/>
    <n v="1677704.5316270911"/>
    <n v="1166795.35022248"/>
    <n v="510909.18140461098"/>
    <n v="805491"/>
    <n v="1894237"/>
    <n v="33443.965517241399"/>
    <n v="35794"/>
    <n v="-972"/>
    <n v="2820"/>
    <n v="125"/>
    <n v="1256"/>
    <n v="76993"/>
    <n v="34216"/>
    <n v="272764"/>
    <n v="181111"/>
    <n v="79911"/>
    <n v="111132"/>
    <n v="44111"/>
    <n v="24171"/>
    <n v="0"/>
    <n v="11093"/>
    <n v="0"/>
    <n v="0"/>
    <n v="0"/>
    <n v="0"/>
    <n v="2295830"/>
    <n v="1.3684352379816433"/>
    <n v="618125.46837290889"/>
    <n v="0.25859475988907188"/>
    <n v="3.6651870994486441E-2"/>
    <n v="4.6549735993169174E-2"/>
    <n v="-9.0200988345000566E-3"/>
  </r>
  <r>
    <n v="49768856"/>
    <n v="1824121.6896551724"/>
    <n v="2.1179200836441904E-2"/>
    <n v="42820052"/>
    <x v="4"/>
    <n v="2331411.9850357091"/>
    <n v="1764555.7592998201"/>
    <n v="566856.22573588905"/>
    <n v="1228466"/>
    <n v="2243868"/>
    <n v="26220.689655172398"/>
    <n v="29134"/>
    <n v="6650"/>
    <n v="10063"/>
    <n v="4220"/>
    <n v="4612"/>
    <n v="118329"/>
    <n v="91070"/>
    <n v="311434"/>
    <n v="1061982"/>
    <n v="74826"/>
    <n v="81808"/>
    <n v="53976"/>
    <n v="39071"/>
    <n v="0"/>
    <n v="9717"/>
    <n v="0"/>
    <n v="11108"/>
    <n v="0"/>
    <n v="0"/>
    <n v="3582433"/>
    <n v="1.5365937135924648"/>
    <n v="1251021.0149642909"/>
    <n v="0.14221213563707935"/>
    <n v="0.13734875221439025"/>
    <n v="8.3662509330908796E-2"/>
    <n v="0.87516980841892411"/>
  </r>
  <r>
    <n v="22835293"/>
    <n v="3136399"/>
    <n v="3.6415566297428682E-2"/>
    <n v="22329279"/>
    <x v="5"/>
    <n v="4010122.98131203"/>
    <n v="2882759.7789909402"/>
    <n v="1127363.20232109"/>
    <n v="2147376"/>
    <n v="2374462"/>
    <n v="18700"/>
    <n v="21733"/>
    <n v="36331"/>
    <n v="67853"/>
    <n v="-500"/>
    <n v="-114"/>
    <n v="58951"/>
    <n v="66697"/>
    <n v="714238"/>
    <n v="650825"/>
    <n v="83712"/>
    <n v="87785"/>
    <n v="77591"/>
    <n v="32894"/>
    <n v="0"/>
    <n v="14047"/>
    <n v="0"/>
    <n v="11280"/>
    <n v="0"/>
    <n v="1120"/>
    <n v="3328582"/>
    <n v="0.8300448678287059"/>
    <n v="-681540.98131203"/>
    <n v="0.13904915701476583"/>
    <n v="0.12331394465472259"/>
    <n v="0.14906804648730484"/>
    <n v="-5.7741427374984999E-2"/>
  </r>
  <r>
    <n v="23697613"/>
    <n v="2922246.1379310344"/>
    <n v="3.39291167906993E-2"/>
    <n v="23046004"/>
    <x v="6"/>
    <n v="3730440.5306519461"/>
    <n v="3282709.6617250899"/>
    <n v="447730.86892685603"/>
    <n v="2444768"/>
    <n v="2461726"/>
    <n v="20049.1379310345"/>
    <n v="24949"/>
    <n v="54064"/>
    <n v="16759"/>
    <n v="-344"/>
    <n v="5667"/>
    <n v="55989"/>
    <n v="41847"/>
    <n v="209116"/>
    <n v="438746"/>
    <n v="80417"/>
    <n v="113224"/>
    <n v="58187"/>
    <n v="5778"/>
    <n v="0"/>
    <n v="10555"/>
    <n v="0"/>
    <n v="14781"/>
    <n v="0"/>
    <n v="0"/>
    <n v="3134032"/>
    <n v="0.84012383369968491"/>
    <n v="-596408.53065194609"/>
    <n v="-3.413856918982805E-2"/>
    <n v="0.12075113730590367"/>
    <n v="0.13599025670567444"/>
    <n v="-0.14237336500763365"/>
  </r>
  <r>
    <n v="26871838"/>
    <n v="3244805"/>
    <n v="3.7674228183253493E-2"/>
    <n v="26562197"/>
    <x v="7"/>
    <n v="4145459.9903342789"/>
    <n v="3314567.1934480299"/>
    <n v="830892.79688624898"/>
    <n v="2443314"/>
    <n v="2651325"/>
    <n v="26275"/>
    <n v="23867"/>
    <n v="56169"/>
    <n v="32696"/>
    <n v="3661"/>
    <n v="1757"/>
    <n v="70092"/>
    <n v="21864"/>
    <n v="538812"/>
    <n v="443664"/>
    <n v="68361"/>
    <n v="108455"/>
    <n v="38121"/>
    <n v="25645"/>
    <n v="0"/>
    <n v="3530"/>
    <n v="0"/>
    <n v="21246"/>
    <n v="0"/>
    <n v="947"/>
    <n v="3334996"/>
    <n v="0.80449359245439844"/>
    <n v="-810463.9903342789"/>
    <n v="0.32317466696803576"/>
    <n v="8.9849805819880682E-2"/>
    <n v="0.12555422279264022"/>
    <n v="-5.3102442526272053E-2"/>
  </r>
  <r>
    <n v="28051817"/>
    <n v="2520450.3103448278"/>
    <n v="2.9264014360333865E-2"/>
    <n v="26952477"/>
    <x v="8"/>
    <n v="3216481.4532837071"/>
    <n v="2937064.2735133902"/>
    <n v="279417.17977031699"/>
    <n v="2184366"/>
    <n v="1967914"/>
    <n v="24654.310344827602"/>
    <n v="27977"/>
    <n v="59780"/>
    <n v="732"/>
    <n v="2734"/>
    <n v="3382"/>
    <n v="31913"/>
    <n v="81797"/>
    <n v="73729"/>
    <n v="357183"/>
    <n v="68117"/>
    <n v="88348"/>
    <n v="75157"/>
    <n v="22372"/>
    <n v="0"/>
    <n v="11805"/>
    <n v="0"/>
    <n v="15175"/>
    <n v="0"/>
    <n v="689"/>
    <n v="2577374"/>
    <n v="0.80130230422089266"/>
    <n v="-639107.45328370715"/>
    <n v="0.13099388728805006"/>
    <n v="7.940374639091588E-2"/>
    <n v="9.5626609754643335E-2"/>
    <n v="-6.0876966920436537E-2"/>
  </r>
  <r>
    <n v="28699623"/>
    <n v="2278857.5862068962"/>
    <n v="2.645897078557783E-2"/>
    <n v="35436338"/>
    <x v="9"/>
    <n v="2907315.8971540579"/>
    <n v="2742553.4611221598"/>
    <n v="164762.43603189799"/>
    <n v="2007643"/>
    <n v="1571666"/>
    <n v="26027.5862068965"/>
    <n v="27994"/>
    <n v="69118"/>
    <n v="71315"/>
    <n v="2178"/>
    <n v="-96"/>
    <n v="45932"/>
    <n v="34126"/>
    <n v="27229"/>
    <n v="488987"/>
    <n v="63746"/>
    <n v="120073"/>
    <n v="36984"/>
    <n v="23228"/>
    <n v="0"/>
    <n v="6392"/>
    <n v="0"/>
    <n v="-1487"/>
    <n v="0"/>
    <n v="689"/>
    <n v="2342887"/>
    <n v="0.80585910952897422"/>
    <n v="-564428.89715405786"/>
    <n v="2.4056750193658161E-2"/>
    <n v="5.7045662063983836E-2"/>
    <n v="6.6115381335396448E-2"/>
    <n v="-0.11642352920055743"/>
  </r>
  <r>
    <n v="40105570"/>
    <n v="2287848.7931034481"/>
    <n v="2.656336435630505E-2"/>
    <n v="37766104"/>
    <x v="10"/>
    <n v="2924099.1380594317"/>
    <n v="2213442.91315501"/>
    <n v="710656.22490442195"/>
    <n v="1623013"/>
    <n v="1877762"/>
    <n v="27638.793103448301"/>
    <n v="29948"/>
    <n v="37575"/>
    <n v="-1145"/>
    <n v="943"/>
    <n v="2935"/>
    <n v="46764"/>
    <n v="32600"/>
    <n v="466722"/>
    <n v="182133"/>
    <n v="44669"/>
    <n v="111049"/>
    <n v="40524"/>
    <n v="31695"/>
    <n v="0"/>
    <n v="9041"/>
    <n v="0"/>
    <n v="1612"/>
    <n v="0"/>
    <n v="947"/>
    <n v="2278577"/>
    <n v="0.77924067975074529"/>
    <n v="-645522.13805943169"/>
    <n v="-0.21026597193598584"/>
    <n v="6.94730620038988E-2"/>
    <n v="6.0333917419705244E-2"/>
    <n v="-9.0640166515014831E-2"/>
  </r>
  <r>
    <n v="41530429"/>
    <n v="2885246.068965517"/>
    <n v="3.3499522703842613E-2"/>
    <n v="22002628"/>
    <x v="11"/>
    <n v="3687836.1608523969"/>
    <n v="2770711.5214145798"/>
    <n v="917124.63943781704"/>
    <n v="2046304"/>
    <n v="2815225"/>
    <n v="27737.068965517199"/>
    <n v="28391"/>
    <n v="14675"/>
    <n v="25098"/>
    <n v="-1465"/>
    <n v="689"/>
    <n v="85731"/>
    <n v="78900"/>
    <n v="581035"/>
    <n v="1028542"/>
    <n v="51721"/>
    <n v="130772"/>
    <n v="79508"/>
    <n v="38266"/>
    <n v="0"/>
    <n v="9160"/>
    <n v="0"/>
    <n v="15529"/>
    <n v="0"/>
    <n v="0"/>
    <n v="4170572"/>
    <n v="1.1308994809129549"/>
    <n v="482735.83914760314"/>
    <n v="-1.3654924009407599E-2"/>
    <n v="0.16820643360770607"/>
    <n v="0.18954881207826629"/>
    <n v="-0.124713124182525"/>
  </r>
  <r>
    <n v="25137619"/>
    <n v="4228309.2413793104"/>
    <n v="4.9093331398676845E-2"/>
    <n v="24135120"/>
    <x v="12"/>
    <n v="5407470.0200807396"/>
    <n v="3758578.6426933599"/>
    <n v="1648891.37738738"/>
    <n v="2797894"/>
    <n v="3308864"/>
    <n v="21892.241379310301"/>
    <n v="29276"/>
    <n v="62339"/>
    <n v="24647"/>
    <n v="7660"/>
    <n v="3108"/>
    <n v="57950"/>
    <n v="43565"/>
    <n v="1124689"/>
    <n v="536006"/>
    <n v="34111"/>
    <n v="110255"/>
    <n v="121774"/>
    <n v="39605"/>
    <n v="0"/>
    <n v="8501"/>
    <n v="0"/>
    <n v="11906"/>
    <n v="0"/>
    <n v="0"/>
    <n v="4115733"/>
    <n v="0.76111989242957423"/>
    <n v="-1291737.0200807396"/>
    <n v="1.5798528426369973E-2"/>
    <n v="0.15045566684290435"/>
    <n v="0.17052879786800315"/>
    <n v="-0.10377222566988564"/>
  </r>
  <r>
    <n v="26929672"/>
    <n v="4051721.7586206896"/>
    <n v="4.7043039587688316E-2"/>
    <n v="26317522"/>
    <x v="13"/>
    <n v="5176861.7710896097"/>
    <n v="4086946.3913297802"/>
    <n v="1089915.37975983"/>
    <n v="3014987"/>
    <n v="3212173"/>
    <n v="25132.758620689601"/>
    <n v="27929"/>
    <n v="88823"/>
    <n v="49002"/>
    <n v="264"/>
    <n v="2343"/>
    <n v="76057"/>
    <n v="31865"/>
    <n v="657218"/>
    <n v="514044"/>
    <n v="100302"/>
    <n v="119118"/>
    <n v="88938"/>
    <n v="41245"/>
    <n v="0"/>
    <n v="5948"/>
    <n v="0"/>
    <n v="15693"/>
    <n v="0"/>
    <n v="0"/>
    <n v="4019360"/>
    <n v="0.77640859998354128"/>
    <n v="-1157501.7710896097"/>
    <n v="-1.9482148014491329E-3"/>
    <n v="0.13257363870486771"/>
    <n v="0.15272562515574226"/>
    <n v="-0.13364010365168211"/>
  </r>
  <r>
    <n v="30377124"/>
    <n v="4027205.8620689656"/>
    <n v="4.6758394599528262E-2"/>
    <n v="30903967"/>
    <x v="14"/>
    <n v="5143957.0845599538"/>
    <n v="4222888.4682110501"/>
    <n v="921068.61634890398"/>
    <n v="3145541"/>
    <n v="2833552"/>
    <n v="28275.8620689655"/>
    <n v="36431"/>
    <n v="68859"/>
    <n v="39316"/>
    <n v="5179"/>
    <n v="1033"/>
    <n v="64024"/>
    <n v="49218"/>
    <n v="635340"/>
    <n v="512619"/>
    <n v="1022"/>
    <n v="120851"/>
    <n v="78965"/>
    <n v="38749"/>
    <n v="0"/>
    <n v="11568"/>
    <n v="0"/>
    <n v="6953"/>
    <n v="0"/>
    <n v="947"/>
    <n v="3651237"/>
    <n v="0.70981093737339174"/>
    <n v="-1492720.0845599538"/>
    <n v="-7.9351619519181127E-2"/>
    <n v="0.11528328710943882"/>
    <n v="0.11814784166705847"/>
    <n v="-0.10167320810734404"/>
  </r>
  <r>
    <n v="34401698"/>
    <n v="3965940.8275862071"/>
    <n v="4.6047068991746487E-2"/>
    <n v="32703579"/>
    <x v="15"/>
    <n v="5071028.3538970798"/>
    <n v="3617419.8450337602"/>
    <n v="1453608.5088633201"/>
    <n v="2652789"/>
    <n v="2640237"/>
    <n v="24219.827586206899"/>
    <n v="35873"/>
    <n v="86898"/>
    <n v="-6459"/>
    <n v="9752"/>
    <n v="3002"/>
    <n v="63370"/>
    <n v="52074"/>
    <n v="467016"/>
    <n v="435351"/>
    <n v="578857"/>
    <n v="150561"/>
    <n v="83039"/>
    <n v="53754"/>
    <n v="0"/>
    <n v="6324"/>
    <n v="0"/>
    <n v="8858"/>
    <n v="0"/>
    <n v="947"/>
    <n v="3380522"/>
    <n v="0.66663441102672449"/>
    <n v="-1690506.3538970798"/>
    <n v="0.38939152347505024"/>
    <n v="7.3679759498603212E-2"/>
    <n v="0.10336856403392423"/>
    <n v="-9.6599071895485666E-3"/>
  </r>
  <r>
    <n v="33022574"/>
    <n v="2433095.3103448274"/>
    <n v="2.8249767833054683E-2"/>
    <n v="45086574"/>
    <x v="16"/>
    <n v="3109301.8861852051"/>
    <n v="2398359.80986901"/>
    <n v="710942.07631619496"/>
    <n v="1736223"/>
    <n v="2128824"/>
    <n v="19429.310344827602"/>
    <n v="41848"/>
    <n v="37364"/>
    <n v="39673"/>
    <n v="4728"/>
    <n v="3597"/>
    <n v="83214"/>
    <n v="57603"/>
    <n v="307736"/>
    <n v="457229"/>
    <n v="197102"/>
    <n v="118233"/>
    <n v="47299"/>
    <n v="37402"/>
    <n v="0"/>
    <n v="6671"/>
    <n v="0"/>
    <n v="930"/>
    <n v="0"/>
    <n v="0"/>
    <n v="2892010"/>
    <n v="0.9301155390698328"/>
    <n v="-217291.88618520508"/>
    <n v="-0.14007765440637321"/>
    <n v="7.4387092788570072E-2"/>
    <n v="6.4143485375491166E-2"/>
    <n v="-2.7494929815679026E-3"/>
  </r>
  <r>
    <n v="45210881"/>
    <n v="3363106"/>
    <n v="3.9047777246542986E-2"/>
    <n v="44463837"/>
    <x v="17"/>
    <n v="4296573.7917584404"/>
    <n v="3437831.0841278601"/>
    <n v="858742.70763057994"/>
    <n v="2580220"/>
    <n v="2552466"/>
    <n v="28300"/>
    <n v="37032"/>
    <n v="17517"/>
    <n v="-1059"/>
    <n v="6155"/>
    <n v="2557"/>
    <n v="63991"/>
    <n v="43820"/>
    <n v="488099"/>
    <n v="167676"/>
    <n v="140441"/>
    <n v="113618"/>
    <n v="38383"/>
    <n v="53156"/>
    <n v="0"/>
    <n v="3354"/>
    <n v="0"/>
    <n v="586"/>
    <n v="0"/>
    <n v="0"/>
    <n v="2973206"/>
    <n v="0.69199463202589817"/>
    <n v="-1323367.7917584404"/>
    <n v="0.15947741726666975"/>
    <n v="6.0481443791329512E-2"/>
    <n v="6.6867958336569111E-2"/>
    <n v="4.8736494791087992E-2"/>
  </r>
  <r>
    <n v="42397530"/>
    <n v="2564263.8275862066"/>
    <n v="2.9772716869748951E-2"/>
    <n v="25877600"/>
    <x v="18"/>
    <n v="3274810.033961595"/>
    <n v="2742589.4709522198"/>
    <n v="532220.56300937501"/>
    <n v="2028149"/>
    <n v="3650682"/>
    <n v="25069.827586206899"/>
    <n v="29279"/>
    <n v="22533"/>
    <n v="39416"/>
    <n v="9941"/>
    <n v="1876"/>
    <n v="65234"/>
    <n v="66465"/>
    <n v="193047"/>
    <n v="827888"/>
    <n v="170098"/>
    <n v="129619"/>
    <n v="50192"/>
    <n v="40872"/>
    <n v="0"/>
    <n v="7344"/>
    <n v="0"/>
    <n v="6161"/>
    <n v="0"/>
    <n v="861"/>
    <n v="4800463"/>
    <n v="1.4658752569512545"/>
    <n v="1525652.966038405"/>
    <n v="0.2183948127082882"/>
    <n v="0.16207265010517771"/>
    <n v="0.18550649982996878"/>
    <n v="6.4482788209734965E-2"/>
  </r>
  <r>
    <n v="24310022"/>
    <n v="3939989.6896551722"/>
    <n v="4.5745759947896737E-2"/>
    <n v="26671750"/>
    <x v="19"/>
    <n v="5033500.0450277738"/>
    <n v="4035457.5665356298"/>
    <n v="998042.47849214403"/>
    <n v="3051836"/>
    <n v="3539014"/>
    <n v="24870.689655172398"/>
    <n v="35261"/>
    <n v="62489"/>
    <n v="50393"/>
    <n v="2112"/>
    <n v="1403"/>
    <n v="23575"/>
    <n v="82775"/>
    <n v="601975"/>
    <n v="541048"/>
    <n v="119622"/>
    <n v="103829"/>
    <n v="47661"/>
    <n v="59350"/>
    <n v="5849"/>
    <n v="5233"/>
    <n v="0"/>
    <n v="8443"/>
    <n v="0"/>
    <n v="0"/>
    <n v="4426749"/>
    <n v="0.87945742731697429"/>
    <n v="-606751.04502777383"/>
    <n v="7.2818113938435181E-2"/>
    <n v="0.16321942835556549"/>
    <n v="0.16597144919249768"/>
    <n v="5.5029404987821717E-2"/>
  </r>
  <r>
    <n v="25280575"/>
    <n v="4126281"/>
    <n v="4.7908719304310551E-2"/>
    <n v="28758026"/>
    <x v="20"/>
    <n v="5274251.9281716105"/>
    <n v="3946053.64431941"/>
    <n v="1328198.2838522"/>
    <n v="2969811"/>
    <n v="3499850"/>
    <n v="20875"/>
    <n v="30801"/>
    <n v="56684"/>
    <n v="35803"/>
    <n v="6612"/>
    <n v="5841"/>
    <n v="40784"/>
    <n v="48687"/>
    <n v="884541"/>
    <n v="482866"/>
    <n v="85285"/>
    <n v="118197"/>
    <n v="44091"/>
    <n v="45226"/>
    <n v="17598"/>
    <n v="2767"/>
    <n v="0"/>
    <n v="9702"/>
    <n v="0"/>
    <n v="0"/>
    <n v="4279740"/>
    <n v="0.81144019252103283"/>
    <n v="-994511.92817161046"/>
    <n v="0.23412692754306108"/>
    <n v="0.12693205599114116"/>
    <n v="0.14881897665715998"/>
    <n v="5.2622936844620938E-2"/>
  </r>
  <r>
    <n v="27320349"/>
    <n v="3467828.068965517"/>
    <n v="4.0263666374558166E-2"/>
    <n v="30590251"/>
    <x v="21"/>
    <n v="4428192.7170130024"/>
    <n v="3765420.4664375"/>
    <n v="662772.25057550205"/>
    <n v="2805417"/>
    <n v="2626517"/>
    <n v="19287.068965517199"/>
    <n v="29293"/>
    <n v="90551"/>
    <n v="89330"/>
    <n v="1592"/>
    <n v="878"/>
    <n v="36254"/>
    <n v="73394"/>
    <n v="374553"/>
    <n v="421869"/>
    <n v="69855"/>
    <n v="87416"/>
    <n v="52088"/>
    <n v="44135"/>
    <n v="18231"/>
    <n v="5521"/>
    <n v="0"/>
    <n v="12903"/>
    <n v="0"/>
    <n v="0"/>
    <n v="3391256"/>
    <n v="0.76583297447079979"/>
    <n v="-1036936.7170130024"/>
    <n v="0.46494247318480597"/>
    <n v="8.0202948521850087E-2"/>
    <n v="0.11086067910982489"/>
    <n v="5.9823074400597642E-2"/>
  </r>
  <r>
    <n v="28863545"/>
    <n v="2314941.4137931033"/>
    <n v="2.6877926733379916E-2"/>
    <n v="31338795"/>
    <x v="22"/>
    <n v="2956642.8508414202"/>
    <n v="2451396.6176754502"/>
    <n v="505246.23316597001"/>
    <n v="1788443"/>
    <n v="2207677"/>
    <n v="22197.413793103398"/>
    <n v="27000"/>
    <n v="61174"/>
    <n v="50125"/>
    <n v="1316"/>
    <n v="1962"/>
    <n v="49423"/>
    <n v="62478"/>
    <n v="276672"/>
    <n v="395456"/>
    <n v="49661"/>
    <n v="87113"/>
    <n v="52812"/>
    <n v="29785"/>
    <n v="13243"/>
    <n v="3177"/>
    <n v="0"/>
    <n v="1034"/>
    <n v="0"/>
    <n v="947"/>
    <n v="2866754"/>
    <n v="0.9695976635068253"/>
    <n v="-89888.850841420237"/>
    <n v="0.4456803127485105"/>
    <n v="6.2174082952338339E-2"/>
    <n v="9.1476203855317351E-2"/>
    <n v="-1.7407326723434702E-2"/>
  </r>
  <r>
    <n v="31893984"/>
    <n v="1982979.2068965517"/>
    <n v="2.3023636589338259E-2"/>
    <n v="40446079"/>
    <x v="23"/>
    <n v="2533154.491659618"/>
    <n v="2049687.0457852299"/>
    <n v="483467.44587438798"/>
    <n v="1462778"/>
    <n v="1954073"/>
    <n v="19311.206896551699"/>
    <n v="30833"/>
    <n v="70610"/>
    <n v="29064"/>
    <n v="2246"/>
    <n v="1720"/>
    <n v="52560"/>
    <n v="60413"/>
    <n v="296224"/>
    <n v="400858"/>
    <n v="49215"/>
    <n v="71989"/>
    <n v="15576"/>
    <n v="36844"/>
    <n v="14459"/>
    <n v="3208"/>
    <n v="0"/>
    <n v="0"/>
    <n v="0"/>
    <n v="0"/>
    <n v="2589002"/>
    <n v="1.0220466254720189"/>
    <n v="55847.508340382017"/>
    <n v="0.63732854987748655"/>
    <n v="3.9850527150980357E-2"/>
    <n v="6.4011198712241049E-2"/>
    <n v="1.9327979238270787E-2"/>
  </r>
  <r>
    <n v="39679161"/>
    <n v="1581235.4827586208"/>
    <n v="1.835913911279885E-2"/>
    <n v="40762958"/>
    <x v="24"/>
    <n v="2021056.664635597"/>
    <n v="1521692.2749335"/>
    <n v="499364.38970209699"/>
    <n v="1103959"/>
    <n v="2194390"/>
    <n v="21284.482758620699"/>
    <n v="31112"/>
    <n v="11116"/>
    <n v="5527"/>
    <n v="430"/>
    <n v="1670"/>
    <n v="56626"/>
    <n v="80142"/>
    <n v="295266"/>
    <n v="329347"/>
    <n v="41484"/>
    <n v="91250"/>
    <n v="39494"/>
    <n v="31562"/>
    <n v="11576"/>
    <n v="3487"/>
    <n v="0"/>
    <n v="1118"/>
    <n v="0"/>
    <n v="0"/>
    <n v="2769605"/>
    <n v="1.3703747393442671"/>
    <n v="748548.33536440297"/>
    <n v="0.39243008797744872"/>
    <n v="5.274575340215281E-2"/>
    <n v="6.7944161461491584E-2"/>
    <n v="8.0957840532367653E-2"/>
  </r>
  <r>
    <n v="37710035"/>
    <n v="1989044.2068965517"/>
    <n v="2.309405505637447E-2"/>
    <n v="22718693"/>
    <x v="25"/>
    <n v="2539442.467794071"/>
    <n v="2204317.74082126"/>
    <n v="335124.72697281098"/>
    <n v="1640079"/>
    <n v="3117837"/>
    <n v="18636.206896551699"/>
    <n v="23290"/>
    <n v="20959"/>
    <n v="4291"/>
    <n v="6107"/>
    <n v="1531"/>
    <n v="42996"/>
    <n v="43342"/>
    <n v="181222"/>
    <n v="517922"/>
    <n v="38455"/>
    <n v="78533"/>
    <n v="33258"/>
    <n v="42966"/>
    <n v="7332"/>
    <n v="8314"/>
    <n v="0"/>
    <n v="10462"/>
    <n v="0"/>
    <n v="1378"/>
    <n v="3849866"/>
    <n v="1.5160280450630765"/>
    <n v="1310423.532205929"/>
    <n v="0.22874839525266855"/>
    <n v="0.13755661359750712"/>
    <n v="0.16945807577927127"/>
    <n v="-2.5705919469449778E-3"/>
  </r>
  <r>
    <n v="22777244"/>
    <n v="3133160.5517241377"/>
    <n v="3.6377965874813303E-2"/>
    <n v="24708209"/>
    <x v="26"/>
    <n v="4004192.1455097869"/>
    <n v="3061733.6027988298"/>
    <n v="942458.542710957"/>
    <n v="2287434"/>
    <n v="3426615"/>
    <n v="20571.551724137898"/>
    <n v="27817"/>
    <n v="48184"/>
    <n v="57382"/>
    <n v="6325"/>
    <n v="5403"/>
    <n v="38707"/>
    <n v="52302"/>
    <n v="428538"/>
    <n v="411232"/>
    <n v="34661"/>
    <n v="82440"/>
    <n v="41258"/>
    <n v="37763"/>
    <n v="227482"/>
    <n v="5270"/>
    <n v="0"/>
    <n v="1490"/>
    <n v="0"/>
    <n v="0"/>
    <n v="4107714"/>
    <n v="1.0258533683520408"/>
    <n v="103521.8544902131"/>
    <n v="0.30908557788406954"/>
    <n v="0.12911391243744394"/>
    <n v="0.1662489579880112"/>
    <n v="1.667500790130183E-2"/>
  </r>
  <r>
    <n v="24302957"/>
    <n v="3137849.8620689656"/>
    <n v="3.6432411719156226E-2"/>
    <n v="25710859"/>
    <x v="27"/>
    <n v="4005238.3203741871"/>
    <n v="3569081.8583861999"/>
    <n v="436156.46198798699"/>
    <n v="2625912"/>
    <n v="2794957"/>
    <n v="24700.8620689655"/>
    <n v="1396"/>
    <n v="92321"/>
    <n v="24203"/>
    <n v="6877"/>
    <n v="1791"/>
    <n v="49308"/>
    <n v="86934"/>
    <n v="276028"/>
    <n v="411456"/>
    <n v="43571"/>
    <n v="58025"/>
    <n v="14912"/>
    <n v="39072"/>
    <n v="4220"/>
    <n v="4163"/>
    <n v="0"/>
    <n v="4865"/>
    <n v="0"/>
    <n v="0"/>
    <n v="3426862"/>
    <n v="0.85559502978086144"/>
    <n v="-578376.32037418708"/>
    <n v="0.19070967743172274"/>
    <n v="0.10689573881845187"/>
    <n v="0.1332846172117392"/>
    <n v="-4.5037654381814063E-2"/>
  </r>
  <r>
    <n v="26923427"/>
    <n v="2877999.6206896552"/>
    <n v="3.3415386878773629E-2"/>
    <n v="28535339"/>
    <x v="28"/>
    <n v="3673363.8788741999"/>
    <n v="3293279.3602577699"/>
    <n v="380084.51861643"/>
    <n v="2418581"/>
    <n v="2450518"/>
    <n v="20333.620689655199"/>
    <n v="497"/>
    <n v="55131"/>
    <n v="6335"/>
    <n v="6277"/>
    <n v="6576"/>
    <n v="82493"/>
    <n v="61831"/>
    <n v="224454"/>
    <n v="318201"/>
    <n v="43095"/>
    <n v="69719"/>
    <n v="21531"/>
    <n v="44859"/>
    <n v="6104"/>
    <n v="6441"/>
    <n v="0"/>
    <n v="10362"/>
    <n v="0"/>
    <n v="0"/>
    <n v="2975339"/>
    <n v="0.80997665848227152"/>
    <n v="-698024.87887419993"/>
    <n v="0.16397907955130342"/>
    <n v="8.3151058018140225E-2"/>
    <n v="0.10426857028052129"/>
    <n v="-7.1761589179929697E-2"/>
  </r>
  <r>
    <n v="30741390"/>
    <n v="2556179.1034482759"/>
    <n v="2.9678848134348498E-2"/>
    <n v="32375122"/>
    <x v="29"/>
    <n v="3262796.9441023073"/>
    <n v="2905514.8698601602"/>
    <n v="357282.07424214698"/>
    <n v="2124088"/>
    <n v="1981506"/>
    <n v="20593.103448275899"/>
    <n v="23867"/>
    <n v="61017"/>
    <n v="19840"/>
    <n v="4303"/>
    <n v="1512"/>
    <n v="68703"/>
    <n v="79127"/>
    <n v="188379"/>
    <n v="341849"/>
    <n v="64182"/>
    <n v="52697"/>
    <n v="18890"/>
    <n v="28869"/>
    <n v="6024"/>
    <n v="3232"/>
    <n v="0"/>
    <n v="4079"/>
    <n v="0"/>
    <n v="0"/>
    <n v="2536578"/>
    <n v="0.77742441330436152"/>
    <n v="-726218.94410230732"/>
    <n v="7.8650300444107257E-2"/>
    <n v="6.4031004668086047E-2"/>
    <n v="7.8349604365969647E-2"/>
    <n v="-0.11847592617879743"/>
  </r>
  <r>
    <n v="36726305"/>
    <n v="2351622.2068965519"/>
    <n v="2.7303813826540225E-2"/>
    <n v="38921712"/>
    <x v="30"/>
    <n v="3002659.2343073953"/>
    <n v="2574832.3794489601"/>
    <n v="427826.85485843499"/>
    <n v="1896380"/>
    <n v="1742488"/>
    <n v="18311.206896551699"/>
    <n v="31058"/>
    <n v="57647"/>
    <n v="21274"/>
    <n v="630"/>
    <n v="662"/>
    <n v="46392"/>
    <n v="34276"/>
    <n v="251795"/>
    <n v="350135"/>
    <n v="49925"/>
    <n v="69841"/>
    <n v="25033"/>
    <n v="46260"/>
    <n v="5509"/>
    <n v="4173"/>
    <n v="0"/>
    <n v="418"/>
    <n v="0"/>
    <n v="0"/>
    <n v="2300585"/>
    <n v="0.76618251372459245"/>
    <n v="-702074.23430739529"/>
    <n v="0.29668857279889682"/>
    <n v="4.6944260201903065E-2"/>
    <n v="5.9108011487264488E-2"/>
    <n v="2.9844926781563919E-2"/>
  </r>
  <r>
    <n v="37793760"/>
    <n v="1774200.1034482759"/>
    <n v="2.2985735780986245E-2"/>
    <n v="37738958"/>
    <x v="31"/>
    <n v="2165003.3801577878"/>
    <n v="1726695.11515695"/>
    <n v="438308.26500083797"/>
    <n v="1345714"/>
    <n v="2180837"/>
    <n v="19268.103448275899"/>
    <n v="31669"/>
    <n v="24746"/>
    <n v="-2281"/>
    <n v="1652"/>
    <n v="715"/>
    <n v="52485"/>
    <n v="55760"/>
    <n v="259164"/>
    <n v="327974"/>
    <n v="40620"/>
    <n v="76980"/>
    <n v="24306"/>
    <n v="25893"/>
    <n v="6245"/>
    <n v="4383"/>
    <n v="0"/>
    <n v="774"/>
    <n v="0"/>
    <n v="0"/>
    <n v="2702704"/>
    <n v="1.2483601756792748"/>
    <n v="537700.61984221218"/>
    <n v="0.5647568275225805"/>
    <n v="5.5090669928898349E-2"/>
    <n v="7.1615755792727498E-2"/>
    <n v="0.2036946472160317"/>
  </r>
  <r>
    <n v="31352601"/>
    <n v="1727235.7931034483"/>
    <n v="2.2377287372813828E-2"/>
    <n v="33698919"/>
    <x v="32"/>
    <n v="2103380.961465802"/>
    <n v="1720370.9096490799"/>
    <n v="383010.05181672203"/>
    <n v="1308491"/>
    <n v="2671764"/>
    <n v="20338.793103448301"/>
    <n v="30355"/>
    <n v="36076"/>
    <n v="15499"/>
    <n v="6773"/>
    <n v="3214"/>
    <n v="66898"/>
    <n v="64407"/>
    <n v="214500"/>
    <n v="374619"/>
    <n v="45990"/>
    <n v="115869"/>
    <n v="25758"/>
    <n v="34782"/>
    <n v="2411"/>
    <n v="5635"/>
    <n v="0"/>
    <n v="-148"/>
    <n v="0"/>
    <n v="0"/>
    <n v="3315996"/>
    <n v="1.5765075660327132"/>
    <n v="1212615.038534198"/>
    <n v="0.3746834449610974"/>
    <n v="6.6206441467751315E-2"/>
    <n v="9.8400663831382837E-2"/>
    <n v="-7.5078404029252366E-2"/>
  </r>
  <r>
    <n v="36434352"/>
    <n v="2412188.7931034481"/>
    <n v="3.1251229297286756E-2"/>
    <n v="22551540"/>
    <x v="33"/>
    <n v="2922007.819726577"/>
    <n v="2544037.1818093001"/>
    <n v="377970.637917277"/>
    <n v="2010759"/>
    <n v="3181814"/>
    <n v="23738.793103448301"/>
    <n v="22774"/>
    <n v="37153"/>
    <n v="13358"/>
    <n v="756"/>
    <n v="6483"/>
    <n v="54921"/>
    <n v="67690"/>
    <n v="213227"/>
    <n v="395638"/>
    <n v="32459"/>
    <n v="87196"/>
    <n v="34007"/>
    <n v="25879"/>
    <n v="5168"/>
    <n v="4357"/>
    <n v="0"/>
    <n v="4453"/>
    <n v="0"/>
    <n v="0"/>
    <n v="3809642"/>
    <n v="1.3037754294430608"/>
    <n v="887634.18027342297"/>
    <n v="0.38293318112670693"/>
    <n v="0.12300746706274648"/>
    <n v="0.16893045885114719"/>
    <n v="6.9889638867066672E-3"/>
  </r>
  <r>
    <n v="22395022"/>
    <n v="2754754.931034483"/>
    <n v="3.5689361568100944E-2"/>
    <n v="25170911"/>
    <x v="34"/>
    <n v="3319448.0760512371"/>
    <n v="3065365.0201185001"/>
    <n v="254083.05593273701"/>
    <n v="2354728"/>
    <n v="3050065"/>
    <n v="23787.931034482801"/>
    <n v="23209"/>
    <n v="132035"/>
    <n v="39499"/>
    <n v="2563"/>
    <n v="6199"/>
    <n v="50149"/>
    <n v="60063"/>
    <n v="79913"/>
    <n v="318098"/>
    <n v="56003"/>
    <n v="80270"/>
    <n v="51486"/>
    <n v="22916"/>
    <n v="4090"/>
    <n v="4100"/>
    <n v="0"/>
    <n v="2376"/>
    <n v="0"/>
    <n v="0"/>
    <n v="3606795"/>
    <n v="1.0865646689947885"/>
    <n v="287346.92394876294"/>
    <n v="0.28456237872379608"/>
    <n v="0.10993904630214808"/>
    <n v="0.14329219153013573"/>
    <n v="-1.4436437014000103E-2"/>
  </r>
  <r>
    <n v="25539612"/>
    <n v="2807800.5862068967"/>
    <n v="3.637659713513345E-2"/>
    <n v="29563607"/>
    <x v="35"/>
    <n v="3392250.4827303328"/>
    <n v="3043285.0022227098"/>
    <n v="348965.480507623"/>
    <n v="2362602"/>
    <n v="2711541"/>
    <n v="24452.5862068965"/>
    <n v="22425"/>
    <n v="110188"/>
    <n v="48724"/>
    <n v="-697"/>
    <n v="4521"/>
    <n v="48254"/>
    <n v="63963"/>
    <n v="151535"/>
    <n v="334593"/>
    <n v="57305"/>
    <n v="91963"/>
    <n v="46066"/>
    <n v="28657"/>
    <n v="8095"/>
    <n v="3153"/>
    <n v="0"/>
    <n v="5982"/>
    <n v="0"/>
    <n v="0"/>
    <n v="3315522"/>
    <n v="0.97738124495200129"/>
    <n v="-76728.482730332762"/>
    <n v="0.43416881489632564"/>
    <n v="7.8628449947565418E-2"/>
    <n v="0.11214876452660191"/>
    <n v="5.5079193644305136E-3"/>
  </r>
  <r>
    <n v="29401665"/>
    <n v="2311807.3448275859"/>
    <n v="2.9950732559124452E-2"/>
    <n v="30256382"/>
    <x v="36"/>
    <n v="2791498.0163448001"/>
    <n v="2519546.1381414402"/>
    <n v="271951.87820336001"/>
    <n v="1988730"/>
    <n v="2349247"/>
    <n v="22460.344827586199"/>
    <n v="22391"/>
    <n v="52855"/>
    <n v="29006"/>
    <n v="2503"/>
    <n v="4581"/>
    <n v="40300"/>
    <n v="74959"/>
    <n v="119932"/>
    <n v="291618"/>
    <n v="56342"/>
    <n v="85249"/>
    <n v="22237"/>
    <n v="20982"/>
    <n v="6448"/>
    <n v="3548"/>
    <n v="0"/>
    <n v="3560"/>
    <n v="0"/>
    <n v="0"/>
    <n v="2885141"/>
    <n v="1.0335457819088176"/>
    <n v="93642.983655199874"/>
    <n v="0.35482282992813063"/>
    <n v="6.6513666103679037E-2"/>
    <n v="9.5356444137967317E-2"/>
    <n v="-5.4974898087656987E-2"/>
  </r>
  <r>
    <n v="32016485"/>
    <n v="2129533.7931034481"/>
    <n v="2.758927868949046E-2"/>
    <n v="41295456"/>
    <x v="37"/>
    <n v="2583432.1280934871"/>
    <n v="2211064.8195330701"/>
    <n v="372367.30856041698"/>
    <n v="1675481"/>
    <n v="2093587"/>
    <n v="23913.793103448301"/>
    <n v="26676"/>
    <n v="91347"/>
    <n v="31006"/>
    <n v="4838"/>
    <n v="2429"/>
    <n v="53316"/>
    <n v="69984"/>
    <n v="166819"/>
    <n v="282237"/>
    <n v="60494"/>
    <n v="81965"/>
    <n v="49141"/>
    <n v="25885"/>
    <n v="4184"/>
    <n v="5353"/>
    <n v="0"/>
    <n v="-930"/>
    <n v="0"/>
    <n v="0"/>
    <n v="2618192"/>
    <n v="1.013454919728108"/>
    <n v="34759.871906512883"/>
    <n v="0.32527597447820367"/>
    <n v="4.6322878643969896E-2"/>
    <n v="6.3401455114092939E-2"/>
    <n v="-3.1716259113478751E-2"/>
  </r>
  <r>
    <n v="42648094"/>
    <n v="1975582.4827586208"/>
    <n v="2.5594754996337052E-2"/>
    <n v="41339084"/>
    <x v="38"/>
    <n v="2409947.8152849339"/>
    <n v="1929957.57339174"/>
    <n v="479990.24189319398"/>
    <n v="1541898"/>
    <n v="2397497"/>
    <n v="17559.482758620699"/>
    <n v="25171"/>
    <n v="13396"/>
    <n v="5807"/>
    <n v="921"/>
    <n v="4467"/>
    <n v="40059"/>
    <n v="69643"/>
    <n v="260206"/>
    <n v="234501"/>
    <n v="70792"/>
    <n v="58072"/>
    <n v="28263"/>
    <n v="17667"/>
    <n v="2488"/>
    <n v="2741"/>
    <n v="0"/>
    <n v="0"/>
    <n v="0"/>
    <n v="0"/>
    <n v="2815566"/>
    <n v="1.1683099451956842"/>
    <n v="405618.18471506611"/>
    <n v="0.21078873712828927"/>
    <n v="5.5642586853894366E-2"/>
    <n v="6.8109056310971958E-2"/>
    <n v="-1.0830260813277759E-2"/>
  </r>
  <r>
    <n v="41791699"/>
    <n v="2325398.2413793104"/>
    <n v="3.0126810080796044E-2"/>
    <n v="22422064"/>
    <x v="39"/>
    <n v="2824472.7189859231"/>
    <n v="2383121.9642348401"/>
    <n v="441350.75475108298"/>
    <n v="1896294"/>
    <n v="2252123"/>
    <n v="21667.241379310301"/>
    <n v="10066"/>
    <n v="30139"/>
    <n v="16050"/>
    <n v="3695"/>
    <n v="1868"/>
    <n v="40975"/>
    <n v="58213"/>
    <n v="191313"/>
    <n v="451605"/>
    <n v="87339"/>
    <n v="67176"/>
    <n v="48851"/>
    <n v="11686"/>
    <n v="5125"/>
    <n v="3093"/>
    <n v="0"/>
    <n v="586"/>
    <n v="0"/>
    <n v="0"/>
    <n v="2872466"/>
    <n v="1.0169919435551524"/>
    <n v="47993.2810140769"/>
    <n v="-0.32071831501279491"/>
    <n v="0.16013515436776288"/>
    <n v="0.12810890201722733"/>
    <n v="-0.15090305379408775"/>
  </r>
  <r>
    <n v="26406954"/>
    <n v="4228681.6551724132"/>
    <n v="5.4784890970744092E-2"/>
    <n v="27571599"/>
    <x v="40"/>
    <n v="5112241.9672708018"/>
    <n v="4552736.9921622202"/>
    <n v="559504.97510858194"/>
    <n v="3630208"/>
    <n v="4002151"/>
    <n v="20464.655172413801"/>
    <n v="21961"/>
    <n v="83992"/>
    <n v="55589"/>
    <n v="8959"/>
    <n v="3319"/>
    <n v="63382"/>
    <n v="62975"/>
    <n v="281151"/>
    <n v="557077"/>
    <n v="78555"/>
    <n v="78209"/>
    <n v="59569"/>
    <n v="21078"/>
    <n v="2401"/>
    <n v="953"/>
    <n v="0"/>
    <n v="844"/>
    <n v="0"/>
    <n v="0"/>
    <n v="4804156"/>
    <n v="0.93973564450915947"/>
    <n v="-308085.96727080178"/>
    <n v="0.34016253170717681"/>
    <n v="0.12462434560396962"/>
    <n v="0.17424292294400481"/>
    <n v="-4.1471092799337916E-2"/>
  </r>
  <r>
    <n v="28764494"/>
    <n v="3584756.2413793104"/>
    <n v="4.6442483935966235E-2"/>
    <n v="29524043"/>
    <x v="41"/>
    <n v="4365978.1275330884"/>
    <n v="3565403.93838902"/>
    <n v="800574.18914406805"/>
    <n v="2855454"/>
    <n v="3104553"/>
    <n v="16592.241379310301"/>
    <n v="22795"/>
    <n v="62364"/>
    <n v="17436"/>
    <n v="4603"/>
    <n v="696"/>
    <n v="42383"/>
    <n v="83559"/>
    <n v="448251"/>
    <n v="555761"/>
    <n v="107546"/>
    <n v="71762"/>
    <n v="43052"/>
    <n v="24671"/>
    <n v="4511"/>
    <n v="4503"/>
    <n v="0"/>
    <n v="-435"/>
    <n v="0"/>
    <n v="0"/>
    <n v="3885301"/>
    <n v="0.88990390847315448"/>
    <n v="-480677.12753308844"/>
    <n v="0.10155406762092167"/>
    <n v="0.10342440514974581"/>
    <n v="0.13159786415430977"/>
    <n v="-0.13427489939816295"/>
  </r>
  <r>
    <n v="34103254"/>
    <n v="3527108.7586206896"/>
    <n v="4.5695629167694457E-2"/>
    <n v="33200957"/>
    <x v="42"/>
    <n v="4277322.4882151699"/>
    <n v="3676481.8466480798"/>
    <n v="600840.64156708994"/>
    <n v="2929364"/>
    <n v="2317644"/>
    <n v="19632.758620689601"/>
    <n v="25410"/>
    <n v="23666"/>
    <n v="26530"/>
    <n v="8628"/>
    <n v="5396"/>
    <n v="92989"/>
    <n v="99852"/>
    <n v="286849"/>
    <n v="459284"/>
    <n v="127459"/>
    <n v="89138"/>
    <n v="36103"/>
    <n v="11692"/>
    <n v="2418"/>
    <n v="1959"/>
    <n v="0"/>
    <n v="3313"/>
    <n v="0"/>
    <n v="0"/>
    <n v="3040218"/>
    <n v="0.7107759605165086"/>
    <n v="-1237104.4882151699"/>
    <n v="0.39384321814183254"/>
    <n v="5.521319907078874E-2"/>
    <n v="9.1570191786941563E-2"/>
    <n v="-0.15956774169704713"/>
  </r>
  <r>
    <n v="39504620"/>
    <n v="2181176.4482758623"/>
    <n v="2.825833762174652E-2"/>
    <n v="35824613"/>
    <x v="43"/>
    <n v="2657293.8448046688"/>
    <n v="2162315.3934833198"/>
    <n v="494978.45132134901"/>
    <n v="1665220"/>
    <n v="1758784"/>
    <n v="18078.448275862102"/>
    <n v="18612"/>
    <n v="39150"/>
    <n v="25664"/>
    <n v="4561"/>
    <n v="3330"/>
    <n v="81122"/>
    <n v="68260"/>
    <n v="288539"/>
    <n v="399606"/>
    <n v="74526"/>
    <n v="59102"/>
    <n v="6407"/>
    <n v="14235"/>
    <n v="3573"/>
    <n v="7832"/>
    <n v="0"/>
    <n v="2440"/>
    <n v="0"/>
    <n v="0"/>
    <n v="2357865"/>
    <n v="0.88731812803085797"/>
    <n v="-299428.8448046688"/>
    <n v="0.26356387324255204"/>
    <n v="5.7251596949853857E-2"/>
    <n v="6.5816900799458747E-2"/>
    <n v="9.912573689391535E-2"/>
  </r>
  <r>
    <n v="32593735"/>
    <n v="1866043.3793103448"/>
    <n v="2.4175615810934793E-2"/>
    <n v="40028256"/>
    <x v="44"/>
    <n v="2270349.9137066589"/>
    <n v="1877501.19573291"/>
    <n v="392848.71797374898"/>
    <n v="1401802"/>
    <n v="1400645"/>
    <n v="14241.379310344801"/>
    <n v="19588"/>
    <n v="55802"/>
    <n v="-861"/>
    <n v="2882"/>
    <n v="1446"/>
    <n v="95242"/>
    <n v="76825"/>
    <n v="211719"/>
    <n v="365354"/>
    <n v="60511"/>
    <n v="48474"/>
    <n v="20710"/>
    <n v="16510"/>
    <n v="3134"/>
    <n v="7433"/>
    <n v="0"/>
    <n v="0"/>
    <n v="0"/>
    <n v="0"/>
    <n v="1935414"/>
    <n v="0.85247388004616875"/>
    <n v="-334935.91370665887"/>
    <n v="4.2515562088233816E-2"/>
    <n v="4.3829553983324686E-2"/>
    <n v="4.8351194716052578E-2"/>
    <n v="-5.4976978845317603E-2"/>
  </r>
  <r>
    <n v="42356911"/>
    <n v="1856484.5172413792"/>
    <n v="2.4051775508221979E-2"/>
    <n v="41384863"/>
    <x v="45"/>
    <n v="2257526.4806165611"/>
    <n v="1878780.9565178"/>
    <n v="378745.52409876097"/>
    <n v="1480367"/>
    <n v="2149329"/>
    <n v="20915.517241379301"/>
    <n v="28370"/>
    <n v="13567"/>
    <n v="178"/>
    <n v="1142"/>
    <n v="0"/>
    <n v="55048"/>
    <n v="68941"/>
    <n v="234704"/>
    <n v="492948"/>
    <n v="34552"/>
    <n v="50253"/>
    <n v="16189"/>
    <n v="25710"/>
    <n v="0"/>
    <n v="9189"/>
    <n v="0"/>
    <n v="0"/>
    <n v="0"/>
    <n v="0"/>
    <n v="2824918"/>
    <n v="1.2513332730557722"/>
    <n v="567391.51938343886"/>
    <n v="0.10856448943964403"/>
    <n v="5.7415459552348488E-2"/>
    <n v="6.8259691955486243E-2"/>
    <n v="-6.7550148833097734E-2"/>
  </r>
  <r>
    <n v="44382937"/>
    <n v="2548266.7241379311"/>
    <n v="3.3014193554983903E-2"/>
    <n v="23766868"/>
    <x v="46"/>
    <n v="3113257.5784652401"/>
    <n v="2446400.3494434399"/>
    <n v="666857.22902179998"/>
    <n v="1932100"/>
    <n v="3080170"/>
    <n v="24901.724137931"/>
    <n v="24995"/>
    <n v="13663"/>
    <n v="27259"/>
    <n v="2471"/>
    <n v="2265"/>
    <n v="72548"/>
    <n v="98172"/>
    <n v="370770"/>
    <n v="460199"/>
    <n v="101714"/>
    <n v="48934"/>
    <n v="26966"/>
    <n v="24099"/>
    <n v="3133"/>
    <n v="5432"/>
    <n v="0"/>
    <n v="430"/>
    <n v="0"/>
    <n v="0"/>
    <n v="3771955"/>
    <n v="1.2115781958071974"/>
    <n v="658697.42153475992"/>
    <n v="1.1901192684481643E-2"/>
    <n v="0.15490853877118541"/>
    <n v="0.15870643956957223"/>
    <n v="-1.2313957992503122E-2"/>
  </r>
  <r>
    <n v="24063181"/>
    <n v="3727592.2068965519"/>
    <n v="4.8293002238281896E-2"/>
    <n v="26877030"/>
    <x v="47"/>
    <n v="4527911.4958415478"/>
    <n v="3817315.6570827002"/>
    <n v="710595.83875884803"/>
    <n v="3064112"/>
    <n v="3594147"/>
    <n v="18136.206896551699"/>
    <n v="26861"/>
    <n v="41372"/>
    <n v="48038"/>
    <n v="9059"/>
    <n v="4918"/>
    <n v="59366"/>
    <n v="78213"/>
    <n v="381579"/>
    <n v="470863"/>
    <n v="106292"/>
    <n v="44216"/>
    <n v="40654"/>
    <n v="21475"/>
    <n v="7022"/>
    <n v="6664"/>
    <n v="0"/>
    <n v="0"/>
    <n v="0"/>
    <n v="947"/>
    <n v="4296342"/>
    <n v="0.94885732725689931"/>
    <n v="-231569.49584154785"/>
    <n v="0.18106489174471552"/>
    <n v="0.12968883163442441"/>
    <n v="0.15985181398391116"/>
    <n v="-4.1794258836333698E-2"/>
  </r>
  <r>
    <n v="28049331"/>
    <n v="3637684.9655172415"/>
    <n v="4.7128204597291098E-2"/>
    <n v="29417270"/>
    <x v="48"/>
    <n v="4405712.1677858885"/>
    <n v="3843840.0746160601"/>
    <n v="561872.09316982795"/>
    <n v="3088415"/>
    <n v="3559563"/>
    <n v="23043.965517241399"/>
    <n v="23843"/>
    <n v="65981"/>
    <n v="14662"/>
    <n v="7052"/>
    <n v="1851"/>
    <n v="29733"/>
    <n v="91613"/>
    <n v="361184"/>
    <n v="453814"/>
    <n v="44740"/>
    <n v="39979"/>
    <n v="15384"/>
    <n v="30090"/>
    <n v="2152"/>
    <n v="3873"/>
    <n v="0"/>
    <n v="3359"/>
    <n v="0"/>
    <n v="0"/>
    <n v="4222647"/>
    <n v="0.9584482233940651"/>
    <n v="-183065.16778588854"/>
    <n v="0.16932575788320281"/>
    <n v="0.12503380727632435"/>
    <n v="0.14354312959700202"/>
    <n v="1.8545797802250519E-2"/>
  </r>
  <r>
    <n v="28881637"/>
    <n v="3611181.0344827585"/>
    <n v="4.6784831628970291E-2"/>
    <n v="35456665"/>
    <x v="49"/>
    <n v="4363204.7398105757"/>
    <n v="3910862.27764954"/>
    <n v="452342.46216103598"/>
    <n v="3113676"/>
    <n v="3329797"/>
    <n v="21506.034482758601"/>
    <n v="27971"/>
    <n v="65670"/>
    <n v="23965"/>
    <n v="2633"/>
    <n v="344"/>
    <n v="66784"/>
    <n v="65256"/>
    <n v="295101"/>
    <n v="368888"/>
    <n v="30136"/>
    <n v="35313"/>
    <n v="13695"/>
    <n v="25716"/>
    <n v="1980"/>
    <n v="7482"/>
    <n v="0"/>
    <n v="1990"/>
    <n v="0"/>
    <n v="689"/>
    <n v="3887411"/>
    <n v="0.89095314838899087"/>
    <n v="-475793.73981057573"/>
    <n v="0.30409152807698292"/>
    <n v="8.2832267329381856E-2"/>
    <n v="0.10963837123429403"/>
    <n v="-1.4753166618853841E-2"/>
  </r>
  <r>
    <n v="35987596"/>
    <n v="2980934.1724137929"/>
    <n v="3.861963773671593E-2"/>
    <n v="36977163"/>
    <x v="50"/>
    <n v="3619504.3435171871"/>
    <n v="3065838.8788276301"/>
    <n v="553665.46468955697"/>
    <n v="2421357"/>
    <n v="2545784"/>
    <n v="22405.172413793101"/>
    <n v="20127"/>
    <n v="55891"/>
    <n v="11485"/>
    <n v="2576"/>
    <n v="1656"/>
    <n v="61430"/>
    <n v="148228"/>
    <n v="357973"/>
    <n v="360812"/>
    <n v="24350"/>
    <n v="21316"/>
    <n v="28074"/>
    <n v="16275"/>
    <n v="6878"/>
    <n v="3147"/>
    <n v="0"/>
    <n v="1306"/>
    <n v="0"/>
    <n v="0"/>
    <n v="3130136"/>
    <n v="0.86479686247823306"/>
    <n v="-489368.34351718705"/>
    <n v="0.2648172257583794"/>
    <n v="6.8589700146051091E-2"/>
    <n v="8.4650517942655573E-2"/>
    <n v="2.4842332483971941E-2"/>
  </r>
  <r>
    <n v="36080831"/>
    <n v="2474773.3793103448"/>
    <n v="3.2062046949544898E-2"/>
    <n v="49550104"/>
    <x v="51"/>
    <n v="3012995.8169579371"/>
    <n v="2471476.4277911601"/>
    <n v="541519.38916677702"/>
    <n v="1897795"/>
    <n v="2157328"/>
    <n v="20191.379310344801"/>
    <n v="28829"/>
    <n v="54966"/>
    <n v="12510"/>
    <n v="2375"/>
    <n v="215"/>
    <n v="91325"/>
    <n v="61838"/>
    <n v="346747"/>
    <n v="366612"/>
    <n v="33465"/>
    <n v="23690"/>
    <n v="19690"/>
    <n v="14858"/>
    <n v="8219"/>
    <n v="4463"/>
    <n v="0"/>
    <n v="1379"/>
    <n v="0"/>
    <n v="0"/>
    <n v="2671722"/>
    <n v="0.88673272792575486"/>
    <n v="-341273.81695793709"/>
    <n v="0.20995999008294253"/>
    <n v="4.6938850337801472E-2"/>
    <n v="5.3919604285795245E-2"/>
    <n v="5.3311344575149633E-2"/>
  </r>
  <r>
    <n v="47042220"/>
    <n v="2208107.7241379311"/>
    <n v="2.860724707677768E-2"/>
    <n v="40534030"/>
    <x v="52"/>
    <n v="2692009.8936478598"/>
    <n v="2171610.1335062198"/>
    <n v="520399.76014164003"/>
    <n v="1719612"/>
    <n v="2371363"/>
    <n v="22776.724137931"/>
    <n v="29955"/>
    <n v="25877"/>
    <n v="-835"/>
    <n v="3459"/>
    <n v="361"/>
    <n v="44179"/>
    <n v="73803"/>
    <n v="327055"/>
    <n v="303085"/>
    <n v="34049"/>
    <n v="29461"/>
    <n v="21382"/>
    <n v="21582"/>
    <n v="9718"/>
    <n v="4347"/>
    <n v="0"/>
    <n v="413"/>
    <n v="0"/>
    <n v="0"/>
    <n v="2833535"/>
    <n v="1.0525722831428246"/>
    <n v="141525.1063521402"/>
    <n v="0.11313551139709799"/>
    <n v="5.5149192652612408E-2"/>
    <n v="6.9905089624693134E-2"/>
    <n v="-0.12183039752776392"/>
  </r>
  <r>
    <n v="46157405"/>
    <n v="2545543.6206896552"/>
    <n v="3.2978914255740989E-2"/>
    <n v="22062756"/>
    <x v="53"/>
    <n v="3100444.4031627239"/>
    <n v="2530401.5067299199"/>
    <n v="570042.89643280394"/>
    <n v="1980647"/>
    <n v="3389716"/>
    <n v="20783.620689655199"/>
    <n v="23729"/>
    <n v="20320"/>
    <n v="28866"/>
    <n v="1308"/>
    <n v="2677"/>
    <n v="92867"/>
    <n v="76508"/>
    <n v="375118"/>
    <n v="327888"/>
    <n v="29980"/>
    <n v="34023"/>
    <n v="15301"/>
    <n v="20904"/>
    <n v="9219"/>
    <n v="3447"/>
    <n v="0"/>
    <n v="430"/>
    <n v="0"/>
    <n v="0"/>
    <n v="3908188"/>
    <n v="1.2605251027927826"/>
    <n v="807743.59683727613"/>
    <n v="0.17535265131514843"/>
    <n v="0.12579301541915833"/>
    <n v="0.17713961030072581"/>
    <n v="-0.16534108921865864"/>
  </r>
  <r>
    <n v="26433260"/>
    <n v="3325119.4827586208"/>
    <n v="4.307874727453341E-2"/>
    <n v="27778475"/>
    <x v="54"/>
    <n v="4033025.0340803908"/>
    <n v="3459959.5507958401"/>
    <n v="573065.48328455095"/>
    <n v="2773046"/>
    <n v="3790804"/>
    <n v="19384.482758620699"/>
    <n v="23676"/>
    <n v="44133"/>
    <n v="53511"/>
    <n v="1728"/>
    <n v="3950"/>
    <n v="54932"/>
    <n v="71433"/>
    <n v="362431"/>
    <n v="328991"/>
    <n v="32310"/>
    <n v="44374"/>
    <n v="32251"/>
    <n v="15412"/>
    <n v="4904"/>
    <n v="2538"/>
    <n v="0"/>
    <n v="-680"/>
    <n v="0"/>
    <n v="0"/>
    <n v="4334009"/>
    <n v="1.0746298283239493"/>
    <n v="300983.96591960918"/>
    <n v="0.14375854625265472"/>
    <n v="0.12892126095068315"/>
    <n v="0.15602040788776203"/>
    <n v="-5.4900599208223211E-2"/>
  </r>
  <r>
    <n v="29392120"/>
    <n v="3789269.1724137929"/>
    <n v="4.9092061166526195E-2"/>
    <n v="31602573"/>
    <x v="55"/>
    <n v="4584999.7645929968"/>
    <n v="4043282.6733011501"/>
    <n v="541717.09129184706"/>
    <n v="3237704"/>
    <n v="3614722"/>
    <n v="19955.172413793101"/>
    <n v="31217"/>
    <n v="86781"/>
    <n v="80631"/>
    <n v="8087"/>
    <n v="-491"/>
    <n v="28472"/>
    <n v="33888"/>
    <n v="347028"/>
    <n v="578952"/>
    <n v="43531"/>
    <n v="54562"/>
    <n v="10995"/>
    <n v="28200"/>
    <n v="6716"/>
    <n v="5951"/>
    <n v="0"/>
    <n v="7009"/>
    <n v="0"/>
    <n v="775"/>
    <n v="4435416"/>
    <n v="0.9673754040843936"/>
    <n v="-149583.7645929968"/>
    <n v="0.2920539899438479"/>
    <n v="0.10405971627835511"/>
    <n v="0.14034983797047157"/>
    <n v="-4.2031159037313692E-2"/>
  </r>
  <r>
    <n v="32989145"/>
    <n v="3432841.068965517"/>
    <n v="4.4474339526866198E-2"/>
    <n v="36200123"/>
    <x v="56"/>
    <n v="4156960.4456820181"/>
    <n v="3633404.08583875"/>
    <n v="523556.359843268"/>
    <n v="2904631"/>
    <n v="2872787"/>
    <n v="19587.068965517199"/>
    <n v="25863"/>
    <n v="64657"/>
    <n v="7979"/>
    <n v="3724"/>
    <n v="0"/>
    <n v="45659"/>
    <n v="126103"/>
    <n v="329946"/>
    <n v="530958"/>
    <n v="38488"/>
    <n v="91753"/>
    <n v="17323"/>
    <n v="15632"/>
    <n v="8826"/>
    <n v="4939"/>
    <n v="0"/>
    <n v="5544"/>
    <n v="0"/>
    <n v="0"/>
    <n v="3681558"/>
    <n v="0.88563700523640165"/>
    <n v="-475402.44568201806"/>
    <n v="0.21363309419086285"/>
    <n v="8.2068617583025028E-2"/>
    <n v="0.10170015168180506"/>
    <n v="-2.0638724267775688E-2"/>
  </r>
  <r>
    <n v="36962992"/>
    <n v="3033501.6551724137"/>
    <n v="3.9300678317771467E-2"/>
    <n v="42656916"/>
    <x v="57"/>
    <n v="3684333.3300469159"/>
    <n v="3110767.62058014"/>
    <n v="573565.709466776"/>
    <n v="2452213"/>
    <n v="2328816"/>
    <n v="20014.655172413801"/>
    <n v="20650"/>
    <n v="22443"/>
    <n v="23531"/>
    <n v="8872"/>
    <n v="6440"/>
    <n v="97686"/>
    <n v="122038"/>
    <n v="371645"/>
    <n v="450008"/>
    <n v="41902"/>
    <n v="106960"/>
    <n v="12405"/>
    <n v="15315"/>
    <n v="6321"/>
    <n v="3641"/>
    <n v="0"/>
    <n v="2547"/>
    <n v="0"/>
    <n v="775"/>
    <n v="3080721"/>
    <n v="0.83616782848493532"/>
    <n v="-603612.33004691591"/>
    <n v="0.2786062921043817"/>
    <n v="5.6436306533633455E-2"/>
    <n v="7.2220903170777742E-2"/>
    <n v="-8.4582899216778529E-4"/>
  </r>
  <r>
    <n v="42693027"/>
    <n v="2409436.7586206896"/>
    <n v="3.1215575180618686E-2"/>
    <n v="51597186"/>
    <x v="58"/>
    <n v="2942144.765420862"/>
    <n v="2326834.7166464399"/>
    <n v="615310.04877442203"/>
    <n v="1747242"/>
    <n v="2298757"/>
    <n v="17482.758620689699"/>
    <n v="28306"/>
    <n v="73006"/>
    <n v="7846"/>
    <n v="3125"/>
    <n v="0"/>
    <n v="104847"/>
    <n v="67232"/>
    <n v="394351"/>
    <n v="415460"/>
    <n v="40984"/>
    <n v="103810"/>
    <n v="18424"/>
    <n v="16109"/>
    <n v="9975"/>
    <n v="3746"/>
    <n v="0"/>
    <n v="-5"/>
    <n v="0"/>
    <n v="1895"/>
    <n v="2943156"/>
    <n v="1.000343706601736"/>
    <n v="1011.2345791379921"/>
    <n v="0.42723697090105572"/>
    <n v="4.0564099050365177E-2"/>
    <n v="5.7041017702011886E-2"/>
    <n v="1.4964041462597999E-2"/>
  </r>
  <r>
    <n v="50836467"/>
    <n v="2062135.4827586208"/>
    <n v="2.2488732254430814E-2"/>
    <n v="52843119"/>
    <x v="59"/>
    <n v="2805782.38479015"/>
    <n v="2136915.38479015"/>
    <n v="668867"/>
    <n v="1522696"/>
    <n v="2769749"/>
    <n v="23759.482758620699"/>
    <n v="33914"/>
    <n v="41023"/>
    <n v="26512"/>
    <n v="2722"/>
    <n v="0"/>
    <n v="37541"/>
    <n v="96454"/>
    <n v="384483"/>
    <n v="447295"/>
    <n v="29795"/>
    <n v="95383"/>
    <n v="13746"/>
    <n v="21210"/>
    <n v="6370"/>
    <n v="3536"/>
    <n v="0"/>
    <n v="430"/>
    <n v="0"/>
    <n v="0"/>
    <n v="3494483"/>
    <n v="1.2454576017524464"/>
    <n v="688700.61520985002"/>
    <n v="0.31045607450207369"/>
    <n v="5.555161841927285E-2"/>
    <n v="6.6129385738945501E-2"/>
    <n v="0.1008412522284261"/>
  </r>
  <r>
    <n v="48002488"/>
    <n v="2666615.8965517241"/>
    <n v="2.9080926750136443E-2"/>
    <n v="29862876"/>
    <x v="60"/>
    <n v="3622374.42120753"/>
    <n v="2854571.42120753"/>
    <n v="767803"/>
    <n v="2021359"/>
    <n v="3687641"/>
    <n v="23281.896551724101"/>
    <n v="26936"/>
    <n v="3956"/>
    <n v="15825"/>
    <n v="7228"/>
    <n v="7457"/>
    <n v="118573"/>
    <n v="107185"/>
    <n v="444525"/>
    <n v="452113"/>
    <n v="31189"/>
    <n v="85564"/>
    <n v="12849"/>
    <n v="6520"/>
    <n v="3655"/>
    <n v="4483"/>
    <n v="0"/>
    <n v="515"/>
    <n v="0"/>
    <n v="0"/>
    <n v="4394239"/>
    <n v="1.2130824948060357"/>
    <n v="771864.57879247004"/>
    <n v="0.22894204690263287"/>
    <n v="0.12385099496173829"/>
    <n v="0.1471472138182538"/>
    <n v="3.4377011359524756E-2"/>
  </r>
  <r>
    <n v="28870398"/>
    <n v="3575627.5172413792"/>
    <n v="3.8994203120566236E-2"/>
    <n v="33171704"/>
    <x v="61"/>
    <n v="4645559.2541032098"/>
    <n v="3980132.2541032098"/>
    <n v="665427"/>
    <n v="2894647"/>
    <n v="4158362"/>
    <n v="17015.517241379301"/>
    <n v="22032"/>
    <n v="70126"/>
    <n v="47632"/>
    <n v="2478"/>
    <n v="2071"/>
    <n v="47499"/>
    <n v="74989"/>
    <n v="481304"/>
    <n v="653421"/>
    <n v="33324"/>
    <n v="126548"/>
    <n v="22831"/>
    <n v="5908"/>
    <n v="6403"/>
    <n v="4036"/>
    <n v="0"/>
    <n v="2049"/>
    <n v="0"/>
    <n v="775"/>
    <n v="5097823"/>
    <n v="1.0973539936009484"/>
    <n v="452263.74589679018"/>
    <n v="0.31489767230607613"/>
    <n v="0.12872553508669304"/>
    <n v="0.15367986522489166"/>
    <n v="0.10138635405590835"/>
  </r>
  <r>
    <n v="30118136"/>
    <n v="3876973.1724137929"/>
    <n v="4.2280544785248071E-2"/>
    <n v="34892813"/>
    <x v="62"/>
    <n v="5143890.0375477904"/>
    <n v="4515690.0375477904"/>
    <n v="628200"/>
    <n v="3324837"/>
    <n v="4047073"/>
    <n v="20705.172413793101"/>
    <n v="21637"/>
    <n v="55930"/>
    <n v="50390"/>
    <n v="5121"/>
    <n v="7095"/>
    <n v="33120"/>
    <n v="81778"/>
    <n v="340219"/>
    <n v="480522"/>
    <n v="73972"/>
    <n v="55623"/>
    <n v="16003"/>
    <n v="12102"/>
    <n v="7066"/>
    <n v="6133"/>
    <n v="0"/>
    <n v="1534"/>
    <n v="0"/>
    <n v="0"/>
    <n v="4763887"/>
    <n v="0.92612535750687497"/>
    <n v="-380003.03754779045"/>
    <n v="0.29042927228845472"/>
    <n v="0.11482938776878547"/>
    <n v="0.13652917579330734"/>
    <n v="8.532994823122908E-2"/>
  </r>
  <r>
    <n v="32149498"/>
    <n v="3691707.1724137929"/>
    <n v="4.0260116202992274E-2"/>
    <n v="38712693"/>
    <x v="63"/>
    <n v="4846185.1523354203"/>
    <n v="4178769.1523354198"/>
    <n v="667416"/>
    <n v="3006578"/>
    <n v="3273154"/>
    <n v="20405.172413793101"/>
    <n v="28567"/>
    <n v="61036"/>
    <n v="21743"/>
    <n v="128"/>
    <n v="154"/>
    <n v="94925"/>
    <n v="89264"/>
    <n v="365903"/>
    <n v="393807"/>
    <n v="115450"/>
    <n v="40051"/>
    <n v="19487"/>
    <n v="5342"/>
    <n v="7795"/>
    <n v="5065"/>
    <n v="0"/>
    <n v="560"/>
    <n v="0"/>
    <n v="0"/>
    <n v="3857707"/>
    <n v="0.7960296354217784"/>
    <n v="-988478.15233542025"/>
    <n v="0.38792892478117325"/>
    <n v="7.4081218780168781E-2"/>
    <n v="9.9649667875081699E-2"/>
    <n v="3.1809423157640682E-2"/>
  </r>
  <r>
    <n v="37519228"/>
    <n v="2779470.1379310344"/>
    <n v="3.0311664904528256E-2"/>
    <n v="39872258"/>
    <x v="64"/>
    <n v="3647918.67494134"/>
    <n v="3029226.67494134"/>
    <n v="618692"/>
    <n v="2158066"/>
    <n v="2313818"/>
    <n v="20349.1379310345"/>
    <n v="23488"/>
    <n v="52546"/>
    <n v="32023"/>
    <n v="1600"/>
    <n v="1687"/>
    <n v="74876"/>
    <n v="118330"/>
    <n v="330846"/>
    <n v="299324"/>
    <n v="120380"/>
    <n v="33674"/>
    <n v="14076"/>
    <n v="6895"/>
    <n v="6731"/>
    <n v="6866"/>
    <n v="0"/>
    <n v="387"/>
    <n v="0"/>
    <n v="0"/>
    <n v="2836492"/>
    <n v="0.77756448340932705"/>
    <n v="-811426.67494134"/>
    <n v="6.4668878159658494E-2"/>
    <n v="6.740842649129003E-2"/>
    <n v="7.1139487510338648E-2"/>
    <n v="8.8300650262573832E-3"/>
  </r>
  <r>
    <n v="39523265"/>
    <n v="2664201.1034482759"/>
    <n v="2.9054592090747018E-2"/>
    <n v="52578844"/>
    <x v="65"/>
    <n v="3375221.9335819301"/>
    <n v="2833361.9335819301"/>
    <n v="541860"/>
    <n v="2008601"/>
    <n v="2036782"/>
    <n v="17718.103448275899"/>
    <n v="29622"/>
    <n v="60599"/>
    <n v="12659"/>
    <n v="1392"/>
    <n v="1118"/>
    <n v="69932"/>
    <n v="33500"/>
    <n v="369062"/>
    <n v="318037"/>
    <n v="123391"/>
    <n v="29312"/>
    <n v="10054"/>
    <n v="16246"/>
    <n v="3452"/>
    <n v="7308"/>
    <n v="0"/>
    <n v="430"/>
    <n v="0"/>
    <n v="0"/>
    <n v="2485014"/>
    <n v="0.73625202991105143"/>
    <n v="-890207.93358193012"/>
    <n v="0.16337189623481763"/>
    <n v="4.3608026603249569E-2"/>
    <n v="4.726262144523375E-2"/>
    <n v="7.341385325542471E-2"/>
  </r>
  <r>
    <n v="48982826"/>
    <n v="2136044.3793103448"/>
    <n v="2.3294749802583687E-2"/>
    <n v="53652093"/>
    <x v="66"/>
    <n v="2893557.5762682199"/>
    <n v="2220072.5762682199"/>
    <n v="673485"/>
    <n v="1587947"/>
    <n v="4090457"/>
    <n v="16966.379310344801"/>
    <n v="21953"/>
    <n v="27670"/>
    <n v="-800"/>
    <n v="257"/>
    <n v="2170"/>
    <n v="58244"/>
    <n v="76790"/>
    <n v="305214"/>
    <n v="438569"/>
    <n v="118323"/>
    <n v="28025"/>
    <n v="13685"/>
    <n v="15404"/>
    <n v="7738"/>
    <n v="5875"/>
    <n v="0"/>
    <n v="0"/>
    <n v="0"/>
    <n v="0"/>
    <n v="4678443"/>
    <n v="1.6168480760053585"/>
    <n v="1784885.4237317801"/>
    <n v="0.85470209787104845"/>
    <n v="5.2312195274323695E-2"/>
    <n v="8.7199636368333291E-2"/>
    <n v="0.11265989584748293"/>
  </r>
  <r>
    <n v="48219670"/>
    <n v="2522476.7931034481"/>
    <n v="2.7509009806781361E-2"/>
    <n v="31554878"/>
    <x v="67"/>
    <n v="3416113.71282834"/>
    <n v="2642557.71282834"/>
    <n v="773556"/>
    <n v="1877757"/>
    <n v="3929406"/>
    <n v="21363.793103448301"/>
    <n v="31783"/>
    <n v="18440"/>
    <n v="29516"/>
    <n v="10318"/>
    <n v="5855"/>
    <n v="85023"/>
    <n v="97853"/>
    <n v="365073"/>
    <n v="392149"/>
    <n v="119743"/>
    <n v="38657"/>
    <n v="17150"/>
    <n v="9352"/>
    <n v="7609"/>
    <n v="7473"/>
    <n v="0"/>
    <n v="0"/>
    <n v="0"/>
    <n v="0"/>
    <n v="4542044"/>
    <n v="1.3295939133827768"/>
    <n v="1125930.28717166"/>
    <n v="0.21772260215400885"/>
    <n v="0.12791823517822315"/>
    <n v="0.14394110476358046"/>
    <n v="8.2171256501197609E-2"/>
  </r>
  <r>
    <n v="29158858"/>
    <n v="3729949.6551724137"/>
    <n v="4.06771717081683E-2"/>
    <n v="32083406"/>
    <x v="68"/>
    <n v="4894349.2464806996"/>
    <n v="4195009.2464806996"/>
    <n v="699340"/>
    <n v="3068514"/>
    <n v="3911691"/>
    <n v="17939.655172413801"/>
    <n v="24886"/>
    <n v="54141"/>
    <n v="70786"/>
    <n v="9922"/>
    <n v="1807"/>
    <n v="44926"/>
    <n v="118012"/>
    <n v="397940"/>
    <n v="576157"/>
    <n v="105887"/>
    <n v="72081"/>
    <n v="23153"/>
    <n v="6863"/>
    <n v="7527"/>
    <n v="7574"/>
    <n v="0"/>
    <n v="0"/>
    <n v="0"/>
    <n v="0"/>
    <n v="4789857"/>
    <n v="0.97865043109544436"/>
    <n v="-104492.24648069963"/>
    <n v="0.23295100326028573"/>
    <n v="0.11915767010749831"/>
    <n v="0.14929390601484144"/>
    <n v="-1.5930570598151617E-2"/>
  </r>
  <r>
    <n v="32602787"/>
    <n v="3884872.1379310344"/>
    <n v="4.2366687389402573E-2"/>
    <n v="34020740"/>
    <x v="69"/>
    <n v="5073230.9146942999"/>
    <n v="4311064.9146942999"/>
    <n v="762166"/>
    <n v="3074978"/>
    <n v="3585730"/>
    <n v="18699.1379310345"/>
    <n v="24993"/>
    <n v="92616"/>
    <n v="75058"/>
    <n v="13747"/>
    <n v="1008"/>
    <n v="83805"/>
    <n v="94735"/>
    <n v="459672"/>
    <n v="482545"/>
    <n v="109568"/>
    <n v="88078"/>
    <n v="23342"/>
    <n v="16703"/>
    <n v="8445"/>
    <n v="11247"/>
    <n v="0"/>
    <n v="0"/>
    <n v="0"/>
    <n v="0"/>
    <n v="4380097"/>
    <n v="0.86337426260518113"/>
    <n v="-693133.91469429992"/>
    <n v="0.18507980251607714"/>
    <n v="0.10641747296972097"/>
    <n v="0.12874784616677945"/>
    <n v="-2.0463630219876627E-2"/>
  </r>
  <r>
    <n v="34731472"/>
    <n v="3696035.4827586208"/>
    <n v="4.0307318830207002E-2"/>
    <n v="39021599"/>
    <x v="70"/>
    <n v="4960834.1958905198"/>
    <n v="4271438.1958905198"/>
    <n v="689396"/>
    <n v="3121984"/>
    <n v="2569096"/>
    <n v="20284.482758620699"/>
    <n v="25789"/>
    <n v="49307"/>
    <n v="27546"/>
    <n v="2001"/>
    <n v="2372"/>
    <n v="60084"/>
    <n v="82817"/>
    <n v="316270"/>
    <n v="528144"/>
    <n v="103062"/>
    <n v="114102"/>
    <n v="15545"/>
    <n v="9692"/>
    <n v="7498"/>
    <n v="6730"/>
    <n v="0"/>
    <n v="430"/>
    <n v="0"/>
    <n v="0"/>
    <n v="3366718"/>
    <n v="0.67865965018321683"/>
    <n v="-1594116.1958905198"/>
    <n v="0.15309682737115193"/>
    <n v="7.3916050844220316E-2"/>
    <n v="8.627831986075199E-2"/>
    <n v="-1.2123047159065092E-2"/>
  </r>
  <r>
    <n v="39500465"/>
    <n v="2919718.3793103448"/>
    <n v="3.1841149836970631E-2"/>
    <n v="42853042"/>
    <x v="71"/>
    <n v="3809914.76603708"/>
    <n v="3126449.76603708"/>
    <n v="683465"/>
    <n v="2241196"/>
    <n v="2352964"/>
    <n v="20541.379310344801"/>
    <n v="25240"/>
    <n v="35516"/>
    <n v="10254"/>
    <n v="3738"/>
    <n v="1229"/>
    <n v="80503"/>
    <n v="84747"/>
    <n v="406345"/>
    <n v="449788"/>
    <n v="108540"/>
    <n v="88592"/>
    <n v="17978"/>
    <n v="15754"/>
    <n v="5361"/>
    <n v="13891"/>
    <n v="0"/>
    <n v="0"/>
    <n v="0"/>
    <n v="0"/>
    <n v="3042459"/>
    <n v="0.79856353405108937"/>
    <n v="-767455.76603707997"/>
    <n v="0.14681627126009222"/>
    <n v="6.5490743870490892E-2"/>
    <n v="7.0997503514452956E-2"/>
    <n v="5.7866079365971101E-2"/>
  </r>
  <r>
    <n v="40508948"/>
    <n v="2652961.1379310344"/>
    <n v="2.893201402680326E-2"/>
    <n v="51179806"/>
    <x v="72"/>
    <n v="3495543.76009935"/>
    <n v="2887214.76009935"/>
    <n v="608329"/>
    <n v="2063367"/>
    <n v="2001768"/>
    <n v="19974.1379310345"/>
    <n v="28216"/>
    <n v="42958"/>
    <n v="14927"/>
    <n v="2014"/>
    <n v="2224"/>
    <n v="70950"/>
    <n v="87934"/>
    <n v="344615"/>
    <n v="481251"/>
    <n v="79899"/>
    <n v="65098"/>
    <n v="19325"/>
    <n v="17234"/>
    <n v="9859"/>
    <n v="7560"/>
    <n v="0"/>
    <n v="0"/>
    <n v="0"/>
    <n v="603"/>
    <n v="2706815"/>
    <n v="0.77436164035407962"/>
    <n v="-788728.76009935001"/>
    <n v="0.13570951176692003"/>
    <n v="4.6929898180670719E-2"/>
    <n v="5.288834037393577E-2"/>
    <n v="7.7595812839552636E-3"/>
  </r>
  <r>
    <n v="50785730"/>
    <n v="2383369.1379310344"/>
    <n v="2.5991963600132929E-2"/>
    <n v="49926015"/>
    <x v="73"/>
    <n v="3092104.9730690098"/>
    <n v="2445914.9730690098"/>
    <n v="646190"/>
    <n v="1765846"/>
    <n v="2324978"/>
    <n v="21924.1379310345"/>
    <n v="29697"/>
    <n v="20436"/>
    <n v="6793"/>
    <n v="10353"/>
    <n v="2651"/>
    <n v="44555"/>
    <n v="127807"/>
    <n v="376445"/>
    <n v="506009"/>
    <n v="119373"/>
    <n v="90650"/>
    <n v="15604"/>
    <n v="17281"/>
    <n v="8833"/>
    <n v="7630"/>
    <n v="0"/>
    <n v="1791"/>
    <n v="0"/>
    <n v="646"/>
    <n v="3115933"/>
    <n v="1.0077060860282956"/>
    <n v="23828.026930990163"/>
    <n v="0.24684915241783667"/>
    <n v="5.3577824615761889E-2"/>
    <n v="6.2411009570862007E-2"/>
    <n v="7.0379499865403927E-2"/>
  </r>
  <r>
    <n v="46643284"/>
    <n v="2499045.6896551726"/>
    <n v="2.7253480615668648E-2"/>
    <n v="48089099"/>
    <x v="74"/>
    <n v="3188666.7215949399"/>
    <n v="2491799.7215949399"/>
    <n v="696867"/>
    <n v="1783206"/>
    <n v="3399452"/>
    <n v="22420.689655172398"/>
    <n v="29457"/>
    <n v="15356"/>
    <n v="1988"/>
    <n v="4841"/>
    <n v="8157"/>
    <n v="72242"/>
    <n v="87872"/>
    <n v="420638"/>
    <n v="560507"/>
    <n v="153175"/>
    <n v="93974"/>
    <n v="16158"/>
    <n v="17848"/>
    <n v="11009"/>
    <n v="11596"/>
    <n v="0"/>
    <n v="0"/>
    <n v="0"/>
    <n v="0"/>
    <n v="4210851"/>
    <n v="1.3205679262377641"/>
    <n v="1022184.2784050601"/>
    <n v="0.28897731343298694"/>
    <n v="6.8617780005099938E-2"/>
    <n v="8.7563524531827891E-2"/>
    <n v="1.0086816372501195E-2"/>
  </r>
  <r>
    <n v="47608877"/>
    <n v="3266815.4482758623"/>
    <n v="3.5626436068417006E-2"/>
    <n v="29095609"/>
    <x v="75"/>
    <n v="4195600.6436511902"/>
    <n v="3410028.6436511902"/>
    <n v="785572"/>
    <n v="2491693"/>
    <n v="3855703"/>
    <n v="27203.448275862102"/>
    <n v="23686"/>
    <n v="16130"/>
    <n v="50602"/>
    <n v="128"/>
    <n v="-430"/>
    <n v="62349"/>
    <n v="113345"/>
    <n v="466542"/>
    <n v="500176"/>
    <n v="176254"/>
    <n v="79938"/>
    <n v="16451"/>
    <n v="15249"/>
    <n v="10065"/>
    <n v="11085"/>
    <n v="0"/>
    <n v="397"/>
    <n v="0"/>
    <n v="0"/>
    <n v="4649751"/>
    <n v="1.1082444195531416"/>
    <n v="454150.35634880979"/>
    <n v="0.21918557279306938"/>
    <n v="0.12854464866690449"/>
    <n v="0.15980937192275302"/>
    <n v="-1.9332976352617215E-2"/>
  </r>
  <r>
    <n v="29669203"/>
    <n v="3813817.2758620689"/>
    <n v="4.1591794671729708E-2"/>
    <n v="33761513"/>
    <x v="76"/>
    <n v="4962094.2578005204"/>
    <n v="4248239.2578005204"/>
    <n v="713855"/>
    <n v="3071084"/>
    <n v="3737072"/>
    <n v="18998.275862069"/>
    <n v="19698"/>
    <n v="73572"/>
    <n v="39710"/>
    <n v="-818"/>
    <n v="5715"/>
    <n v="73153"/>
    <n v="78016"/>
    <n v="419718"/>
    <n v="524686"/>
    <n v="123367"/>
    <n v="102274"/>
    <n v="22898"/>
    <n v="18601"/>
    <n v="11845"/>
    <n v="8408"/>
    <n v="0"/>
    <n v="0"/>
    <n v="0"/>
    <n v="0"/>
    <n v="4534180"/>
    <n v="0.91376337579081057"/>
    <n v="-427914.2578005204"/>
    <n v="0.24359076488880183"/>
    <n v="0.11520510367646092"/>
    <n v="0.13430026077326571"/>
    <n v="6.6773825867531E-2"/>
  </r>
  <r>
    <n v="31648239"/>
    <n v="3646038.6551724137"/>
    <n v="3.9762075669145136E-2"/>
    <n v="37697073"/>
    <x v="77"/>
    <n v="4800393.87091411"/>
    <n v="4124349.87091411"/>
    <n v="676044"/>
    <n v="2976626"/>
    <n v="3081196"/>
    <n v="19664.655172413801"/>
    <n v="22547"/>
    <n v="74611"/>
    <n v="983"/>
    <n v="-1496"/>
    <n v="3306"/>
    <n v="72214"/>
    <n v="83172"/>
    <n v="365376"/>
    <n v="498101"/>
    <n v="116910"/>
    <n v="60356"/>
    <n v="13598"/>
    <n v="12568"/>
    <n v="8535"/>
    <n v="4699"/>
    <n v="0"/>
    <n v="0"/>
    <n v="0"/>
    <n v="0"/>
    <n v="3766928"/>
    <n v="0.78471227597053128"/>
    <n v="-1033465.87091411"/>
    <n v="0.27756685937836978"/>
    <n v="8.5161423500863115E-2"/>
    <n v="9.9926272790463067E-2"/>
    <n v="8.879686316662827E-2"/>
  </r>
  <r>
    <n v="34622687"/>
    <n v="2948517.3103448278"/>
    <n v="3.215521816791362E-2"/>
    <n v="35305337"/>
    <x v="78"/>
    <n v="3757465.64467031"/>
    <n v="3088476.64467031"/>
    <n v="668989"/>
    <n v="2194292"/>
    <n v="2534659"/>
    <n v="18904.310344827602"/>
    <n v="20797"/>
    <n v="70889"/>
    <n v="80650"/>
    <n v="0"/>
    <n v="1003"/>
    <n v="68484"/>
    <n v="84430"/>
    <n v="455909"/>
    <n v="508388"/>
    <n v="113508"/>
    <n v="64656"/>
    <n v="13831"/>
    <n v="10353"/>
    <n v="12700"/>
    <n v="10150"/>
    <n v="0"/>
    <n v="-387"/>
    <n v="0"/>
    <n v="1291"/>
    <n v="3315990"/>
    <n v="0.88250707087727842"/>
    <n v="-441475.64467030996"/>
    <n v="0.36295496398499272"/>
    <n v="6.4066308984066248E-2"/>
    <n v="9.3923193538699268E-2"/>
    <n v="-7.030957355542744E-2"/>
  </r>
  <r>
    <n v="37975369"/>
    <n v="2432941.7241379311"/>
    <n v="2.6532580173431613E-2"/>
    <n v="47045887"/>
    <x v="79"/>
    <n v="3134941.7407317399"/>
    <n v="2478986.7407317399"/>
    <n v="655955"/>
    <n v="1684468"/>
    <n v="2128572"/>
    <n v="18401.724137931"/>
    <n v="23927"/>
    <n v="87171"/>
    <n v="4877"/>
    <n v="-2861"/>
    <n v="-1018"/>
    <n v="101126"/>
    <n v="83878"/>
    <n v="425643"/>
    <n v="391543"/>
    <n v="104286"/>
    <n v="53191"/>
    <n v="5964"/>
    <n v="10847"/>
    <n v="8743"/>
    <n v="11032"/>
    <n v="0"/>
    <n v="0"/>
    <n v="0"/>
    <n v="2153"/>
    <n v="2709002"/>
    <n v="0.86413152908151991"/>
    <n v="-425939.7407317399"/>
    <n v="0.39002456361141635"/>
    <n v="4.5197939218770605E-2"/>
    <n v="5.7582121897287217E-2"/>
    <n v="9.1072083984226504E-2"/>
  </r>
  <r>
    <n v="43118954"/>
    <n v="1948887.8620689656"/>
    <n v="2.1253704080271267E-2"/>
    <n v="47447277"/>
    <x v="80"/>
    <n v="2622953.7217157199"/>
    <n v="1932466.7217157199"/>
    <n v="690487"/>
    <n v="1375650"/>
    <n v="2696322"/>
    <n v="18050.8620689655"/>
    <n v="24803"/>
    <n v="29277"/>
    <n v="11387"/>
    <n v="3421"/>
    <n v="6523"/>
    <n v="45609"/>
    <n v="61903"/>
    <n v="352550"/>
    <n v="584128"/>
    <n v="96081"/>
    <n v="66334"/>
    <n v="18519"/>
    <n v="14472"/>
    <n v="9730"/>
    <n v="10711"/>
    <n v="0"/>
    <n v="0"/>
    <n v="0"/>
    <n v="0"/>
    <n v="3476583"/>
    <n v="1.3254458022713058"/>
    <n v="853629.2782842801"/>
    <n v="0.5361843349765929"/>
    <n v="5.244187481762709E-2"/>
    <n v="7.3272550498524922E-2"/>
    <n v="9.9462022865766109E-2"/>
  </r>
  <r>
    <n v="43154994"/>
    <n v="2263128.7931034481"/>
    <n v="2.4680675887169143E-2"/>
    <n v="26759642"/>
    <x v="81"/>
    <n v="2868426.7151839002"/>
    <n v="2206452.7151839002"/>
    <n v="661974"/>
    <n v="1610627"/>
    <n v="3611779"/>
    <n v="19763.793103448301"/>
    <n v="23259"/>
    <n v="13804"/>
    <n v="34041"/>
    <n v="693"/>
    <n v="886"/>
    <n v="35822"/>
    <n v="101609"/>
    <n v="412452"/>
    <n v="93872"/>
    <n v="148039"/>
    <n v="11647"/>
    <n v="13860"/>
    <n v="13189"/>
    <n v="8068"/>
    <n v="8934"/>
    <n v="0"/>
    <n v="0"/>
    <n v="0"/>
    <n v="861"/>
    <n v="3900077"/>
    <n v="1.3596571874592789"/>
    <n v="1031650.2848160998"/>
    <n v="0.15030348698819895"/>
    <n v="0.13229945185092476"/>
    <n v="0.14574473754170553"/>
    <n v="4.4185356930625197E-2"/>
  </r>
  <r>
    <n v="25627291"/>
    <n v="3390476.5517241377"/>
    <n v="3.6975029053207452E-2"/>
    <n v="30907085"/>
    <x v="82"/>
    <n v="4224181.7416150905"/>
    <n v="3601462.7416150901"/>
    <n v="622719"/>
    <n v="2606781"/>
    <n v="3876733"/>
    <n v="17396.551724137898"/>
    <n v="20599"/>
    <n v="77734"/>
    <n v="29088"/>
    <n v="0"/>
    <n v="947"/>
    <n v="41412"/>
    <n v="88728"/>
    <n v="451453"/>
    <n v="841416"/>
    <n v="167225"/>
    <n v="103320"/>
    <n v="21788"/>
    <n v="8844"/>
    <n v="6687"/>
    <n v="6800"/>
    <n v="0"/>
    <n v="0"/>
    <n v="0"/>
    <n v="0"/>
    <n v="4976475"/>
    <n v="1.1780920671508026"/>
    <n v="752293.25838490948"/>
    <n v="0.39800726839369349"/>
    <n v="0.12605985029321362"/>
    <n v="0.16101405227959867"/>
    <n v="9.451681059804673E-2"/>
  </r>
  <r>
    <n v="28238109"/>
    <n v="3559691.7931034481"/>
    <n v="3.8820415201966926E-2"/>
    <n v="33708145"/>
    <x v="83"/>
    <n v="4405341.64100309"/>
    <n v="3837335.64100309"/>
    <n v="568006"/>
    <n v="2806584"/>
    <n v="3689993"/>
    <n v="19038.793103448301"/>
    <n v="23278"/>
    <n v="62901"/>
    <n v="52915"/>
    <n v="2386"/>
    <n v="0"/>
    <n v="32084"/>
    <n v="73771"/>
    <n v="450799"/>
    <n v="430352"/>
    <n v="158470"/>
    <n v="73055"/>
    <n v="18507"/>
    <n v="18886"/>
    <n v="8922"/>
    <n v="10282"/>
    <n v="0"/>
    <n v="1344"/>
    <n v="0"/>
    <n v="861"/>
    <n v="4374737"/>
    <n v="0.99305283369665709"/>
    <n v="-30604.641003089957"/>
    <n v="0.38089159552293639"/>
    <n v="0.10447227414323559"/>
    <n v="0.12978278691989725"/>
    <n v="0.11158720469304906"/>
  </r>
  <r>
    <n v="30324337"/>
    <n v="3168052.4482758623"/>
    <n v="3.4549370724158861E-2"/>
    <n v="38132226"/>
    <x v="84"/>
    <n v="4399478.9731613202"/>
    <n v="3807049.9731613202"/>
    <n v="592429"/>
    <n v="2785242"/>
    <n v="3046332"/>
    <n v="19578.448275862102"/>
    <n v="22864"/>
    <n v="70468"/>
    <n v="69528"/>
    <n v="7635"/>
    <n v="0"/>
    <n v="17001"/>
    <n v="94127"/>
    <n v="173023"/>
    <n v="361861"/>
    <n v="64342"/>
    <n v="94556"/>
    <n v="22411"/>
    <n v="18197"/>
    <n v="8352"/>
    <n v="9810"/>
    <n v="0"/>
    <n v="516"/>
    <n v="0"/>
    <n v="0"/>
    <n v="3717791"/>
    <n v="0.84505256706080312"/>
    <n v="-681687.9731613202"/>
    <n v="0.1761266210939525"/>
    <n v="8.9193752040735916E-2"/>
    <n v="9.7497350403829036E-2"/>
    <n v="7.5958944277553009E-2"/>
  </r>
  <r>
    <n v="35440224"/>
    <n v="3161046.5517241377"/>
    <n v="3.4472967532869409E-2"/>
    <n v="41924161"/>
    <x v="85"/>
    <n v="3519116.6175930798"/>
    <n v="2932739.6175930798"/>
    <n v="586377"/>
    <n v="2131767"/>
    <n v="2642807"/>
    <n v="19721.551724137898"/>
    <n v="23650"/>
    <n v="37713"/>
    <n v="-404"/>
    <n v="4760"/>
    <n v="0"/>
    <n v="39979"/>
    <n v="79044"/>
    <n v="694821"/>
    <n v="434744"/>
    <n v="205802"/>
    <n v="76785"/>
    <n v="13403"/>
    <n v="21103"/>
    <n v="13080"/>
    <n v="17145"/>
    <n v="0"/>
    <n v="1334"/>
    <n v="0"/>
    <n v="1894"/>
    <n v="3298102"/>
    <n v="0.93719599501529338"/>
    <n v="-221014.61759307981"/>
    <n v="0.34067976734272243"/>
    <n v="6.0571230468978166E-2"/>
    <n v="7.8668288674876519E-2"/>
    <n v="3.2266298666112858E-2"/>
  </r>
  <r>
    <n v="40613707"/>
    <n v="2460022.2068965519"/>
    <n v="2.6827907871912731E-2"/>
    <n v="47742193"/>
    <x v="86"/>
    <n v="3000751.2837741398"/>
    <n v="2480720.2837741398"/>
    <n v="520031"/>
    <n v="1774382"/>
    <n v="2317287"/>
    <n v="23261.206896551699"/>
    <n v="27167"/>
    <n v="33871"/>
    <n v="17429"/>
    <n v="4459"/>
    <n v="4746"/>
    <n v="53653"/>
    <n v="201003"/>
    <n v="427289"/>
    <n v="468826"/>
    <n v="115398"/>
    <n v="82721"/>
    <n v="14337"/>
    <n v="18605"/>
    <n v="13372"/>
    <n v="10400"/>
    <n v="0"/>
    <n v="0"/>
    <n v="0"/>
    <n v="0"/>
    <n v="3148184"/>
    <n v="1.0491319347335009"/>
    <n v="147432.71622586017"/>
    <n v="0.5057527618711164"/>
    <n v="4.4071566790042614E-2"/>
    <n v="6.5941336209670978E-2"/>
    <n v="6.3624310415708596E-3"/>
  </r>
  <r>
    <n v="47440357"/>
    <n v="2090770.8620689656"/>
    <n v="2.2801016963024712E-2"/>
    <n v="45273020"/>
    <x v="87"/>
    <n v="2598466.11398621"/>
    <n v="2008754.11398621"/>
    <n v="589712"/>
    <n v="1413648"/>
    <n v="2957998"/>
    <n v="22200.8620689655"/>
    <n v="26180"/>
    <n v="26911"/>
    <n v="-154"/>
    <n v="3768"/>
    <n v="550"/>
    <n v="63590"/>
    <n v="61517"/>
    <n v="438928"/>
    <n v="431690"/>
    <n v="103627"/>
    <n v="77277"/>
    <n v="9571"/>
    <n v="13682"/>
    <n v="8527"/>
    <n v="3904"/>
    <n v="0"/>
    <n v="0"/>
    <n v="0"/>
    <n v="904"/>
    <n v="3573548"/>
    <n v="1.3752528773669299"/>
    <n v="975081.88601379003"/>
    <n v="0.48538781378730245"/>
    <n v="5.1883385348836873E-2"/>
    <n v="7.8933280792843064E-2"/>
    <n v="-2.3644430320186594E-2"/>
  </r>
  <r>
    <n v="46369398"/>
    <n v="2405801.3448275859"/>
    <n v="2.6236599269801774E-2"/>
    <n v="33370751"/>
    <x v="88"/>
    <n v="2961464.0918172901"/>
    <n v="2402662.0918172901"/>
    <n v="558802"/>
    <n v="1746951"/>
    <n v="3604617"/>
    <n v="25310.344827586199"/>
    <n v="22502"/>
    <n v="1629"/>
    <n v="35752"/>
    <n v="3494"/>
    <n v="1275"/>
    <n v="52783"/>
    <n v="167268"/>
    <n v="424195"/>
    <n v="465162"/>
    <n v="120034"/>
    <n v="79652"/>
    <n v="20419"/>
    <n v="21229"/>
    <n v="10986"/>
    <n v="5239"/>
    <n v="0"/>
    <n v="0"/>
    <n v="0"/>
    <n v="861"/>
    <n v="4403557"/>
    <n v="1.486952690788081"/>
    <n v="1442092.9081827099"/>
    <n v="0.29547843033483123"/>
    <n v="0.12773169131478163"/>
    <n v="0.13195858253234996"/>
    <n v="0.25398172512136696"/>
  </r>
  <r>
    <n v="26611832"/>
    <n v="3399174.3103448278"/>
    <n v="3.7069882939612969E-2"/>
    <n v="38734445"/>
    <x v="89"/>
    <n v="4175603.56200366"/>
    <n v="3657616.56200366"/>
    <n v="517987"/>
    <n v="2655583"/>
    <n v="3283588"/>
    <n v="17754.310344827602"/>
    <n v="15779"/>
    <n v="51685"/>
    <n v="39244"/>
    <n v="2075"/>
    <n v="2701"/>
    <n v="59000"/>
    <n v="39379"/>
    <n v="466998"/>
    <n v="507477"/>
    <n v="119148"/>
    <n v="107093"/>
    <n v="19608"/>
    <n v="9535"/>
    <n v="7323"/>
    <n v="7513"/>
    <n v="0"/>
    <n v="0"/>
    <n v="0"/>
    <n v="0"/>
    <n v="4012309"/>
    <n v="0.96089318356522735"/>
    <n v="-163294.56200366002"/>
    <n v="1.9172005525289748E-2"/>
    <n v="0.13207245227786754"/>
    <n v="0.10358503910408423"/>
    <n v="0.29945933531409086"/>
  </r>
  <r>
    <n v="29808124"/>
    <n v="3936832.0344827585"/>
    <n v="4.7400183559419766E-2"/>
    <n v="43075503"/>
    <x v="90"/>
    <n v="3202889.1143756318"/>
    <n v="2530915.7136566299"/>
    <n v="671973.40071900201"/>
    <n v="3138536"/>
    <n v="2663655"/>
    <n v="22106.034482758601"/>
    <n v="25983"/>
    <n v="84893"/>
    <n v="48888"/>
    <n v="8872"/>
    <n v="71"/>
    <n v="49545"/>
    <n v="69713"/>
    <n v="478988"/>
    <n v="295216"/>
    <n v="121840"/>
    <n v="108376"/>
    <n v="21703"/>
    <n v="8989"/>
    <n v="10349"/>
    <n v="5695"/>
    <n v="0"/>
    <n v="0"/>
    <n v="0"/>
    <n v="1536"/>
    <n v="3228122"/>
    <n v="1.0078781639711205"/>
    <n v="25232.885624368209"/>
    <n v="-0.20397530991597446"/>
    <n v="0.12274392420935275"/>
    <n v="7.4941016939488792E-2"/>
    <n v="0.30378794175345813"/>
  </r>
  <r>
    <n v="33038734"/>
    <n v="4055303.8620689656"/>
    <n v="4.882660620712715E-2"/>
    <n v="36898701"/>
    <x v="91"/>
    <n v="2492074.404775437"/>
    <n v="1958190.40659514"/>
    <n v="533883.99818029697"/>
    <n v="3224956"/>
    <n v="1732887"/>
    <n v="19000.8620689655"/>
    <n v="24716"/>
    <n v="53719"/>
    <n v="32881"/>
    <n v="3290"/>
    <n v="6045"/>
    <n v="91562"/>
    <n v="122827"/>
    <n v="496250"/>
    <n v="244674"/>
    <n v="140257"/>
    <n v="97541"/>
    <n v="19389"/>
    <n v="9445"/>
    <n v="6880"/>
    <n v="7745"/>
    <n v="0"/>
    <n v="-585"/>
    <n v="0"/>
    <n v="0"/>
    <n v="2278176"/>
    <n v="0.91416853190035008"/>
    <n v="-213898.40477543697"/>
    <n v="-0.25369504920914754"/>
    <n v="8.1323903359707142E-2"/>
    <n v="6.1741360488544027E-2"/>
    <n v="-1.698907807113148E-2"/>
  </r>
  <r>
    <n v="37536410"/>
    <n v="3052607.3793103448"/>
    <n v="3.6753955679788182E-2"/>
    <n v="17241821"/>
    <x v="92"/>
    <n v="2018282.4388011731"/>
    <n v="1508618.83358052"/>
    <n v="509663.605220653"/>
    <n v="2284246"/>
    <n v="1389487"/>
    <n v="20966.379310344801"/>
    <n v="23309"/>
    <n v="55138"/>
    <n v="-1550"/>
    <n v="3034"/>
    <n v="0"/>
    <n v="100239"/>
    <n v="46431"/>
    <n v="439577"/>
    <n v="273373"/>
    <n v="113852"/>
    <n v="89277"/>
    <n v="26202"/>
    <n v="12317"/>
    <n v="9353"/>
    <n v="3148"/>
    <n v="0"/>
    <n v="1439"/>
    <n v="0"/>
    <n v="0"/>
    <n v="1837231"/>
    <n v="0.91029430008383028"/>
    <n v="-181051.43880117312"/>
    <n v="-0.2635871766914516"/>
    <n v="6.5921403064069475E-2"/>
    <n v="0.10655666823127326"/>
    <n v="-0.54441737572436"/>
  </r>
  <r>
    <n v="37845651"/>
    <n v="2494838.4137931038"/>
    <n v="3.0038314494771637E-2"/>
    <n v="29614522"/>
    <x v="93"/>
    <n v="1813607.8576939679"/>
    <n v="1438592.65500991"/>
    <n v="375015.20268405799"/>
    <n v="1760543"/>
    <n v="1533453"/>
    <n v="20947.4137931035"/>
    <n v="20033"/>
    <n v="62700"/>
    <n v="3141"/>
    <n v="517"/>
    <n v="6216"/>
    <n v="58034"/>
    <n v="58547"/>
    <n v="446985"/>
    <n v="258489"/>
    <n v="115709"/>
    <n v="94071"/>
    <n v="18229"/>
    <n v="8439"/>
    <n v="11174"/>
    <n v="5821"/>
    <n v="0"/>
    <n v="0"/>
    <n v="0"/>
    <n v="689"/>
    <n v="1988899"/>
    <n v="1.0966532768163664"/>
    <n v="175291.14230603212"/>
    <n v="-7.2327307381936823E-2"/>
    <n v="4.3378422722509559E-2"/>
    <n v="6.7159584746969744E-2"/>
    <n v="-0.4008155595344014"/>
  </r>
  <r>
    <n v="49424718"/>
    <n v="2143966.3103448274"/>
    <n v="2.5813749676244106E-2"/>
    <n v="32111892"/>
    <x v="94"/>
    <n v="2403925.7696780148"/>
    <n v="1923027.8825731699"/>
    <n v="480897.88710484502"/>
    <n v="1496166"/>
    <n v="2062753"/>
    <n v="21429.310344827602"/>
    <n v="21508"/>
    <n v="11511"/>
    <n v="-895"/>
    <n v="8"/>
    <n v="0"/>
    <n v="49878"/>
    <n v="60855"/>
    <n v="435734"/>
    <n v="330907"/>
    <n v="114189"/>
    <n v="116557"/>
    <n v="9901"/>
    <n v="9893"/>
    <n v="5150"/>
    <n v="5934"/>
    <n v="0"/>
    <n v="0"/>
    <n v="0"/>
    <n v="2066"/>
    <n v="2609578"/>
    <n v="1.0855484944318936"/>
    <n v="205652.2303219852"/>
    <n v="1.772960806205548E-2"/>
    <n v="5.2541573348946838E-2"/>
    <n v="8.1265158714410229E-2"/>
    <n v="-0.34199211941112773"/>
  </r>
  <r>
    <n v="48801683"/>
    <n v="2564117.2068965519"/>
    <n v="3.0872443937205406E-2"/>
    <n v="25748860"/>
    <x v="95"/>
    <n v="3799683.2282442148"/>
    <n v="3238014.31839043"/>
    <n v="561668.90985378495"/>
    <n v="1847860"/>
    <n v="3236683"/>
    <n v="18636.206896551699"/>
    <n v="13884"/>
    <n v="26062"/>
    <n v="33131"/>
    <n v="2036"/>
    <n v="1049"/>
    <n v="55957"/>
    <n v="69872"/>
    <n v="473249"/>
    <n v="347578"/>
    <n v="122349"/>
    <n v="92698"/>
    <n v="13822"/>
    <n v="11105"/>
    <n v="4146"/>
    <n v="6982"/>
    <n v="0"/>
    <n v="0"/>
    <n v="0"/>
    <n v="0"/>
    <n v="3812982"/>
    <n v="1.0034999685386747"/>
    <n v="13298.771755785216"/>
    <n v="3.5811557226196111E-2"/>
    <n v="0.13096739969516344"/>
    <n v="0.14808352680468184"/>
    <n v="-8.3911970822780901E-2"/>
  </r>
  <r>
    <n v="28107408"/>
    <n v="3681154.1379310344"/>
    <n v="4.4321774543620761E-2"/>
    <n v="29344448"/>
    <x v="96"/>
    <n v="4130456.0199458422"/>
    <n v="3507321.56373533"/>
    <n v="623134.45621051197"/>
    <n v="2938155"/>
    <n v="3458231"/>
    <n v="17774.1379310345"/>
    <n v="13114"/>
    <n v="73052"/>
    <n v="46704"/>
    <n v="6096"/>
    <n v="6042"/>
    <n v="48292"/>
    <n v="57558"/>
    <n v="444090"/>
    <n v="339334"/>
    <n v="111346"/>
    <n v="100463"/>
    <n v="36065"/>
    <n v="21803"/>
    <n v="6284"/>
    <n v="5551"/>
    <n v="0"/>
    <n v="0"/>
    <n v="0"/>
    <n v="0"/>
    <n v="4048800"/>
    <n v="0.98023074944956978"/>
    <n v="-81656.019945842214"/>
    <n v="2.3932840375529896E-2"/>
    <n v="0.12800076920925405"/>
    <n v="0.13797499274820232"/>
    <n v="-5.00873486120057E-2"/>
  </r>
  <r>
    <n v="30891733"/>
    <n v="3954165.5862068967"/>
    <n v="4.7608882718099717E-2"/>
    <n v="32604834"/>
    <x v="97"/>
    <n v="4462204.5025639776"/>
    <n v="3823240.0389817902"/>
    <n v="638964.46358218696"/>
    <n v="3216605"/>
    <n v="3303877"/>
    <n v="21327.586206896602"/>
    <n v="7511"/>
    <n v="89117"/>
    <n v="44772"/>
    <n v="9523"/>
    <n v="1353"/>
    <n v="65722"/>
    <n v="93757"/>
    <n v="426938"/>
    <n v="499464"/>
    <n v="95196"/>
    <n v="121896"/>
    <n v="19287"/>
    <n v="23159"/>
    <n v="10450"/>
    <n v="6698"/>
    <n v="0"/>
    <n v="1621"/>
    <n v="0"/>
    <n v="2497"/>
    <n v="4106605"/>
    <n v="0.92030855995962302"/>
    <n v="-355599.50256397761"/>
    <n v="0.22831004738395433"/>
    <n v="9.9589552271077394E-2"/>
    <n v="0.12595080226447403"/>
    <n v="-2.8772778976274505E-2"/>
  </r>
  <r>
    <n v="33570758"/>
    <n v="3343296.7586206896"/>
    <n v="4.0253909403339526E-2"/>
    <n v="37442596"/>
    <x v="98"/>
    <n v="3442825.792989464"/>
    <n v="2838051.03188224"/>
    <n v="604774.76110722404"/>
    <n v="2654418"/>
    <n v="3172823"/>
    <n v="17257.758620689699"/>
    <n v="20804"/>
    <n v="79591"/>
    <n v="11709"/>
    <n v="3785"/>
    <n v="1421"/>
    <n v="72783"/>
    <n v="87691"/>
    <n v="402853"/>
    <n v="462300"/>
    <n v="84871"/>
    <n v="118189"/>
    <n v="19957"/>
    <n v="14527"/>
    <n v="7781"/>
    <n v="13979"/>
    <n v="0"/>
    <n v="0"/>
    <n v="0"/>
    <n v="818"/>
    <n v="3904261"/>
    <n v="1.1340280440416546"/>
    <n v="461435.20701053599"/>
    <n v="0.36723234514242131"/>
    <n v="7.4766793291071651E-2"/>
    <n v="0.10427324537005928"/>
    <n v="-1.9656693648064549E-2"/>
  </r>
  <r>
    <n v="38193351"/>
    <n v="2855594.3793103448"/>
    <n v="3.4381882834973787E-2"/>
    <n v="38060436"/>
    <x v="99"/>
    <n v="3326298.0552961957"/>
    <n v="2749076.7175187599"/>
    <n v="577221.33777743601"/>
    <n v="2192657"/>
    <n v="2535597"/>
    <n v="17516.379310344801"/>
    <n v="22229"/>
    <n v="43419"/>
    <n v="16211"/>
    <n v="11270"/>
    <n v="1789"/>
    <n v="53292"/>
    <n v="52425"/>
    <n v="414956"/>
    <n v="374003"/>
    <n v="99227"/>
    <n v="127024"/>
    <n v="16763"/>
    <n v="13679"/>
    <n v="6494"/>
    <n v="5354"/>
    <n v="0"/>
    <n v="0"/>
    <n v="0"/>
    <n v="646"/>
    <n v="3148957"/>
    <n v="0.94668515799002739"/>
    <n v="-177341.05529619567"/>
    <n v="0.41306601555280498"/>
    <n v="5.7685967788381379E-2"/>
    <n v="8.2735704866859647E-2"/>
    <n v="-1.4765381074470674E-2"/>
  </r>
  <r>
    <n v="38630835"/>
    <n v="2228457.1034482759"/>
    <n v="2.683103440343227E-2"/>
    <n v="44317773"/>
    <x v="100"/>
    <n v="2937113.3031593719"/>
    <n v="2441321.4519349602"/>
    <n v="495791.85122441198"/>
    <n v="1604794"/>
    <n v="1919461"/>
    <n v="16868.103448275899"/>
    <n v="23291"/>
    <n v="51502"/>
    <n v="9774"/>
    <n v="8066"/>
    <n v="0"/>
    <n v="71162"/>
    <n v="121634"/>
    <n v="379811"/>
    <n v="377396"/>
    <n v="81052"/>
    <n v="109212"/>
    <n v="5276"/>
    <n v="11510"/>
    <n v="9926"/>
    <n v="7393"/>
    <n v="0"/>
    <n v="0"/>
    <n v="0"/>
    <n v="0"/>
    <n v="2579671"/>
    <n v="0.87830149324682805"/>
    <n v="-357442.30315937195"/>
    <n v="0.32706090842252045"/>
    <n v="4.129742863523745E-2"/>
    <n v="5.8208497976646977E-2"/>
    <n v="-5.8484498566177434E-2"/>
  </r>
  <r>
    <n v="47070678"/>
    <n v="1943897.9655172415"/>
    <n v="2.3404889916367962E-2"/>
    <n v="45342867"/>
    <x v="101"/>
    <n v="3206594.500332939"/>
    <n v="2685635.78252867"/>
    <n v="520958.71780426899"/>
    <n v="1381331"/>
    <n v="2182914"/>
    <n v="16293.9655172414"/>
    <n v="23094"/>
    <n v="6610"/>
    <n v="-748"/>
    <n v="11834"/>
    <n v="0"/>
    <n v="53467"/>
    <n v="47402"/>
    <n v="372193"/>
    <n v="497090"/>
    <n v="72801"/>
    <n v="137516"/>
    <n v="17561"/>
    <n v="16747"/>
    <n v="11807"/>
    <n v="6469"/>
    <n v="0"/>
    <n v="0"/>
    <n v="0"/>
    <n v="0"/>
    <n v="2910484"/>
    <n v="0.90765576991347241"/>
    <n v="-296110.50033293897"/>
    <n v="0.36574766384175361"/>
    <n v="4.9721323973147505E-2"/>
    <n v="6.4188354035928083E-2"/>
    <n v="5.7929948187108726E-2"/>
  </r>
  <r>
    <n v="42859990"/>
    <n v="2131055.4482758623"/>
    <n v="2.5658300516458021E-2"/>
    <n v="25303094"/>
    <x v="102"/>
    <n v="4091565.706355758"/>
    <n v="3548869.4431393798"/>
    <n v="542696.26321637805"/>
    <n v="1569406"/>
    <n v="3545385"/>
    <n v="19453.448275862102"/>
    <n v="17718"/>
    <n v="1820"/>
    <n v="56841"/>
    <n v="11036"/>
    <n v="2996"/>
    <n v="72440"/>
    <n v="100894"/>
    <n v="333556"/>
    <n v="599220"/>
    <n v="96341"/>
    <n v="96164"/>
    <n v="15131"/>
    <n v="20425"/>
    <n v="11872"/>
    <n v="6939"/>
    <n v="0"/>
    <n v="1740"/>
    <n v="0"/>
    <n v="2669"/>
    <n v="4450991"/>
    <n v="1.0878454165078952"/>
    <n v="359425.29364424199"/>
    <n v="0.31249180447219582"/>
    <n v="0.10189160909166961"/>
    <n v="0.17590698592037796"/>
    <n v="-0.23975786875324512"/>
  </r>
  <r>
    <n v="33282941"/>
    <n v="3391252.4137931033"/>
    <n v="4.0831304333571371E-2"/>
    <n v="28217356"/>
    <x v="103"/>
    <n v="4355526.0469413977"/>
    <n v="3902260.8948228299"/>
    <n v="453265.15211856802"/>
    <n v="2602332"/>
    <n v="3863997"/>
    <n v="16797.4137931035"/>
    <n v="23988"/>
    <n v="67991"/>
    <n v="19513"/>
    <n v="21714"/>
    <n v="3125"/>
    <n v="83069"/>
    <n v="94878"/>
    <n v="470529"/>
    <n v="330568"/>
    <n v="93695"/>
    <n v="67207"/>
    <n v="26519"/>
    <n v="14175"/>
    <n v="8606"/>
    <n v="8738"/>
    <n v="0"/>
    <n v="2248"/>
    <n v="0"/>
    <n v="732"/>
    <n v="4429169"/>
    <n v="1.0169079354054873"/>
    <n v="73642.953058602288"/>
    <n v="0.46342650016029285"/>
    <n v="7.9556236029688684E-2"/>
    <n v="0.15696612396994247"/>
    <n v="-0.25828133412310206"/>
  </r>
  <r>
    <n v="38043206"/>
    <n v="3026574.2758620689"/>
    <n v="3.6440512314345808E-2"/>
    <n v="30934395"/>
    <x v="104"/>
    <n v="4584480.9785924656"/>
    <n v="4112402.5295298402"/>
    <n v="472078.449062625"/>
    <n v="2444873"/>
    <n v="3534692"/>
    <n v="19573.275862069"/>
    <n v="21408"/>
    <n v="50256"/>
    <n v="53680"/>
    <n v="13006"/>
    <n v="4047"/>
    <n v="55749"/>
    <n v="65918"/>
    <n v="297114"/>
    <n v="262840"/>
    <n v="118730"/>
    <n v="39646"/>
    <n v="16825"/>
    <n v="15104"/>
    <n v="10448"/>
    <n v="8648"/>
    <n v="0"/>
    <n v="4107"/>
    <n v="0"/>
    <n v="2066"/>
    <n v="4012156"/>
    <n v="0.87516035484387988"/>
    <n v="-572324.97859246563"/>
    <n v="0.65860774226145491"/>
    <n v="5.8822968242790596E-2"/>
    <n v="0.12969886755503057"/>
    <n v="-0.24776343549109126"/>
  </r>
  <r>
    <n v="41123227"/>
    <n v="2418990.2758620689"/>
    <n v="2.912508892937268E-2"/>
    <n v="35697133"/>
    <x v="105"/>
    <n v="3849003.8644771161"/>
    <n v="3227221.74691774"/>
    <n v="621782.11755937606"/>
    <n v="1792566"/>
    <n v="3470178"/>
    <n v="19598.275862069"/>
    <n v="28270"/>
    <n v="46001"/>
    <n v="24297"/>
    <n v="12990"/>
    <n v="671"/>
    <n v="70129"/>
    <n v="75563"/>
    <n v="329344"/>
    <n v="302084"/>
    <n v="114466"/>
    <n v="48237"/>
    <n v="22862"/>
    <n v="25300"/>
    <n v="11034"/>
    <n v="8648"/>
    <n v="0"/>
    <n v="2420"/>
    <n v="0"/>
    <n v="903"/>
    <n v="3986571"/>
    <n v="1.0357409710061625"/>
    <n v="137567.13552288385"/>
    <n v="1.1231561035769011"/>
    <n v="5.2150620206851087E-2"/>
    <n v="0.11167762408258389"/>
    <n v="-8.5399066547285907E-3"/>
  </r>
  <r>
    <n v="36004609"/>
    <n v="1877662.6896551724"/>
    <n v="2.2607404982677267E-2"/>
    <n v="36809100"/>
    <x v="106"/>
    <n v="3229637.3642553282"/>
    <n v="2423378.2517975001"/>
    <n v="806259.11245782801"/>
    <n v="1396188"/>
    <n v="2853424"/>
    <n v="18720.689655172398"/>
    <n v="23469"/>
    <n v="28846"/>
    <n v="52403"/>
    <n v="77"/>
    <n v="274"/>
    <n v="58156"/>
    <n v="99139"/>
    <n v="252134"/>
    <n v="306316"/>
    <n v="102799"/>
    <n v="34098"/>
    <n v="13428"/>
    <n v="17055"/>
    <n v="7314"/>
    <n v="11232"/>
    <n v="0"/>
    <n v="2023"/>
    <n v="0"/>
    <n v="0"/>
    <n v="3399433"/>
    <n v="1.0525742108460596"/>
    <n v="169795.6357446718"/>
    <n v="1.2426681127691501"/>
    <n v="9.7540778059402464E-2"/>
    <n v="9.2353059433672655E-2"/>
    <n v="1.3686447854564099"/>
  </r>
  <r>
    <n v="15540152"/>
    <n v="1515798.5172413792"/>
    <n v="1.8250493627111931E-2"/>
    <n v="47810548"/>
    <x v="107"/>
    <n v="3047041.5702864998"/>
    <n v="2295427.3833223199"/>
    <n v="751614.18696417997"/>
    <n v="1047803"/>
    <n v="1975856"/>
    <n v="13265.517241379301"/>
    <n v="34542"/>
    <n v="10416"/>
    <n v="12478"/>
    <n v="1772"/>
    <n v="5202"/>
    <n v="83897"/>
    <n v="74166"/>
    <n v="262910"/>
    <n v="278466"/>
    <n v="73506"/>
    <n v="33090"/>
    <n v="15139"/>
    <n v="20145"/>
    <n v="7090"/>
    <n v="8615"/>
    <n v="0"/>
    <n v="2201"/>
    <n v="0"/>
    <n v="775"/>
    <n v="2445536"/>
    <n v="0.80259357924350772"/>
    <n v="-601505.5702864998"/>
    <n v="0.79573039760842534"/>
    <n v="4.9561586382346208E-2"/>
    <n v="5.1150553639334982E-2"/>
    <n v="0.73994689965650906"/>
  </r>
  <r>
    <n v="27478165"/>
    <n v="1361861.4482758623"/>
    <n v="1.6397062934196113E-2"/>
    <n v="47890384"/>
    <x v="108"/>
    <n v="3292789.7531871479"/>
    <n v="2583740.9904822102"/>
    <n v="709048.76270493795"/>
    <n v="1029021"/>
    <n v="2555315"/>
    <n v="15128.4482758621"/>
    <n v="26884"/>
    <n v="1459"/>
    <n v="-3026"/>
    <n v="1022"/>
    <n v="5082"/>
    <n v="56811"/>
    <n v="58228"/>
    <n v="164386"/>
    <n v="337847"/>
    <n v="71020"/>
    <n v="30590"/>
    <n v="15099"/>
    <n v="30639"/>
    <n v="7915"/>
    <n v="7830"/>
    <n v="0"/>
    <n v="2928"/>
    <n v="0"/>
    <n v="2669"/>
    <n v="3054986"/>
    <n v="0.92778046246136014"/>
    <n v="-237803.7531871479"/>
    <n v="0.67633657162917116"/>
    <n v="6.3435371277133751E-2"/>
    <n v="6.37912195483753E-2"/>
    <n v="0.66698541836299374"/>
  </r>
  <r>
    <n v="28728736"/>
    <n v="1822418.0344827585"/>
    <n v="2.1942249148515978E-2"/>
    <n v="25946603"/>
    <x v="109"/>
    <n v="4640854.5148641914"/>
    <n v="3921418.0021528802"/>
    <n v="719436.51271131099"/>
    <n v="1427487"/>
    <n v="3569997"/>
    <n v="14906.0344827586"/>
    <n v="23882"/>
    <n v="6558"/>
    <n v="57151"/>
    <n v="2552"/>
    <n v="2735"/>
    <n v="23514"/>
    <n v="75423"/>
    <n v="241574"/>
    <n v="380425"/>
    <n v="85791"/>
    <n v="38997"/>
    <n v="14358"/>
    <n v="24724"/>
    <n v="5678"/>
    <n v="7395"/>
    <n v="0"/>
    <n v="672"/>
    <n v="0"/>
    <n v="4349"/>
    <n v="4185750"/>
    <n v="0.90193519029598168"/>
    <n v="-455104.51486419141"/>
    <n v="0.42648818936279276"/>
    <n v="0.12120522681596414"/>
    <n v="0.16132169594609361"/>
    <n v="7.1758039289308684E-2"/>
  </r>
  <r>
    <n v="24209385"/>
    <n v="2934304"/>
    <n v="3.5329561180380296E-2"/>
    <n v="29155457"/>
    <x v="110"/>
    <n v="4656374.6585687567"/>
    <n v="4035988.4624826298"/>
    <n v="620386.19608612696"/>
    <n v="2363849"/>
    <n v="4139341"/>
    <n v="17125"/>
    <n v="24511"/>
    <n v="35717"/>
    <n v="54526"/>
    <n v="5563"/>
    <n v="3314"/>
    <n v="61395"/>
    <n v="85133"/>
    <n v="313296"/>
    <n v="395267"/>
    <n v="96557"/>
    <n v="32186"/>
    <n v="30744"/>
    <n v="19904"/>
    <n v="10058"/>
    <n v="12866"/>
    <n v="0"/>
    <n v="1339"/>
    <n v="0"/>
    <n v="2841"/>
    <n v="4771228"/>
    <n v="1.0246658290736739"/>
    <n v="114853.34143124335"/>
    <n v="0.52428761144730562"/>
    <n v="0.10985371247421367"/>
    <n v="0.16364785501390014"/>
    <n v="2.3225467768674957E-2"/>
  </r>
  <r>
    <n v="28493678"/>
    <n v="3130136.3103448278"/>
    <n v="3.7687418304053512E-2"/>
    <n v="30577431"/>
    <x v="111"/>
    <n v="4508167.3730940577"/>
    <n v="3939193.9936038898"/>
    <n v="568973.37949016795"/>
    <n v="2523969"/>
    <n v="3741744"/>
    <n v="18554.310344827602"/>
    <n v="21002"/>
    <n v="108487"/>
    <n v="36270"/>
    <n v="10773"/>
    <n v="0"/>
    <n v="28432"/>
    <n v="93176"/>
    <n v="315822"/>
    <n v="357567"/>
    <n v="99999"/>
    <n v="53926"/>
    <n v="19059"/>
    <n v="25691"/>
    <n v="5041"/>
    <n v="4757"/>
    <n v="0"/>
    <n v="5288"/>
    <n v="0"/>
    <n v="4650"/>
    <n v="4344071"/>
    <n v="0.96360020391580214"/>
    <n v="-164096.37309405766"/>
    <n v="0.28447423466388511"/>
    <n v="0.10635308849722269"/>
    <n v="0.14206788660564715"/>
    <n v="-3.8432926571173143E-2"/>
  </r>
  <r>
    <n v="31799582"/>
    <n v="3381983.7586206896"/>
    <n v="4.071970801636169E-2"/>
    <n v="35456383"/>
    <x v="112"/>
    <n v="3746831.352177362"/>
    <n v="3186575.4791342602"/>
    <n v="560255.87304310198"/>
    <n v="2790322"/>
    <n v="3133148"/>
    <n v="14407.758620689699"/>
    <n v="22359"/>
    <n v="48820"/>
    <n v="23409"/>
    <n v="26723"/>
    <n v="0"/>
    <n v="52261"/>
    <n v="68920"/>
    <n v="314535"/>
    <n v="357674"/>
    <n v="102425"/>
    <n v="42322"/>
    <n v="23735"/>
    <n v="18255"/>
    <n v="8755"/>
    <n v="8264"/>
    <n v="0"/>
    <n v="5048"/>
    <n v="0"/>
    <n v="4994"/>
    <n v="3684393"/>
    <n v="0.98333569186638792"/>
    <n v="-62438.352177361958"/>
    <n v="0.42593433236935518"/>
    <n v="7.2175324648648551E-2"/>
    <n v="0.10391339127851817"/>
    <n v="-9.5860398727257712E-3"/>
  </r>
  <r>
    <n v="35799559"/>
    <n v="2583844.7931034481"/>
    <n v="3.1109967712464468E-2"/>
    <n v="35631295"/>
    <x v="113"/>
    <n v="2943088.510209234"/>
    <n v="2445372.7951799599"/>
    <n v="497715.715029274"/>
    <n v="2029339"/>
    <n v="2485615"/>
    <n v="15613.793103448301"/>
    <n v="21234"/>
    <n v="42994"/>
    <n v="22286"/>
    <n v="15816"/>
    <n v="0"/>
    <n v="73103"/>
    <n v="56136"/>
    <n v="277457"/>
    <n v="280641"/>
    <n v="104526"/>
    <n v="37782"/>
    <n v="16782"/>
    <n v="17034"/>
    <n v="8214"/>
    <n v="10707"/>
    <n v="0"/>
    <n v="8599"/>
    <n v="0"/>
    <n v="1378"/>
    <n v="2941412"/>
    <n v="0.99943035685015302"/>
    <n v="-1676.5102092339657"/>
    <n v="0.15867807086619079"/>
    <n v="6.6232494637862321E-2"/>
    <n v="8.2551363906363778E-2"/>
    <n v="-7.037103344893747E-2"/>
  </r>
  <r>
    <n v="38328512"/>
    <n v="2538592.9655172415"/>
    <n v="3.0565127364896218E-2"/>
    <n v="44200408"/>
    <x v="114"/>
    <n v="2922593.1010954212"/>
    <n v="2381328.42008851"/>
    <n v="541264.68100691098"/>
    <n v="1938792"/>
    <n v="1858764"/>
    <n v="18018.965517241399"/>
    <n v="23248"/>
    <n v="42050"/>
    <n v="9296"/>
    <n v="8072"/>
    <n v="1497"/>
    <n v="101687"/>
    <n v="70341"/>
    <n v="321502"/>
    <n v="308728"/>
    <n v="81927"/>
    <n v="43807"/>
    <n v="14919"/>
    <n v="13947"/>
    <n v="11625"/>
    <n v="4542"/>
    <n v="0"/>
    <n v="1327"/>
    <n v="0"/>
    <n v="2411"/>
    <n v="2337908"/>
    <n v="0.7999430365875172"/>
    <n v="-584685.10109542124"/>
    <n v="4.7114888971368396E-2"/>
    <n v="5.2314718693853068E-2"/>
    <n v="5.2893357907465473E-2"/>
    <n v="3.5659731653199467E-2"/>
  </r>
  <r>
    <n v="42678504"/>
    <n v="2232713.931034483"/>
    <n v="2.6882287392434513E-2"/>
    <n v="44483663"/>
    <x v="115"/>
    <n v="3121767.4812489282"/>
    <n v="2426796.8099636701"/>
    <n v="694970.67128525802"/>
    <n v="1752638"/>
    <n v="2402155"/>
    <n v="19887.931034482801"/>
    <n v="22570"/>
    <n v="25737"/>
    <n v="5255"/>
    <n v="1459"/>
    <n v="0"/>
    <n v="72841"/>
    <n v="42305"/>
    <n v="250845"/>
    <n v="188051"/>
    <n v="82494"/>
    <n v="44006"/>
    <n v="16169"/>
    <n v="23511"/>
    <n v="10643"/>
    <n v="6576"/>
    <n v="0"/>
    <n v="0"/>
    <n v="0"/>
    <n v="5726"/>
    <n v="2740155"/>
    <n v="0.87775755768451524"/>
    <n v="-381612.48124892823"/>
    <n v="0.12358490181871318"/>
    <n v="5.8724910411467227E-2"/>
    <n v="6.1599131348513275E-2"/>
    <n v="7.115833055612808E-2"/>
  </r>
  <r>
    <n v="41528560"/>
    <n v="2438760.9655172415"/>
    <n v="2.9363131678096309E-2"/>
    <n v="25760577"/>
    <x v="116"/>
    <n v="3938557.7823995668"/>
    <n v="3150380.9104436301"/>
    <n v="788176.87195593701"/>
    <n v="1946010"/>
    <n v="3645929"/>
    <n v="18168.965517241399"/>
    <n v="20822"/>
    <n v="19936"/>
    <n v="10309"/>
    <n v="3572"/>
    <n v="2738"/>
    <n v="72272"/>
    <n v="64173"/>
    <n v="273543"/>
    <n v="460477"/>
    <n v="81092"/>
    <n v="93404"/>
    <n v="16940"/>
    <n v="20032"/>
    <n v="7227"/>
    <n v="9335"/>
    <n v="0"/>
    <n v="8011"/>
    <n v="0"/>
    <n v="3607"/>
    <n v="4338837"/>
    <n v="1.1016309115456377"/>
    <n v="400279.21760043316"/>
    <n v="0.35542776188732339"/>
    <n v="0.13060615931839281"/>
    <n v="0.16842934069372748"/>
    <n v="5.1047361964892346E-2"/>
  </r>
  <r>
    <n v="24509435"/>
    <n v="3201083.1724137929"/>
    <n v="3.8541631604386915E-2"/>
    <n v="29247943"/>
    <x v="117"/>
    <n v="4775363.2823169054"/>
    <n v="3865009.1529240501"/>
    <n v="910354.12939285499"/>
    <n v="2632448"/>
    <n v="3414301"/>
    <n v="14455.1724137931"/>
    <n v="21260"/>
    <n v="64714"/>
    <n v="30481"/>
    <n v="9783"/>
    <n v="1453"/>
    <n v="89766"/>
    <n v="60651"/>
    <n v="268976"/>
    <n v="297757"/>
    <n v="80501"/>
    <n v="122634"/>
    <n v="31107"/>
    <n v="18935"/>
    <n v="9333"/>
    <n v="8545"/>
    <n v="0"/>
    <n v="11569"/>
    <n v="0"/>
    <n v="4607"/>
    <n v="3992193"/>
    <n v="0.8359977584915953"/>
    <n v="-783170.28231690545"/>
    <n v="0.12930378229221229"/>
    <n v="0.1332747093309751"/>
    <n v="0.13649482973896659"/>
    <n v="0.10266179033445377"/>
  </r>
  <r>
    <n v="26524854"/>
    <n v="3535092.2068965519"/>
    <n v="4.2563161963394838E-2"/>
    <n v="33378286"/>
    <x v="118"/>
    <n v="4786174.5106639257"/>
    <n v="3969770.1570955799"/>
    <n v="816404.35356834601"/>
    <n v="3065439"/>
    <n v="3197203"/>
    <n v="17661.206896551699"/>
    <n v="23371"/>
    <n v="28804"/>
    <n v="59752"/>
    <n v="996"/>
    <n v="1516"/>
    <n v="85432"/>
    <n v="126425"/>
    <n v="243921"/>
    <n v="317515"/>
    <n v="68863"/>
    <n v="127512"/>
    <n v="14584"/>
    <n v="17434"/>
    <n v="9392"/>
    <n v="4509"/>
    <n v="0"/>
    <n v="7208"/>
    <n v="0"/>
    <n v="4478"/>
    <n v="3886923"/>
    <n v="0.81211476751206391"/>
    <n v="-899251.51066392567"/>
    <n v="0.18545306909786663"/>
    <n v="0.12699229170806989"/>
    <n v="0.11645064698648697"/>
    <n v="0.29276569819807174"/>
  </r>
  <r>
    <n v="25819285"/>
    <n v="3278850.1724137929"/>
    <n v="3.9477960622891689E-2"/>
    <n v="30386544"/>
    <x v="119"/>
    <n v="4665726.4877311597"/>
    <n v="3834357.5068530198"/>
    <n v="831368.98087813996"/>
    <n v="2779622"/>
    <n v="2367928"/>
    <n v="15955.1724137931"/>
    <n v="13584"/>
    <n v="51237"/>
    <n v="30645"/>
    <n v="13462"/>
    <n v="1800"/>
    <n v="80785"/>
    <n v="78185"/>
    <n v="259639"/>
    <n v="230564"/>
    <n v="53075"/>
    <n v="119400"/>
    <n v="18341"/>
    <n v="15064"/>
    <n v="6734"/>
    <n v="10948"/>
    <n v="0"/>
    <n v="2681"/>
    <n v="0"/>
    <n v="1816"/>
    <n v="2872615"/>
    <n v="0.6156843971788174"/>
    <n v="-1793111.4877311597"/>
    <n v="3.7476202425303917E-3"/>
    <n v="7.154938064119494E-2"/>
    <n v="9.4535758985951152E-2"/>
    <n v="-0.24031370437191812"/>
  </r>
  <r>
    <n v="39998805"/>
    <n v="2861889.7241379311"/>
    <n v="2.6995257789858985E-2"/>
    <n v="44124537"/>
    <x v="120"/>
    <n v="3662928.8948852308"/>
    <n v="3090983.4582338501"/>
    <n v="571945.43665138097"/>
    <n v="2245026"/>
    <n v="2069924"/>
    <n v="19726.724137931"/>
    <n v="31463"/>
    <n v="14608"/>
    <n v="2522"/>
    <n v="195"/>
    <n v="0"/>
    <n v="107730"/>
    <n v="33966"/>
    <n v="402948"/>
    <n v="215596"/>
    <n v="54211"/>
    <n v="89389"/>
    <n v="12681"/>
    <n v="23623"/>
    <n v="4764"/>
    <n v="9448"/>
    <n v="0"/>
    <n v="2225"/>
    <n v="0"/>
    <n v="3134"/>
    <n v="2481290"/>
    <n v="0.6774059970055043"/>
    <n v="-1181638.8948852308"/>
    <n v="-0.16474736012186497"/>
    <n v="8.7082735835159533E-2"/>
    <n v="5.6233791189695653E-2"/>
    <n v="0.29345867414067417"/>
  </r>
  <r>
    <n v="34113604"/>
    <n v="2970705.9655172415"/>
    <n v="2.8021685350285989E-2"/>
    <n v="39743152"/>
    <x v="121"/>
    <n v="3806845.0181720783"/>
    <n v="3283565.1481157802"/>
    <n v="523279.87005629798"/>
    <n v="2361198"/>
    <n v="1930522"/>
    <n v="17493.965517241399"/>
    <n v="20804"/>
    <n v="63530"/>
    <n v="-732"/>
    <n v="10847"/>
    <n v="1144"/>
    <n v="83416"/>
    <n v="87762"/>
    <n v="355472"/>
    <n v="178276"/>
    <n v="50730"/>
    <n v="69883"/>
    <n v="19076"/>
    <n v="10926"/>
    <n v="8943"/>
    <n v="4862"/>
    <n v="0"/>
    <n v="447"/>
    <n v="0"/>
    <n v="4607"/>
    <n v="2308501"/>
    <n v="0.60640792808225907"/>
    <n v="-1498344.0181720783"/>
    <n v="2.2599130851069349E-2"/>
    <n v="5.9951768094176246E-2"/>
    <n v="5.8085503635947146E-2"/>
    <n v="5.5454839994688587E-2"/>
  </r>
  <r>
    <n v="37655000"/>
    <n v="2257483.8275862066"/>
    <n v="2.1294097172274592E-2"/>
    <n v="39483198"/>
    <x v="122"/>
    <n v="2883172.567160266"/>
    <n v="2314560.4380195201"/>
    <n v="568612.12914074596"/>
    <n v="1666165"/>
    <n v="2628259"/>
    <n v="20994.827586206899"/>
    <n v="23026"/>
    <n v="23268"/>
    <n v="11669"/>
    <n v="3184"/>
    <n v="740"/>
    <n v="72034"/>
    <n v="66322"/>
    <n v="398776"/>
    <n v="227157"/>
    <n v="45043"/>
    <n v="91628"/>
    <n v="18901"/>
    <n v="19133"/>
    <n v="9118"/>
    <n v="8602"/>
    <n v="0"/>
    <n v="370"/>
    <n v="0"/>
    <n v="5416"/>
    <n v="3082322"/>
    <n v="1.0690730187669215"/>
    <n v="199149.43283973401"/>
    <n v="4.1257143610655245E-2"/>
    <n v="7.5454684170121994E-2"/>
    <n v="7.8066675348840792E-2"/>
    <n v="6.4182771963274821E-3"/>
  </r>
  <r>
    <n v="39231400"/>
    <n v="2960192.8965517241"/>
    <n v="2.7922519053103733E-2"/>
    <n v="32627546"/>
    <x v="123"/>
    <n v="3791917.7701865463"/>
    <n v="3166007.94079248"/>
    <n v="625909.82939406601"/>
    <n v="2338777"/>
    <n v="4124173"/>
    <n v="20781.896551724101"/>
    <n v="25420"/>
    <n v="21236"/>
    <n v="28207"/>
    <n v="2543"/>
    <n v="5623"/>
    <n v="57471"/>
    <n v="67376"/>
    <n v="451270"/>
    <n v="521359"/>
    <n v="37594"/>
    <n v="170941"/>
    <n v="17703"/>
    <n v="18893"/>
    <n v="12817"/>
    <n v="10593"/>
    <n v="0"/>
    <n v="2031"/>
    <n v="0"/>
    <n v="2109"/>
    <n v="4976725"/>
    <n v="1.3124559396115718"/>
    <n v="1184807.2298134537"/>
    <n v="0.10648620529531061"/>
    <n v="0.12813969350990781"/>
    <n v="0.1525313917264878"/>
    <n v="-7.0454929869623428E-2"/>
  </r>
  <r>
    <n v="35100553"/>
    <n v="4497774.1034482755"/>
    <n v="4.2426013266360994E-2"/>
    <n v="38637821"/>
    <x v="124"/>
    <n v="5750368.4992179256"/>
    <n v="4850315.21632984"/>
    <n v="900053.28288808605"/>
    <n v="3540534"/>
    <n v="4494478"/>
    <n v="14493.103448275901"/>
    <n v="24526"/>
    <n v="86421"/>
    <n v="55447"/>
    <n v="8958"/>
    <n v="6329"/>
    <n v="100498"/>
    <n v="70316"/>
    <n v="625936"/>
    <n v="610542"/>
    <n v="72774"/>
    <n v="206091"/>
    <n v="35858"/>
    <n v="34471"/>
    <n v="12302"/>
    <n v="15053"/>
    <n v="0"/>
    <n v="4388"/>
    <n v="0"/>
    <n v="4047"/>
    <n v="5525688"/>
    <n v="0.96092763459446418"/>
    <n v="-224680.49921792559"/>
    <n v="0.15128158524678503"/>
    <n v="0.14484918969528923"/>
    <n v="0.14301241263061909"/>
    <n v="0.16606804728781244"/>
  </r>
  <r>
    <n v="33135134"/>
    <n v="4799597.3103448283"/>
    <n v="4.5273011600508443E-2"/>
    <n v="34646775"/>
    <x v="125"/>
    <n v="6152825.8702747505"/>
    <n v="5175071.3334592404"/>
    <n v="977754.53681551002"/>
    <n v="3783300"/>
    <n v="4088680"/>
    <n v="19229.310344827602"/>
    <n v="22236"/>
    <n v="89988"/>
    <n v="15858"/>
    <n v="20578"/>
    <n v="0"/>
    <n v="75155"/>
    <n v="103050"/>
    <n v="719475"/>
    <n v="584166"/>
    <n v="54500"/>
    <n v="168986"/>
    <n v="28166"/>
    <n v="21276"/>
    <n v="9206"/>
    <n v="9621"/>
    <n v="0"/>
    <n v="4594"/>
    <n v="0"/>
    <n v="0"/>
    <n v="5018467"/>
    <n v="0.815636116771155"/>
    <n v="-1134358.8702747505"/>
    <n v="0.19473919224373293"/>
    <n v="0.10636872994668767"/>
    <n v="0.14484658384510535"/>
    <n v="-0.12263798618546595"/>
  </r>
  <r>
    <n v="39489714"/>
    <n v="4200470.7241379311"/>
    <n v="3.9621648968677751E-2"/>
    <n v="41686093"/>
    <x v="126"/>
    <n v="5371374.2149370881"/>
    <n v="4409425.7740396904"/>
    <n v="961948.44089739805"/>
    <n v="3194165"/>
    <n v="3214171"/>
    <n v="17851.724137931"/>
    <n v="22409"/>
    <n v="61190"/>
    <n v="45962"/>
    <n v="12303"/>
    <n v="0"/>
    <n v="116730"/>
    <n v="87902"/>
    <n v="705144"/>
    <n v="433044"/>
    <n v="60042"/>
    <n v="142471"/>
    <n v="17079"/>
    <n v="10390"/>
    <n v="15966"/>
    <n v="7381"/>
    <n v="0"/>
    <n v="2879"/>
    <n v="0"/>
    <n v="1248"/>
    <n v="3967857"/>
    <n v="0.73870425727664057"/>
    <n v="-1403517.2149370881"/>
    <n v="0.3707123654916491"/>
    <n v="6.3556130283059301E-2"/>
    <n v="9.5184190084688439E-2"/>
    <n v="-8.4751642008229489E-2"/>
  </r>
  <r>
    <n v="45546209"/>
    <n v="2894740.7931034481"/>
    <n v="2.7305131041758551E-2"/>
    <n v="43156233"/>
    <x v="127"/>
    <n v="3695975.1329928571"/>
    <n v="2783426.1647910401"/>
    <n v="912548.96820181701"/>
    <n v="2000980"/>
    <n v="1615018"/>
    <n v="18313.793103448301"/>
    <n v="19192"/>
    <n v="30809"/>
    <n v="7092"/>
    <n v="14752"/>
    <n v="1998"/>
    <n v="72647"/>
    <n v="52205"/>
    <n v="653374"/>
    <n v="453556"/>
    <n v="69136"/>
    <n v="262519"/>
    <n v="20501"/>
    <n v="32442"/>
    <n v="14228"/>
    <n v="12700"/>
    <n v="0"/>
    <n v="3174"/>
    <n v="0"/>
    <n v="1464"/>
    <n v="2461360"/>
    <n v="0.66595686156764977"/>
    <n v="-1234615.1329928571"/>
    <n v="0.18043194291758113"/>
    <n v="4.0822776359155426E-2"/>
    <n v="5.7033708201547621E-2"/>
    <n v="-0.15508721539484027"/>
  </r>
  <r>
    <n v="51077737"/>
    <n v="2085135.0344827585"/>
    <n v="1.9668388096080146E-2"/>
    <n v="60125006"/>
    <x v="128"/>
    <n v="2650696.7502161767"/>
    <n v="1973041.1177855299"/>
    <n v="677655.63243064703"/>
    <n v="1368567"/>
    <n v="1558074"/>
    <n v="19131.034482758601"/>
    <n v="23729"/>
    <n v="16561"/>
    <n v="12190"/>
    <n v="4452"/>
    <n v="4102"/>
    <n v="114101"/>
    <n v="87416"/>
    <n v="495524"/>
    <n v="361074"/>
    <n v="50019"/>
    <n v="192329"/>
    <n v="9383"/>
    <n v="9552"/>
    <n v="7397"/>
    <n v="10260"/>
    <n v="0"/>
    <n v="388"/>
    <n v="0"/>
    <n v="646"/>
    <n v="2259760"/>
    <n v="0.85251547534273997"/>
    <n v="-390936.75021617673"/>
    <n v="0.29390524464395873"/>
    <n v="4.3582780529247273E-2"/>
    <n v="3.7584362153743486E-2"/>
    <n v="0.5004109441123743"/>
  </r>
  <r>
    <n v="40072359"/>
    <n v="1746464.8275862068"/>
    <n v="1.6473824216204854E-2"/>
    <n v="36716841"/>
    <x v="129"/>
    <n v="2216972.367587375"/>
    <n v="1562118.43848599"/>
    <n v="654853.92910138494"/>
    <n v="1100345"/>
    <n v="1920563"/>
    <n v="16069.8275862069"/>
    <n v="20514"/>
    <n v="8962"/>
    <n v="-705"/>
    <n v="3222"/>
    <n v="2209"/>
    <n v="74464"/>
    <n v="48263"/>
    <n v="461097"/>
    <n v="395528"/>
    <n v="61803"/>
    <n v="141929"/>
    <n v="8257"/>
    <n v="24844"/>
    <n v="12245"/>
    <n v="7362"/>
    <n v="0"/>
    <n v="256"/>
    <n v="0"/>
    <n v="0"/>
    <n v="2560763"/>
    <n v="1.1550721323544306"/>
    <n v="343790.63241262501"/>
    <n v="0.21758383687847593"/>
    <n v="5.2154586479018612E-2"/>
    <n v="6.9743554463195787E-2"/>
    <n v="-8.9484583848611132E-2"/>
  </r>
  <r>
    <n v="40325337"/>
    <n v="2103151.2758620689"/>
    <n v="1.9838329333276245E-2"/>
    <n v="23190846"/>
    <x v="130"/>
    <n v="2692193.9660598803"/>
    <n v="2125563.0218603802"/>
    <n v="566630.94419950002"/>
    <n v="1540924"/>
    <n v="2440025"/>
    <n v="20098.275862069"/>
    <n v="21672"/>
    <n v="2643"/>
    <n v="29073"/>
    <n v="4578"/>
    <n v="5953"/>
    <n v="64714"/>
    <n v="60459"/>
    <n v="382228"/>
    <n v="409424"/>
    <n v="63782"/>
    <n v="123764"/>
    <n v="16117"/>
    <n v="11328"/>
    <n v="8067"/>
    <n v="10655"/>
    <n v="0"/>
    <n v="991"/>
    <n v="0"/>
    <n v="2109"/>
    <n v="3115453"/>
    <n v="1.1572171393577462"/>
    <n v="423259.03394011967"/>
    <n v="8.1424215149683565E-3"/>
    <n v="0.13295925322837471"/>
    <n v="0.1343397735468555"/>
    <n v="-2.217586248022374E-3"/>
  </r>
  <r>
    <n v="23242388"/>
    <n v="3090290.5517241377"/>
    <n v="2.9149687140544066E-2"/>
    <n v="22809337"/>
    <x v="131"/>
    <n v="3977917.8176610083"/>
    <n v="3341115.0863910802"/>
    <n v="636802.73126992804"/>
    <n v="2436435"/>
    <n v="2815317"/>
    <n v="21396.551724137898"/>
    <n v="21451"/>
    <n v="14035"/>
    <n v="23262"/>
    <n v="14004"/>
    <n v="3933"/>
    <n v="75997"/>
    <n v="54841"/>
    <n v="401282"/>
    <n v="383123"/>
    <n v="95820"/>
    <n v="135469"/>
    <n v="24006"/>
    <n v="16632"/>
    <n v="7315"/>
    <n v="10371"/>
    <n v="0"/>
    <n v="1022"/>
    <n v="0"/>
    <n v="4650"/>
    <n v="3470071"/>
    <n v="0.87233350688988864"/>
    <n v="-507846.81766100833"/>
    <n v="2.9302844663898764E-3"/>
    <n v="0.13675599486329323"/>
    <n v="0.15213379503314806"/>
    <n v="-9.8446674515402011E-2"/>
  </r>
  <r>
    <n v="25300042"/>
    <n v="3459932.4137931033"/>
    <n v="3.2636396384549266E-2"/>
    <n v="27932143"/>
    <x v="132"/>
    <n v="4432932.8504142966"/>
    <n v="3786801.4374958398"/>
    <n v="646131.41291845695"/>
    <n v="2811134"/>
    <n v="3700459"/>
    <n v="23572.413793103398"/>
    <n v="26216"/>
    <n v="40509"/>
    <n v="28501"/>
    <n v="1759"/>
    <n v="4829"/>
    <n v="46794"/>
    <n v="57302"/>
    <n v="386009"/>
    <n v="381201"/>
    <n v="119690"/>
    <n v="138856"/>
    <n v="21353"/>
    <n v="19491"/>
    <n v="9112"/>
    <n v="6421"/>
    <n v="0"/>
    <n v="1247"/>
    <n v="0"/>
    <n v="1937"/>
    <n v="4366460"/>
    <n v="0.98500476938014436"/>
    <n v="-66472.850414296612"/>
    <n v="0.25358749569159955"/>
    <n v="0.12269023343406944"/>
    <n v="0.15632384525598339"/>
    <n v="-1.6126156412174408E-2"/>
  </r>
  <r>
    <n v="28389964"/>
    <n v="3483171.3103448278"/>
    <n v="3.2855601198024269E-2"/>
    <n v="33640854"/>
    <x v="133"/>
    <n v="4463971.3255278813"/>
    <n v="3736889.70819441"/>
    <n v="727081.61733347096"/>
    <n v="2777558"/>
    <n v="2625651"/>
    <n v="17204.310344827602"/>
    <n v="10282"/>
    <n v="30525"/>
    <n v="6634"/>
    <n v="2915"/>
    <n v="0"/>
    <n v="51632"/>
    <n v="62863"/>
    <n v="406451"/>
    <n v="360073"/>
    <n v="166963"/>
    <n v="105100"/>
    <n v="21663"/>
    <n v="12418"/>
    <n v="8260"/>
    <n v="4862"/>
    <n v="0"/>
    <n v="5230"/>
    <n v="0"/>
    <n v="2497"/>
    <n v="3195610"/>
    <n v="0.71586705356403857"/>
    <n v="-1268361.3255278813"/>
    <n v="1.7350599095294461E-2"/>
    <n v="8.3071653871777645E-2"/>
    <n v="9.4991940454305951E-2"/>
    <n v="-0.11031402843125104"/>
  </r>
  <r>
    <n v="37812054"/>
    <n v="3141109.8620689656"/>
    <n v="2.9629048861539348E-2"/>
    <n v="37321124"/>
    <x v="134"/>
    <n v="4004790.069113472"/>
    <n v="3232522.0098353899"/>
    <n v="772268.05927808199"/>
    <n v="2343626"/>
    <n v="2405121"/>
    <n v="17875.8620689655"/>
    <n v="30006"/>
    <n v="48768"/>
    <n v="17955"/>
    <n v="1400"/>
    <n v="904"/>
    <n v="88607"/>
    <n v="90900"/>
    <n v="449212"/>
    <n v="329128"/>
    <n v="166991"/>
    <n v="99332"/>
    <n v="16715"/>
    <n v="9755"/>
    <n v="7915"/>
    <n v="6678"/>
    <n v="0"/>
    <n v="4507"/>
    <n v="0"/>
    <n v="4607"/>
    <n v="2998893"/>
    <n v="0.74882651730702465"/>
    <n v="-1005897.069113472"/>
    <n v="8.3824843438855989E-2"/>
    <n v="7.2347259069428613E-2"/>
    <n v="8.035376962387307E-2"/>
    <n v="-2.4168286053157018E-2"/>
  </r>
  <r>
    <n v="38245451"/>
    <n v="2766953.5517241377"/>
    <n v="2.609975632232259E-2"/>
    <n v="44523452"/>
    <x v="135"/>
    <n v="3538923.2997836089"/>
    <n v="2920573.0647547701"/>
    <n v="618350.23502883897"/>
    <n v="2112541"/>
    <n v="2034460"/>
    <n v="25296.551724137898"/>
    <n v="29019"/>
    <n v="27754"/>
    <n v="11244"/>
    <n v="1869"/>
    <n v="0"/>
    <n v="86382"/>
    <n v="59712"/>
    <n v="369211"/>
    <n v="310105"/>
    <n v="113629"/>
    <n v="110133"/>
    <n v="16988"/>
    <n v="19652"/>
    <n v="13283"/>
    <n v="5748"/>
    <n v="0"/>
    <n v="1224"/>
    <n v="0"/>
    <n v="1885"/>
    <n v="2583182"/>
    <n v="0.72993444083909687"/>
    <n v="-955741.29978360888"/>
    <n v="-5.1175883602795014E-2"/>
    <n v="6.1273732705270742E-2"/>
    <n v="5.8018457328960028E-2"/>
    <n v="2.060343707507295E-3"/>
  </r>
  <r>
    <n v="44431907"/>
    <n v="2722508.7931034481"/>
    <n v="2.5680523636222155E-2"/>
    <n v="46674763"/>
    <x v="136"/>
    <n v="3493857.9422336142"/>
    <n v="2881546.4649545201"/>
    <n v="612311.47727909405"/>
    <n v="2109532"/>
    <n v="2587277"/>
    <n v="21563.793103448301"/>
    <n v="27932"/>
    <n v="-607"/>
    <n v="-6421"/>
    <n v="4423"/>
    <n v="2492"/>
    <n v="79497"/>
    <n v="88989"/>
    <n v="366239"/>
    <n v="391486"/>
    <n v="114522"/>
    <n v="132520"/>
    <n v="20368"/>
    <n v="15266"/>
    <n v="6971"/>
    <n v="6798"/>
    <n v="0"/>
    <n v="658"/>
    <n v="0"/>
    <n v="3402"/>
    <n v="3250399"/>
    <n v="0.93031801914706025"/>
    <n v="-243458.94223361416"/>
    <n v="-3.5705375030445685E-2"/>
    <n v="7.4052157937168281E-2"/>
    <n v="6.9639325217355677E-2"/>
    <n v="2.5399049220129255E-2"/>
  </r>
  <r>
    <n v="45518633"/>
    <n v="3370753"/>
    <n v="3.1795196514201887E-2"/>
    <n v="26723469"/>
    <x v="137"/>
    <n v="4314540.9203777462"/>
    <n v="3622551.8246312998"/>
    <n v="691989.09574644605"/>
    <n v="2677032"/>
    <n v="3987638"/>
    <n v="20975"/>
    <n v="29579"/>
    <n v="22100"/>
    <n v="37318"/>
    <n v="-481"/>
    <n v="0"/>
    <n v="76910"/>
    <n v="99536"/>
    <n v="427036"/>
    <n v="377581"/>
    <n v="120368"/>
    <n v="105418"/>
    <n v="16748"/>
    <n v="19920"/>
    <n v="10065"/>
    <n v="5481"/>
    <n v="0"/>
    <n v="2264"/>
    <n v="0"/>
    <n v="4693"/>
    <n v="4669428"/>
    <n v="1.0822537289995577"/>
    <n v="354887.07962225378"/>
    <n v="0.17996277629732083"/>
    <n v="0.15152019619397747"/>
    <n v="0.17473135692076505"/>
    <n v="2.3217552458171697E-2"/>
  </r>
  <r>
    <n v="26117094"/>
    <n v="3957267.2068965519"/>
    <n v="3.7327590749747216E-2"/>
    <n v="28069178"/>
    <x v="138"/>
    <n v="5069955.5931407074"/>
    <n v="4380268.2390230801"/>
    <n v="689687.35411762702"/>
    <n v="3127249"/>
    <n v="4181035"/>
    <n v="20161.206896551699"/>
    <n v="24160"/>
    <n v="63309"/>
    <n v="29139"/>
    <n v="9654"/>
    <n v="3705"/>
    <n v="164587"/>
    <n v="77060"/>
    <n v="398765"/>
    <n v="350122"/>
    <n v="133448"/>
    <n v="81101"/>
    <n v="26159"/>
    <n v="24716"/>
    <n v="13935"/>
    <n v="9017"/>
    <n v="0"/>
    <n v="4981"/>
    <n v="0"/>
    <n v="2454"/>
    <n v="4787490"/>
    <n v="0.94428637727658538"/>
    <n v="-282465.59314070735"/>
    <n v="0.2047098855565086"/>
    <n v="0.13530353453854643"/>
    <n v="0.17056039190032568"/>
    <n v="-4.4317946310886036E-2"/>
  </r>
  <r>
    <n v="29370833"/>
    <n v="3973977.5172413792"/>
    <n v="3.7485213572074183E-2"/>
    <n v="32746350"/>
    <x v="139"/>
    <n v="5085439.3611811008"/>
    <n v="4478766.5483424496"/>
    <n v="606672.81283865101"/>
    <n v="3241569"/>
    <n v="4079378"/>
    <n v="22440.517241379301"/>
    <n v="21174"/>
    <n v="94697"/>
    <n v="58712"/>
    <n v="6895"/>
    <n v="0"/>
    <n v="104955"/>
    <n v="84547"/>
    <n v="334212"/>
    <n v="418327"/>
    <n v="131940"/>
    <n v="105255"/>
    <n v="26309"/>
    <n v="23214"/>
    <n v="10960"/>
    <n v="10330"/>
    <n v="0"/>
    <n v="1645"/>
    <n v="0"/>
    <n v="4650"/>
    <n v="4807232"/>
    <n v="0.94529334804289422"/>
    <n v="-278207.36118110083"/>
    <n v="0.36096378643141747"/>
    <n v="0.109139823518716"/>
    <n v="0.14680207107051627"/>
    <n v="1.1806893345118752E-2"/>
  </r>
  <r>
    <n v="32364229"/>
    <n v="3532226.2413793104"/>
    <n v="3.3318320113421507E-2"/>
    <n v="35778618"/>
    <x v="140"/>
    <n v="4523339.2005073801"/>
    <n v="3791950.55459726"/>
    <n v="731388.64591011999"/>
    <n v="2735434"/>
    <n v="3103521"/>
    <n v="22517.241379310301"/>
    <n v="20693"/>
    <n v="59374"/>
    <n v="30196"/>
    <n v="11701"/>
    <n v="-383"/>
    <n v="96289"/>
    <n v="93118"/>
    <n v="374047"/>
    <n v="304721"/>
    <n v="193832"/>
    <n v="98067"/>
    <n v="28023"/>
    <n v="14821"/>
    <n v="11009"/>
    <n v="5605"/>
    <n v="0"/>
    <n v="1786"/>
    <n v="0"/>
    <n v="2765"/>
    <n v="3674910"/>
    <n v="0.81243299188966145"/>
    <n v="-848429.20050738007"/>
    <n v="6.2421183140606296E-2"/>
    <n v="9.5491616804777343E-2"/>
    <n v="0.10271246362841628"/>
    <n v="-1.2268687539558787E-2"/>
  </r>
  <r>
    <n v="36223027"/>
    <n v="3458995.4137931033"/>
    <n v="3.2627557973922978E-2"/>
    <n v="40503524"/>
    <x v="141"/>
    <n v="4419525.1349156173"/>
    <n v="3727009.4103252999"/>
    <n v="692515.724590317"/>
    <n v="2701648"/>
    <n v="2880995"/>
    <n v="22197.4137931035"/>
    <n v="17373"/>
    <n v="57018"/>
    <n v="7090"/>
    <n v="2723"/>
    <n v="1848"/>
    <n v="100755"/>
    <n v="133675"/>
    <n v="368227"/>
    <n v="287211"/>
    <n v="184282"/>
    <n v="103665"/>
    <n v="13230"/>
    <n v="17656"/>
    <n v="8915"/>
    <n v="10102"/>
    <n v="0"/>
    <n v="0"/>
    <n v="0"/>
    <n v="1120"/>
    <n v="3460735"/>
    <n v="0.78305584748440993"/>
    <n v="-958790.13491561729"/>
    <n v="0.36350476509189877"/>
    <n v="6.8376834962678795E-2"/>
    <n v="8.544281233405765E-2"/>
    <n v="9.1164227237782391E-2"/>
  </r>
  <r>
    <n v="37119549"/>
    <n v="2538117.2758620689"/>
    <n v="2.3941219532290038E-2"/>
    <n v="49237984"/>
    <x v="142"/>
    <n v="3232528.9287060522"/>
    <n v="2579504.3419044302"/>
    <n v="653024.58680162195"/>
    <n v="1819774"/>
    <n v="2252409"/>
    <n v="21773.275862069"/>
    <n v="21274"/>
    <n v="44511"/>
    <n v="-3235"/>
    <n v="5468"/>
    <n v="3525"/>
    <n v="104707"/>
    <n v="110170"/>
    <n v="359912"/>
    <n v="326147"/>
    <n v="161958"/>
    <n v="99899"/>
    <n v="14507"/>
    <n v="20856"/>
    <n v="5507"/>
    <n v="6566"/>
    <n v="0"/>
    <n v="897"/>
    <n v="0"/>
    <n v="6159"/>
    <n v="2844667"/>
    <n v="0.88001285146694441"/>
    <n v="-387861.92870605225"/>
    <n v="0.37904718240827573"/>
    <n v="4.5166970814255657E-2"/>
    <n v="5.7773831682466935E-2"/>
    <n v="7.8124507677736599E-2"/>
  </r>
  <r>
    <n v="45670035"/>
    <n v="2062777.1379310344"/>
    <n v="1.9457493463780992E-2"/>
    <n v="47019817"/>
    <x v="143"/>
    <n v="2628853.6956993621"/>
    <n v="2015701.05839047"/>
    <n v="613152.63730889198"/>
    <n v="1467747"/>
    <n v="2731286"/>
    <n v="21924.1379310345"/>
    <n v="21174"/>
    <n v="4053"/>
    <n v="0"/>
    <n v="-155"/>
    <n v="4187"/>
    <n v="60410"/>
    <n v="63021"/>
    <n v="342742"/>
    <n v="343565"/>
    <n v="137614"/>
    <n v="92128"/>
    <n v="23925"/>
    <n v="20143"/>
    <n v="4517"/>
    <n v="11392"/>
    <n v="0"/>
    <n v="4347"/>
    <n v="0"/>
    <n v="6416"/>
    <n v="3297659"/>
    <n v="1.2544094809820574"/>
    <n v="668805.30430063792"/>
    <n v="0.41591688492250722"/>
    <n v="5.4064016684238492E-2"/>
    <n v="7.0133386525090047E-2"/>
    <n v="9.1493764707337943E-2"/>
  </r>
  <r>
    <n v="43078411"/>
    <n v="2328991.931034483"/>
    <n v="2.1968609425618523E-2"/>
    <n v="28212621"/>
    <x v="144"/>
    <n v="5985763.6744493097"/>
    <n v="4709965.1085457699"/>
    <n v="1275798.56590354"/>
    <n v="1619702"/>
    <n v="4611370"/>
    <n v="27512.931034482801"/>
    <n v="20489"/>
    <n v="7700"/>
    <n v="30700"/>
    <n v="-1294"/>
    <n v="4699"/>
    <n v="100831"/>
    <n v="78900"/>
    <n v="396662"/>
    <n v="902125"/>
    <n v="149588"/>
    <n v="237474"/>
    <n v="19789"/>
    <n v="36431"/>
    <n v="8501"/>
    <n v="12811"/>
    <n v="0"/>
    <n v="3362"/>
    <n v="0"/>
    <n v="7492"/>
    <n v="5945853"/>
    <n v="0.99333240057243299"/>
    <n v="-39910.674449309707"/>
    <n v="0.30335951840493758"/>
    <n v="0.17268567019317921"/>
    <n v="0.21075152854461837"/>
    <n v="6.7947233847776678E-2"/>
  </r>
  <r>
    <n v="26417617"/>
    <n v="4561943.8965517245"/>
    <n v="4.3031305668978406E-2"/>
    <n v="31205655"/>
    <x v="145"/>
    <n v="7684050.9479068602"/>
    <n v="5592266.5572508499"/>
    <n v="2091784.39065601"/>
    <n v="3445706"/>
    <n v="4676609"/>
    <n v="24606.896551724101"/>
    <n v="26116"/>
    <n v="37482"/>
    <n v="76532"/>
    <n v="8128"/>
    <n v="5544"/>
    <n v="96490"/>
    <n v="91220"/>
    <n v="729673"/>
    <n v="1074734"/>
    <n v="173445"/>
    <n v="170033"/>
    <n v="31849"/>
    <n v="28875"/>
    <n v="14564"/>
    <n v="10958"/>
    <n v="0"/>
    <n v="3874"/>
    <n v="0"/>
    <n v="3186"/>
    <n v="6167681"/>
    <n v="0.80266008669295452"/>
    <n v="-1516369.9479068602"/>
    <n v="5.316566600096162E-2"/>
    <n v="0.18549284450210379"/>
    <n v="0.19764625994871762"/>
    <n v="-1.1594273682898226E-2"/>
  </r>
  <r>
    <n v="31571706"/>
    <n v="5856325.5517241377"/>
    <n v="5.5240779068715731E-2"/>
    <n v="33438597"/>
    <x v="146"/>
    <n v="7450207.6240357403"/>
    <n v="5010773.0662852004"/>
    <n v="2439434.5577505399"/>
    <n v="4079869"/>
    <n v="3970639"/>
    <n v="24421.551724137898"/>
    <n v="29228"/>
    <n v="55831"/>
    <n v="26769"/>
    <n v="10097"/>
    <n v="11997"/>
    <n v="119447"/>
    <n v="83615"/>
    <n v="1213906"/>
    <n v="850183"/>
    <n v="294966"/>
    <n v="220841"/>
    <n v="45119"/>
    <n v="23508"/>
    <n v="12669"/>
    <n v="11096"/>
    <n v="0"/>
    <n v="6482"/>
    <n v="0"/>
    <n v="4996"/>
    <n v="5239354"/>
    <n v="0.70324939443256318"/>
    <n v="-2210853.6240357403"/>
    <n v="-7.5743395948388192E-2"/>
    <n v="0.16517167013703651"/>
    <n v="0.15668582028127556"/>
    <n v="-2.5687157572140129E-2"/>
  </r>
  <r>
    <n v="34320185"/>
    <n v="5668722.2758620689"/>
    <n v="5.3471179509583834E-2"/>
    <n v="37446290"/>
    <x v="147"/>
    <n v="6189474.6488193097"/>
    <n v="4109781.6677747699"/>
    <n v="2079692.9810445399"/>
    <n v="3654732"/>
    <n v="3618780"/>
    <n v="31223.275862069"/>
    <n v="31726"/>
    <n v="60377"/>
    <n v="13833"/>
    <n v="8759"/>
    <n v="1382"/>
    <n v="88703"/>
    <n v="98131"/>
    <n v="1382114"/>
    <n v="756891"/>
    <n v="371492"/>
    <n v="201932"/>
    <n v="45166"/>
    <n v="33137"/>
    <n v="26156"/>
    <n v="11225"/>
    <n v="0"/>
    <n v="4271"/>
    <n v="0"/>
    <n v="2454"/>
    <n v="4773762"/>
    <n v="0.77127095122857192"/>
    <n v="-1415712.6488193097"/>
    <n v="1.4089972444687016E-2"/>
    <n v="0.12546764848041422"/>
    <n v="0.12748290952187788"/>
    <n v="-1.9408509940894714E-3"/>
  </r>
  <r>
    <n v="37519109"/>
    <n v="4707434.3793103453"/>
    <n v="4.4403669200289202E-2"/>
    <n v="42455021"/>
    <x v="148"/>
    <n v="5485879.74035291"/>
    <n v="3454416.0166014698"/>
    <n v="2031463.7237514399"/>
    <n v="2978165"/>
    <n v="2759171"/>
    <n v="27291.379310344801"/>
    <n v="25341"/>
    <n v="44594"/>
    <n v="29617"/>
    <n v="8693"/>
    <n v="4838"/>
    <n v="93162"/>
    <n v="97357"/>
    <n v="1195372"/>
    <n v="753282"/>
    <n v="298834"/>
    <n v="172862"/>
    <n v="46665"/>
    <n v="24477"/>
    <n v="14658"/>
    <n v="13363"/>
    <n v="0"/>
    <n v="6072"/>
    <n v="0"/>
    <n v="1291"/>
    <n v="3887671"/>
    <n v="0.70866865188515848"/>
    <n v="-1598208.74035291"/>
    <n v="-6.8018192675058819E-2"/>
    <n v="9.6655984666368586E-2"/>
    <n v="9.1571524602472809E-2"/>
    <n v="-1.627039989567447E-2"/>
  </r>
  <r>
    <n v="43157206"/>
    <n v="4171402.2413793104"/>
    <n v="3.9347455599516606E-2"/>
    <n v="50731319"/>
    <x v="149"/>
    <n v="4983598.2525027702"/>
    <n v="3181448.1200861302"/>
    <n v="1802150.1324166399"/>
    <n v="2453304"/>
    <n v="2444647"/>
    <n v="37442.241379310297"/>
    <n v="31667"/>
    <n v="36352"/>
    <n v="334"/>
    <n v="7638"/>
    <n v="732"/>
    <n v="113450"/>
    <n v="102241"/>
    <n v="1220737"/>
    <n v="813542"/>
    <n v="249590"/>
    <n v="157583"/>
    <n v="38407"/>
    <n v="22067"/>
    <n v="14482"/>
    <n v="9771"/>
    <n v="0"/>
    <n v="1250"/>
    <n v="0"/>
    <n v="8009"/>
    <n v="3591843"/>
    <n v="0.72073285566230616"/>
    <n v="-1391755.2525027702"/>
    <n v="-5.0788670914374334E-2"/>
    <n v="7.3935523030709854E-2"/>
    <n v="7.0801293378553787E-2"/>
    <n v="-8.7690106537073875E-3"/>
  </r>
  <r>
    <n v="51180118"/>
    <n v="3784028.7931034481"/>
    <n v="3.5693490176266947E-2"/>
    <n v="51664485"/>
    <x v="150"/>
    <n v="5635126.4442096399"/>
    <n v="3688020.1859307298"/>
    <n v="1947106.2582789101"/>
    <n v="2260895"/>
    <n v="2739282"/>
    <n v="34463.793103448297"/>
    <n v="36548"/>
    <n v="19296"/>
    <n v="7405"/>
    <n v="4141"/>
    <n v="4382"/>
    <n v="119066"/>
    <n v="80380"/>
    <n v="1010801"/>
    <n v="1043225"/>
    <n v="278925"/>
    <n v="173161"/>
    <n v="39390"/>
    <n v="23659"/>
    <n v="17051"/>
    <n v="10923"/>
    <n v="0"/>
    <n v="2086"/>
    <n v="0"/>
    <n v="5728"/>
    <n v="4126779"/>
    <n v="0.73233121578673033"/>
    <n v="-1508347.4442096399"/>
    <n v="-3.686449806443115E-2"/>
    <n v="7.9297465375558346E-2"/>
    <n v="7.9876514785737249E-2"/>
    <n v="-4.3846563391319093E-2"/>
  </r>
  <r>
    <n v="54033676"/>
    <n v="4284733.5517241377"/>
    <n v="3.7362092448419891E-2"/>
    <n v="28438618"/>
    <x v="151"/>
    <n v="5628230.5453892499"/>
    <n v="3718237.2221329901"/>
    <n v="1909993.32325626"/>
    <n v="2599042"/>
    <n v="4064668"/>
    <n v="39671.551724137898"/>
    <n v="29432"/>
    <n v="-228"/>
    <n v="26689"/>
    <n v="1403"/>
    <n v="10478"/>
    <n v="186803"/>
    <n v="92432"/>
    <n v="1125600"/>
    <n v="904974"/>
    <n v="278166"/>
    <n v="135586"/>
    <n v="40863"/>
    <n v="29579"/>
    <n v="13413"/>
    <n v="10801"/>
    <n v="0"/>
    <n v="8208"/>
    <n v="0"/>
    <n v="8913"/>
    <n v="5321760"/>
    <n v="0.94554762053229746"/>
    <n v="-306470.54538924992"/>
    <n v="1.1774854529580825E-2"/>
    <n v="0.17065581237184627"/>
    <n v="0.18713145624727615"/>
    <n v="-7.73049961787734E-2"/>
  </r>
  <r>
    <n v="30821255"/>
    <n v="5259826.3103448283"/>
    <n v="4.5864722857891053E-2"/>
    <n v="32512385"/>
    <x v="152"/>
    <n v="6910737.6119030602"/>
    <n v="4968805.8758889297"/>
    <n v="1941931.7360141301"/>
    <n v="3555716"/>
    <n v="4572359"/>
    <n v="32404.310344827602"/>
    <n v="23766"/>
    <n v="47857"/>
    <n v="47963"/>
    <n v="7967"/>
    <n v="15476"/>
    <n v="133459"/>
    <n v="108290"/>
    <n v="1113451"/>
    <n v="930339"/>
    <n v="281772"/>
    <n v="178091"/>
    <n v="68092"/>
    <n v="32506"/>
    <n v="19108"/>
    <n v="12255"/>
    <n v="0"/>
    <n v="4331"/>
    <n v="0"/>
    <n v="4564"/>
    <n v="5929940"/>
    <n v="0.85807627680528142"/>
    <n v="-980797.61190306023"/>
    <n v="-0.12195016794934455"/>
    <n v="0.19054236708733535"/>
    <n v="0.1823901876161961"/>
    <n v="-8.2704527002128381E-2"/>
  </r>
  <r>
    <n v="35443743"/>
    <n v="6753534.6896551726"/>
    <n v="5.8889586571135459E-2"/>
    <n v="31971655"/>
    <x v="153"/>
    <n v="8873325.0488210805"/>
    <n v="6391028.7994139604"/>
    <n v="2482296.24940712"/>
    <n v="4635812"/>
    <n v="3552563"/>
    <n v="32920.689655172398"/>
    <n v="26173"/>
    <n v="51815"/>
    <n v="32530"/>
    <n v="10260"/>
    <n v="6406"/>
    <n v="127803"/>
    <n v="121708"/>
    <n v="1389018"/>
    <n v="539970"/>
    <n v="419059"/>
    <n v="136278"/>
    <n v="74233"/>
    <n v="35037"/>
    <n v="12614"/>
    <n v="7759"/>
    <n v="0"/>
    <n v="4912"/>
    <n v="0"/>
    <n v="1334"/>
    <n v="4464670"/>
    <n v="0.5031563675888534"/>
    <n v="-4408655.0488210805"/>
    <n v="-3.8465792922438236E-2"/>
    <n v="0.13187008255084121"/>
    <n v="0.13964463209677447"/>
    <n v="-9.19980713980878E-2"/>
  </r>
  <r>
    <n v="35210999"/>
    <n v="4643277.3448275868"/>
    <n v="4.0488528709397613E-2"/>
    <n v="34179408"/>
    <x v="154"/>
    <n v="6101558.7720924998"/>
    <n v="4601314.02368386"/>
    <n v="1500244.74840864"/>
    <n v="3274168"/>
    <n v="2797805"/>
    <n v="29785.344827586199"/>
    <n v="20815"/>
    <n v="42044"/>
    <n v="73509"/>
    <n v="4685"/>
    <n v="4322"/>
    <n v="147345"/>
    <n v="88544"/>
    <n v="792011"/>
    <n v="330252"/>
    <n v="301527"/>
    <n v="176072"/>
    <n v="38002"/>
    <n v="20525"/>
    <n v="13710"/>
    <n v="5500"/>
    <n v="0"/>
    <n v="5098"/>
    <n v="0"/>
    <n v="5081"/>
    <n v="3527523"/>
    <n v="0.57813472454519244"/>
    <n v="-2574035.7720924998"/>
    <n v="-6.0801778493507763E-3"/>
    <n v="9.1922466717042378E-2"/>
    <n v="0.10320608829737483"/>
    <n v="-0.11474639453634183"/>
  </r>
  <r>
    <n v="38609736"/>
    <n v="3549102.1724137929"/>
    <n v="3.0947521444187404E-2"/>
    <n v="36164915"/>
    <x v="155"/>
    <n v="4663412.6250081202"/>
    <n v="3436840.55209722"/>
    <n v="1226572.0729109"/>
    <n v="2378483"/>
    <n v="2265727"/>
    <n v="24530.172413793101"/>
    <n v="32888"/>
    <n v="28287"/>
    <n v="13246"/>
    <n v="7601"/>
    <n v="5193"/>
    <n v="173866"/>
    <n v="99255"/>
    <n v="649458"/>
    <n v="351624"/>
    <n v="251407"/>
    <n v="180239"/>
    <n v="22490"/>
    <n v="11727"/>
    <n v="12980"/>
    <n v="6281"/>
    <n v="0"/>
    <n v="4449"/>
    <n v="0"/>
    <n v="1291"/>
    <n v="2971920"/>
    <n v="0.63728437497954094"/>
    <n v="-1691492.6250081202"/>
    <n v="-1.4803043324090215E-2"/>
    <n v="7.4723642867572687E-2"/>
    <n v="8.2176883313565097E-2"/>
    <n v="-0.10415797513316039"/>
  </r>
  <r>
    <n v="40369746"/>
    <n v="3016574.4827586208"/>
    <n v="2.6303977444996626E-2"/>
    <n v="47697211"/>
    <x v="156"/>
    <n v="3963610.0504163904"/>
    <n v="2902425.7969517601"/>
    <n v="1061184.2534646301"/>
    <n v="1974536"/>
    <n v="2159116"/>
    <n v="24459.482758620699"/>
    <n v="34578"/>
    <n v="72867"/>
    <n v="22387"/>
    <n v="5878"/>
    <n v="1996"/>
    <n v="128752"/>
    <n v="97775"/>
    <n v="599700"/>
    <n v="344708"/>
    <n v="181701"/>
    <n v="188671"/>
    <n v="19333"/>
    <n v="9093"/>
    <n v="9348"/>
    <n v="3824"/>
    <n v="0"/>
    <n v="5418"/>
    <n v="0"/>
    <n v="3100"/>
    <n v="2870666"/>
    <n v="0.72425540441306202"/>
    <n v="-1092944.0504163904"/>
    <n v="8.636658081798787E-2"/>
    <n v="5.2614319106986225E-2"/>
    <n v="6.0185196153292903E-2"/>
    <n v="-5.0290742515161524E-2"/>
  </r>
  <r>
    <n v="50222961"/>
    <n v="2642446.8965517241"/>
    <n v="2.3041653360050537E-2"/>
    <n v="50902735"/>
    <x v="157"/>
    <n v="3472422.4349578251"/>
    <n v="2638146.18790258"/>
    <n v="834276.24705524498"/>
    <n v="1787547"/>
    <n v="2835754"/>
    <n v="25031.896551724101"/>
    <n v="33462"/>
    <n v="25976"/>
    <n v="1717"/>
    <n v="10248"/>
    <n v="3121"/>
    <n v="156778"/>
    <n v="82366"/>
    <n v="495806"/>
    <n v="526670"/>
    <n v="116017"/>
    <n v="201401"/>
    <n v="17934"/>
    <n v="12585"/>
    <n v="7109"/>
    <n v="6574"/>
    <n v="0"/>
    <n v="2075"/>
    <n v="0"/>
    <n v="3057"/>
    <n v="3708782"/>
    <n v="1.0680676298663085"/>
    <n v="236359.56504217489"/>
    <n v="0.16227425533582518"/>
    <n v="6.3921386858858051E-2"/>
    <n v="7.2860171462299617E-2"/>
    <n v="1.9681683700879526E-2"/>
  </r>
  <r>
    <n v="49920221"/>
    <n v="3190969.7586206896"/>
    <n v="2.7824672335511912E-2"/>
    <n v="28697109"/>
    <x v="158"/>
    <n v="4193019.4933147803"/>
    <n v="3134115.9000614402"/>
    <n v="1058903.5932533401"/>
    <n v="2242842"/>
    <n v="4038776"/>
    <n v="25757.758620689601"/>
    <n v="28413"/>
    <n v="21715"/>
    <n v="38880"/>
    <n v="6780"/>
    <n v="7184"/>
    <n v="85534"/>
    <n v="129134"/>
    <n v="642846"/>
    <n v="693965"/>
    <n v="139716"/>
    <n v="192882"/>
    <n v="16575"/>
    <n v="27190"/>
    <n v="9204"/>
    <n v="4960"/>
    <n v="0"/>
    <n v="8849"/>
    <n v="0"/>
    <n v="3057"/>
    <n v="5173290"/>
    <n v="1.2337862984534493"/>
    <n v="980270.50668521971"/>
    <n v="0.15127456239772519"/>
    <n v="0.15602258379094466"/>
    <n v="0.18027216609171329"/>
    <n v="-3.5908716673527241E-3"/>
  </r>
  <r>
    <n v="28800528"/>
    <n v="4493532.7931034481"/>
    <n v="3.9182783622188355E-2"/>
    <n v="32882240"/>
    <x v="159"/>
    <n v="5905700.5773297697"/>
    <n v="4674671.9817084698"/>
    <n v="1231028.5956212999"/>
    <n v="3389987"/>
    <n v="4305103"/>
    <n v="24238.793103448301"/>
    <n v="32400"/>
    <n v="51991"/>
    <n v="65678"/>
    <n v="11309"/>
    <n v="1844"/>
    <n v="76270"/>
    <n v="114553"/>
    <n v="757315"/>
    <n v="480602"/>
    <n v="142907"/>
    <n v="174897"/>
    <n v="32343"/>
    <n v="13800"/>
    <n v="7172"/>
    <n v="7381"/>
    <n v="0"/>
    <n v="11271"/>
    <n v="0"/>
    <n v="1636"/>
    <n v="5209165"/>
    <n v="0.88205707888348373"/>
    <n v="-696535.57732976973"/>
    <n v="6.8446347962349385E-2"/>
    <n v="0.14406295826410509"/>
    <n v="0.15841879993577079"/>
    <n v="-2.8375788123997436E-2"/>
  </r>
  <r>
    <n v="33842549"/>
    <n v="4875457.7241379311"/>
    <n v="4.2513099127087096E-2"/>
    <n v="37140797"/>
    <x v="160"/>
    <n v="6407621.7256236402"/>
    <n v="5064708.4725375203"/>
    <n v="1342913.2530861199"/>
    <n v="3660690"/>
    <n v="4123039"/>
    <n v="22251.724137931"/>
    <n v="28567"/>
    <n v="65685"/>
    <n v="28987"/>
    <n v="13660"/>
    <n v="6055"/>
    <n v="88024"/>
    <n v="132557"/>
    <n v="829750"/>
    <n v="415988"/>
    <n v="153054"/>
    <n v="141262"/>
    <n v="32493"/>
    <n v="21700"/>
    <n v="9850"/>
    <n v="2811"/>
    <n v="0"/>
    <n v="4259"/>
    <n v="0"/>
    <n v="0"/>
    <n v="4905225"/>
    <n v="0.7655297409933457"/>
    <n v="-1502396.7256236402"/>
    <n v="0.10448786537619759"/>
    <n v="0.1161836524699323"/>
    <n v="0.13207107537299212"/>
    <n v="-2.837594116866704E-2"/>
  </r>
  <r>
    <n v="38225481"/>
    <n v="4441176"/>
    <n v="3.8726241967819514E-2"/>
    <n v="35683971"/>
    <x v="161"/>
    <n v="5835819.3199239196"/>
    <n v="4360940.8577481396"/>
    <n v="1474878.46217578"/>
    <n v="3126283"/>
    <n v="2993082"/>
    <n v="19800"/>
    <n v="24347"/>
    <n v="47481"/>
    <n v="18478"/>
    <n v="1700"/>
    <n v="2267"/>
    <n v="120026"/>
    <n v="140034"/>
    <n v="948224"/>
    <n v="412479"/>
    <n v="139153"/>
    <n v="215146"/>
    <n v="23874"/>
    <n v="12955"/>
    <n v="14635"/>
    <n v="214"/>
    <n v="0"/>
    <n v="4069"/>
    <n v="0"/>
    <n v="1076"/>
    <n v="3824147"/>
    <n v="0.65528879328804424"/>
    <n v="-2011672.3199239196"/>
    <n v="-4.1536392791188259E-3"/>
    <n v="8.615429046371674E-2"/>
    <n v="0.10716708070410662"/>
    <n v="-0.19941425990999928"/>
  </r>
  <r>
    <n v="44572329"/>
    <n v="3840097.3793103448"/>
    <n v="3.3484946395090399E-2"/>
    <n v="38806927"/>
    <x v="162"/>
    <n v="5045229.5474619195"/>
    <n v="3587371.5437153699"/>
    <n v="1457858.0037465501"/>
    <n v="2529675"/>
    <n v="2651227"/>
    <n v="25116.379310344801"/>
    <n v="30709"/>
    <n v="47507"/>
    <n v="11629"/>
    <n v="12578"/>
    <n v="3889"/>
    <n v="112328"/>
    <n v="97304"/>
    <n v="947866"/>
    <n v="566709"/>
    <n v="131048"/>
    <n v="221811"/>
    <n v="20426"/>
    <n v="20101"/>
    <n v="13553"/>
    <n v="2802"/>
    <n v="0"/>
    <n v="6123"/>
    <n v="0"/>
    <n v="2627"/>
    <n v="3614931"/>
    <n v="0.71650476276516428"/>
    <n v="-1430298.5474619195"/>
    <n v="0.30675142736352701"/>
    <n v="5.7527224435941417E-2"/>
    <n v="9.3151694283858139E-2"/>
    <n v="-0.19299607782920425"/>
  </r>
  <r>
    <n v="48087656"/>
    <n v="2766349.3793103448"/>
    <n v="2.4122060335077859E-2"/>
    <n v="50061401"/>
    <x v="163"/>
    <n v="3633800.0556295104"/>
    <n v="2412639.4745812402"/>
    <n v="1221160.58104827"/>
    <n v="1638837"/>
    <n v="2172069"/>
    <n v="28341.379310344801"/>
    <n v="41533"/>
    <n v="42888"/>
    <n v="29771"/>
    <n v="9320"/>
    <n v="2610"/>
    <n v="114759"/>
    <n v="43950"/>
    <n v="766146"/>
    <n v="427855"/>
    <n v="144596"/>
    <n v="215157"/>
    <n v="10631"/>
    <n v="16395"/>
    <n v="10831"/>
    <n v="3162"/>
    <n v="0"/>
    <n v="-34"/>
    <n v="0"/>
    <n v="3272"/>
    <n v="2955740"/>
    <n v="0.81340193592130783"/>
    <n v="-678060.05562951043"/>
    <n v="0.21524463443862274"/>
    <n v="3.8299884881504223E-2"/>
    <n v="5.9042294881040187E-2"/>
    <n v="-0.21168833806947462"/>
  </r>
  <r>
    <n v="63504580"/>
    <n v="2432218.1034482755"/>
    <n v="2.1208496756861019E-2"/>
    <n v="53829581"/>
    <x v="164"/>
    <n v="3194761.9660381302"/>
    <n v="2089143.48260971"/>
    <n v="1105618.48342842"/>
    <n v="1454606"/>
    <n v="2966244"/>
    <n v="33468.103448275797"/>
    <n v="39097"/>
    <n v="14384"/>
    <n v="-880"/>
    <n v="6930"/>
    <n v="939"/>
    <n v="78828"/>
    <n v="55568"/>
    <n v="672212"/>
    <n v="506926"/>
    <n v="147847"/>
    <n v="228812"/>
    <n v="11663"/>
    <n v="16003"/>
    <n v="12280"/>
    <n v="2578"/>
    <n v="0"/>
    <n v="3300"/>
    <n v="0"/>
    <n v="3617"/>
    <n v="3822204"/>
    <n v="1.196397115225448"/>
    <n v="627442.03396186978"/>
    <n v="0.40856701262259687"/>
    <n v="5.9011352944410025E-2"/>
    <n v="7.1005642789602988E-2"/>
    <n v="0.17063154225675681"/>
  </r>
  <r>
    <n v="45983368"/>
    <n v="2713540.7586206896"/>
    <n v="2.3661578826843464E-2"/>
    <n v="31869082"/>
    <x v="165"/>
    <n v="3564311.2937797699"/>
    <n v="2337321.3399915602"/>
    <n v="1226989.9537882099"/>
    <n v="1639221"/>
    <n v="4649825"/>
    <n v="25457.758620689601"/>
    <n v="37739"/>
    <n v="15670"/>
    <n v="23981"/>
    <n v="5332"/>
    <n v="1678"/>
    <n v="91206"/>
    <n v="112677"/>
    <n v="746589"/>
    <n v="633681"/>
    <n v="161202"/>
    <n v="215869"/>
    <n v="18560"/>
    <n v="20071"/>
    <n v="10303"/>
    <n v="5767"/>
    <n v="0"/>
    <n v="8348"/>
    <n v="0"/>
    <n v="1550"/>
    <n v="5711186"/>
    <n v="1.6023252542410737"/>
    <n v="2146874.7062202301"/>
    <n v="0.46478109890672425"/>
    <n v="0.15855348056601137"/>
    <n v="0.17920773494511075"/>
    <n v="0.29596047609274434"/>
  </r>
  <r>
    <n v="24591091"/>
    <n v="3899003.068965517"/>
    <n v="3.3998593228917177E-2"/>
    <n v="36969775"/>
    <x v="166"/>
    <n v="5123707.1868958799"/>
    <n v="3905344.7047627801"/>
    <n v="1218362.4821331"/>
    <n v="2820912"/>
    <n v="5160916"/>
    <n v="25462.068965517199"/>
    <n v="18791"/>
    <n v="27617"/>
    <n v="35886"/>
    <n v="9575"/>
    <n v="3238"/>
    <n v="85369"/>
    <n v="89042"/>
    <n v="742785"/>
    <n v="748300"/>
    <n v="138760"/>
    <n v="179203"/>
    <n v="37149"/>
    <n v="14440"/>
    <n v="11374"/>
    <n v="6266"/>
    <n v="0"/>
    <n v="8389"/>
    <n v="0"/>
    <n v="2884"/>
    <n v="6267355"/>
    <n v="1.2232070981786494"/>
    <n v="1143647.8131041201"/>
    <n v="0.39877731916499815"/>
    <n v="0.14900075316456707"/>
    <n v="0.16952645776177971"/>
    <n v="0.22941797296308186"/>
  </r>
  <r>
    <n v="30070957"/>
    <n v="4480595.2413793104"/>
    <n v="3.9069970538775284E-2"/>
    <n v="42471497"/>
    <x v="167"/>
    <n v="5888458.4875598401"/>
    <n v="4603401.4314247901"/>
    <n v="1285057.05613505"/>
    <n v="3331006"/>
    <n v="4780003"/>
    <n v="37267.241379310297"/>
    <n v="32856"/>
    <n v="45603"/>
    <n v="23592"/>
    <n v="6054"/>
    <n v="4187"/>
    <n v="79684"/>
    <n v="135945"/>
    <n v="770093"/>
    <n v="805827"/>
    <n v="153147"/>
    <n v="161698"/>
    <n v="41755"/>
    <n v="17717"/>
    <n v="15986"/>
    <n v="6926"/>
    <n v="0"/>
    <n v="7283"/>
    <n v="0"/>
    <n v="2368"/>
    <n v="5978402"/>
    <n v="1.0152745430115842"/>
    <n v="89943.512440159917"/>
    <n v="0.48519628831604789"/>
    <n v="0.12061226916299343"/>
    <n v="0.14076268609039139"/>
    <n v="0.27258792412658961"/>
  </r>
  <r>
    <n v="33374116"/>
    <n v="4025327.8620689656"/>
    <n v="3.5100122306859348E-2"/>
    <n v="46880396"/>
    <x v="168"/>
    <n v="5290333.0760039603"/>
    <n v="4182423.4525930402"/>
    <n v="1107909.6234109199"/>
    <n v="2973640"/>
    <n v="3694508"/>
    <n v="40300.8620689655"/>
    <n v="30523"/>
    <n v="43913"/>
    <n v="39366"/>
    <n v="7553"/>
    <n v="4372"/>
    <n v="114170"/>
    <n v="104558"/>
    <n v="667867"/>
    <n v="564730"/>
    <n v="125568"/>
    <n v="163685"/>
    <n v="34974"/>
    <n v="12267"/>
    <n v="17342"/>
    <n v="5509"/>
    <n v="0"/>
    <n v="8214"/>
    <n v="0"/>
    <n v="5684"/>
    <n v="4633416"/>
    <n v="0.87582689661193114"/>
    <n v="-656917.07600396033"/>
    <n v="0.35200824882711435"/>
    <n v="9.4363984498991985E-2"/>
    <n v="9.8834830661413353E-2"/>
    <n v="0.29084943618607006"/>
  </r>
  <r>
    <n v="36317478"/>
    <n v="3427061.9310344825"/>
    <n v="2.988335287319038E-2"/>
    <n v="49964426"/>
    <x v="169"/>
    <n v="4504623.475328858"/>
    <n v="3698431.7051661098"/>
    <n v="806191.77016274806"/>
    <n v="2669804"/>
    <n v="2520466"/>
    <n v="40587.931034482703"/>
    <n v="27134"/>
    <n v="31678"/>
    <n v="6920"/>
    <n v="8489"/>
    <n v="610"/>
    <n v="61076"/>
    <n v="82905"/>
    <n v="455015"/>
    <n v="507387"/>
    <n v="126044"/>
    <n v="155281"/>
    <n v="24483"/>
    <n v="7714"/>
    <n v="9885"/>
    <n v="7124"/>
    <n v="0"/>
    <n v="10528"/>
    <n v="0"/>
    <n v="5426"/>
    <n v="3331495"/>
    <n v="0.73957235676768429"/>
    <n v="-1173128.475328858"/>
    <n v="2.004429885565373E-2"/>
    <n v="8.5740320610696835E-2"/>
    <n v="6.6677339593574039E-2"/>
    <n v="0.3116738873220728"/>
  </r>
  <r>
    <n v="38092110"/>
    <n v="3266029.7241379311"/>
    <n v="2.8479181498561719E-2"/>
    <n v="63050656"/>
    <x v="170"/>
    <n v="4290912.3452426102"/>
    <n v="3029109.90144003"/>
    <n v="1261802.44380258"/>
    <n v="2117726"/>
    <n v="1707778"/>
    <n v="37026.724137931"/>
    <n v="37861"/>
    <n v="33900"/>
    <n v="195"/>
    <n v="3527"/>
    <n v="4940"/>
    <n v="110621"/>
    <n v="125997"/>
    <n v="822254"/>
    <n v="378080"/>
    <n v="98107"/>
    <n v="153733"/>
    <n v="33075"/>
    <n v="14491"/>
    <n v="9793"/>
    <n v="5329"/>
    <n v="0"/>
    <n v="5725"/>
    <n v="0"/>
    <n v="603"/>
    <n v="2434732"/>
    <n v="0.56741592558967524"/>
    <n v="-1856180.3452426102"/>
    <n v="-0.14914189260059629"/>
    <n v="5.6148136510023726E-2"/>
    <n v="3.8615490376499813E-2"/>
    <n v="0.237174426612901"/>
  </r>
  <r>
    <n v="50963433"/>
    <n v="2861501.7931034481"/>
    <n v="2.4951771970098357E-2"/>
    <n v="44356663"/>
    <x v="171"/>
    <n v="3761691.2293913742"/>
    <n v="3198382.5668882602"/>
    <n v="563308.66250311397"/>
    <n v="2280322"/>
    <n v="2286106"/>
    <n v="39113.793103448297"/>
    <n v="30081"/>
    <n v="21973"/>
    <n v="-4507"/>
    <n v="5556"/>
    <n v="-62"/>
    <n v="84521"/>
    <n v="66122"/>
    <n v="311488"/>
    <n v="434484"/>
    <n v="82471"/>
    <n v="171572"/>
    <n v="25122"/>
    <n v="16085"/>
    <n v="10935"/>
    <n v="6203"/>
    <n v="0"/>
    <n v="5780"/>
    <n v="0"/>
    <n v="2584"/>
    <n v="3014448"/>
    <n v="0.80135444835213787"/>
    <n v="-747243.22939137416"/>
    <n v="-8.5878424966886691E-2"/>
    <n v="6.7309817220294735E-2"/>
    <n v="6.795930523448078E-2"/>
    <n v="-9.46146974235339E-2"/>
  </r>
  <r>
    <n v="48992029"/>
    <n v="3297644.5172413792"/>
    <n v="2.8754856708795826E-2"/>
    <n v="26759670"/>
    <x v="172"/>
    <n v="4336185.2668039147"/>
    <n v="3963613.6803517002"/>
    <n v="372571.58645221498"/>
    <n v="2863065"/>
    <n v="3449372"/>
    <n v="49765.517241379297"/>
    <n v="32572"/>
    <n v="3999"/>
    <n v="60642"/>
    <n v="5169"/>
    <n v="0"/>
    <n v="91234"/>
    <n v="81822"/>
    <n v="100157"/>
    <n v="607813"/>
    <n v="134523"/>
    <n v="170679"/>
    <n v="40627"/>
    <n v="25030"/>
    <n v="9105"/>
    <n v="4734"/>
    <n v="0"/>
    <n v="5983"/>
    <n v="0"/>
    <n v="1464"/>
    <n v="4440111"/>
    <n v="1.0239670878437088"/>
    <n v="103925.73319608532"/>
    <n v="-0.15269424813078691"/>
    <n v="0.16560017341136393"/>
    <n v="0.16592547665946553"/>
    <n v="-0.154355423489553"/>
  </r>
  <r>
    <n v="31644110"/>
    <n v="5240270.1034482755"/>
    <n v="4.5694196312613712E-2"/>
    <n v="28828276"/>
    <x v="173"/>
    <n v="6885052.9044871293"/>
    <n v="4952666.9300810797"/>
    <n v="1932385.9744060501"/>
    <n v="3518868"/>
    <n v="3607578"/>
    <n v="48518.103448275797"/>
    <n v="31603"/>
    <n v="41503"/>
    <n v="41336"/>
    <n v="11366"/>
    <n v="0"/>
    <n v="144879"/>
    <n v="47149"/>
    <n v="1270698"/>
    <n v="522266"/>
    <n v="117470"/>
    <n v="166620"/>
    <n v="71619"/>
    <n v="35881"/>
    <n v="15349"/>
    <n v="14026"/>
    <n v="0"/>
    <n v="6322"/>
    <n v="0"/>
    <n v="5038"/>
    <n v="4477819"/>
    <n v="0.65036813255010928"/>
    <n v="-2407233.9044871293"/>
    <n v="2.7424737949500066E-2"/>
    <n v="0.13304668045382048"/>
    <n v="0.15532732515811906"/>
    <n v="-0.11995232866358163"/>
  </r>
  <r>
    <n v="32757630"/>
    <n v="4358293.931034483"/>
    <n v="3.8003525494175572E-2"/>
    <n v="28911259"/>
    <x v="174"/>
    <n v="5729014.832033854"/>
    <n v="4789302.9167269897"/>
    <n v="939711.91530686396"/>
    <n v="3394337"/>
    <n v="3156183"/>
    <n v="48212.931034482703"/>
    <n v="27167"/>
    <n v="85752"/>
    <n v="47227"/>
    <n v="8426"/>
    <n v="1614"/>
    <n v="104213"/>
    <n v="62691"/>
    <n v="504323"/>
    <n v="486332"/>
    <n v="137554"/>
    <n v="165559"/>
    <n v="60128"/>
    <n v="26707"/>
    <n v="15348"/>
    <n v="18093"/>
    <n v="0"/>
    <n v="15844"/>
    <n v="0"/>
    <n v="5384"/>
    <n v="4012801"/>
    <n v="0.70043473749838736"/>
    <n v="-1716213.832033854"/>
    <n v="-8.2570336260633925E-2"/>
    <n v="0.11926784529425177"/>
    <n v="0.13879717240954467"/>
    <n v="-0.211656424236351"/>
  </r>
  <r>
    <n v="36673425"/>
    <n v="4373960.3793103453"/>
    <n v="3.8140134056121183E-2"/>
    <n v="32990386"/>
    <x v="175"/>
    <n v="5747826.9104707399"/>
    <n v="4375020.1099856403"/>
    <n v="1372806.8004850999"/>
    <n v="3139943"/>
    <n v="2694753"/>
    <n v="41541.379310344797"/>
    <n v="29216"/>
    <n v="19984"/>
    <n v="16753"/>
    <n v="5166"/>
    <n v="1713"/>
    <n v="119359"/>
    <n v="63932"/>
    <n v="869828"/>
    <n v="505290"/>
    <n v="125724"/>
    <n v="132920"/>
    <n v="44086"/>
    <n v="47371"/>
    <n v="8329"/>
    <n v="14247"/>
    <n v="0"/>
    <n v="19034"/>
    <n v="0"/>
    <n v="861"/>
    <n v="3526090"/>
    <n v="0.61346488941352229"/>
    <n v="-2221736.9104707399"/>
    <n v="7.1724461183537702E-3"/>
    <n v="8.6884847783927091E-2"/>
    <n v="0.10688235051266147"/>
    <n v="-0.18126777476892864"/>
  </r>
  <r>
    <n v="40294476"/>
    <n v="3500979.4137931033"/>
    <n v="3.0527899795663723E-2"/>
    <n v="37473775"/>
    <x v="176"/>
    <n v="4601271.3508241205"/>
    <n v="3654372.9324046001"/>
    <n v="946898.41841952002"/>
    <n v="2604399"/>
    <n v="2205478"/>
    <n v="43047.413793103398"/>
    <n v="28000"/>
    <n v="27161"/>
    <n v="16158"/>
    <n v="7060"/>
    <n v="1136"/>
    <n v="96473"/>
    <n v="81003"/>
    <n v="505360"/>
    <n v="416030"/>
    <n v="154811"/>
    <n v="171947"/>
    <n v="46738"/>
    <n v="42864"/>
    <n v="15930"/>
    <n v="12244"/>
    <n v="0"/>
    <n v="7750"/>
    <n v="0"/>
    <n v="689"/>
    <n v="2983299"/>
    <n v="0.64836406561105553"/>
    <n v="-1617972.3508241205"/>
    <n v="1.3244916771268711E-2"/>
    <n v="6.4638707135331805E-2"/>
    <n v="7.961031414635969E-2"/>
    <n v="-0.17730708471853773"/>
  </r>
  <r>
    <n v="45550137"/>
    <n v="2944301.9655172415"/>
    <n v="2.5673774320798655E-2"/>
    <n v="42913204"/>
    <x v="177"/>
    <n v="3869238.1141088381"/>
    <n v="2975810.10838571"/>
    <n v="893428.00572312798"/>
    <n v="2116880"/>
    <n v="1773131"/>
    <n v="39018.965517241399"/>
    <n v="37159"/>
    <n v="39894"/>
    <n v="7338"/>
    <n v="8661"/>
    <n v="0"/>
    <n v="57827"/>
    <n v="67734"/>
    <n v="506732"/>
    <n v="419596"/>
    <n v="134913"/>
    <n v="154349"/>
    <n v="29295"/>
    <n v="36632"/>
    <n v="11081"/>
    <n v="11823"/>
    <n v="0"/>
    <n v="4627"/>
    <n v="0"/>
    <n v="1463"/>
    <n v="2513852"/>
    <n v="0.64970206688326027"/>
    <n v="-1355386.1141088381"/>
    <n v="8.9820690371433809E-3"/>
    <n v="4.7527441477588382E-2"/>
    <n v="5.8579918665592999E-2"/>
    <n v="-0.18138609048180676"/>
  </r>
  <r>
    <n v="52421787"/>
    <n v="2491473.4137931033"/>
    <n v="2.1725192219119671E-2"/>
    <n v="44748131"/>
    <x v="178"/>
    <n v="3273634.5030915751"/>
    <n v="2391835.1135060801"/>
    <n v="881799.389585495"/>
    <n v="1692150"/>
    <n v="2401141"/>
    <n v="45922.413793103398"/>
    <n v="36721"/>
    <n v="20153"/>
    <n v="0"/>
    <n v="5603"/>
    <n v="3416"/>
    <n v="54501"/>
    <n v="51033"/>
    <n v="502302"/>
    <n v="338340"/>
    <n v="130575"/>
    <n v="156455"/>
    <n v="29728"/>
    <n v="51224"/>
    <n v="10539"/>
    <n v="16905"/>
    <n v="0"/>
    <n v="2570"/>
    <n v="0"/>
    <n v="5469"/>
    <n v="3063274"/>
    <n v="0.93574099280389622"/>
    <n v="-210360.50309157511"/>
    <n v="0.12568811188618012"/>
    <n v="5.0515111232651191E-2"/>
    <n v="6.845590936524254E-2"/>
    <n v="-0.16933014676925084"/>
  </r>
  <r>
    <n v="53869935"/>
    <n v="2721245.7586206896"/>
    <n v="2.3728765016799019E-2"/>
    <n v="26885675"/>
    <x v="179"/>
    <n v="3577224.5959536387"/>
    <n v="3020309.9038648298"/>
    <n v="556914.69208880898"/>
    <n v="2129034"/>
    <n v="3662040"/>
    <n v="46807.758620689601"/>
    <n v="33444"/>
    <n v="7774"/>
    <n v="20991"/>
    <n v="4942"/>
    <n v="963"/>
    <n v="107553"/>
    <n v="80828"/>
    <n v="253751"/>
    <n v="498148"/>
    <n v="117964"/>
    <n v="146434"/>
    <n v="43414"/>
    <n v="52303"/>
    <n v="10006"/>
    <n v="17845"/>
    <n v="0"/>
    <n v="3624"/>
    <n v="0"/>
    <n v="4004"/>
    <n v="4520624"/>
    <n v="1.2637238391778596"/>
    <n v="943399.40404636133"/>
    <n v="-7.5684340362843106E-2"/>
    <n v="0.15730739520890064"/>
    <n v="0.16814247736015556"/>
    <n v="-0.13524713652890707"/>
  </r>
  <r>
    <n v="31090588"/>
    <n v="4890779.4137931038"/>
    <n v="4.2646701456952443E-2"/>
    <n v="29153329"/>
    <x v="180"/>
    <n v="6427394.1174728405"/>
    <n v="4992392.4947524704"/>
    <n v="1435001.6227203701"/>
    <n v="3606910"/>
    <n v="4003008"/>
    <n v="47272.413793103398"/>
    <n v="33147"/>
    <n v="48765"/>
    <n v="7770"/>
    <n v="11584"/>
    <n v="4521"/>
    <n v="80803"/>
    <n v="83644"/>
    <n v="907574"/>
    <n v="771777"/>
    <n v="118765"/>
    <n v="155445"/>
    <n v="58578"/>
    <n v="49773"/>
    <n v="10528"/>
    <n v="13299"/>
    <n v="0"/>
    <n v="4538"/>
    <n v="0"/>
    <n v="1937"/>
    <n v="5128859"/>
    <n v="0.79796864892059771"/>
    <n v="-1298535.1174728405"/>
    <n v="0.10594807795333638"/>
    <n v="0.13055996352371022"/>
    <n v="0.17592704421508776"/>
    <n v="-0.17924761732385375"/>
  </r>
  <r>
    <n v="35520249"/>
    <n v="4637522.4137931038"/>
    <n v="4.0246683754001533E-2"/>
    <n v="31749859"/>
    <x v="181"/>
    <n v="6098844.9034075299"/>
    <n v="5047249.3107280601"/>
    <n v="1051595.5926794701"/>
    <n v="3637472"/>
    <n v="3854991"/>
    <n v="42322.413793103398"/>
    <n v="33555"/>
    <n v="86850"/>
    <n v="37725"/>
    <n v="9893"/>
    <n v="3591"/>
    <n v="74174"/>
    <n v="72458"/>
    <n v="622788"/>
    <n v="625555"/>
    <n v="102657"/>
    <n v="147936"/>
    <n v="47524"/>
    <n v="54054"/>
    <n v="13842"/>
    <n v="17511"/>
    <n v="0"/>
    <n v="6232"/>
    <n v="0"/>
    <n v="1455"/>
    <n v="4855063"/>
    <n v="0.79606270972514692"/>
    <n v="-1243781.9034075299"/>
    <n v="8.1932947815338109E-2"/>
    <n v="0.12063200494079214"/>
    <n v="0.15291604917048607"/>
    <n v="-0.14648762236229562"/>
  </r>
  <r>
    <n v="37199061"/>
    <n v="4487397.3103448283"/>
    <n v="3.8943824808447103E-2"/>
    <n v="37296594"/>
    <x v="182"/>
    <n v="5892162.2488056887"/>
    <n v="4998453.4809855698"/>
    <n v="893708.76782011904"/>
    <n v="3648365"/>
    <n v="2923874"/>
    <n v="36679.310344827602"/>
    <n v="33721"/>
    <n v="54428"/>
    <n v="11767"/>
    <n v="10227"/>
    <n v="4184"/>
    <n v="69019"/>
    <n v="86120"/>
    <n v="520885"/>
    <n v="529374"/>
    <n v="97656"/>
    <n v="154761"/>
    <n v="41854"/>
    <n v="37080"/>
    <n v="8284"/>
    <n v="17915"/>
    <n v="0"/>
    <n v="9869"/>
    <n v="0"/>
    <n v="6287"/>
    <n v="3814952"/>
    <n v="0.64746214359139065"/>
    <n v="-2077210.2488056887"/>
    <n v="7.8747111827539573E-2"/>
    <n v="8.1252471354213027E-2"/>
    <n v="0.10228687370219383"/>
    <n v="-0.14308781146835181"/>
  </r>
  <r>
    <n v="43524406"/>
    <n v="3536465.5517241377"/>
    <n v="3.0691174719465582E-2"/>
    <n v="41201599"/>
    <x v="183"/>
    <n v="4659102.1493776534"/>
    <n v="3730074.2704468002"/>
    <n v="929027.87893085298"/>
    <n v="2662326"/>
    <n v="2705057"/>
    <n v="35471.551724137898"/>
    <n v="43805"/>
    <n v="41667"/>
    <n v="17931"/>
    <n v="9394"/>
    <n v="1013"/>
    <n v="92502"/>
    <n v="84930"/>
    <n v="552929"/>
    <n v="337385"/>
    <n v="93404"/>
    <n v="118065"/>
    <n v="39271"/>
    <n v="42831"/>
    <n v="9501"/>
    <n v="10140"/>
    <n v="0"/>
    <n v="10620"/>
    <n v="0"/>
    <n v="1894"/>
    <n v="3373671"/>
    <n v="0.72410324818713045"/>
    <n v="-1285431.1493776534"/>
    <n v="0.1781090718018925"/>
    <n v="6.7915954355162123E-2"/>
    <n v="8.1882040548960242E-2"/>
    <n v="-2.2833317178295953E-2"/>
  </r>
  <r>
    <n v="42164351"/>
    <n v="2863632.1379310344"/>
    <n v="2.4851997847022678E-2"/>
    <n v="51574094"/>
    <x v="184"/>
    <n v="3778369.2535806466"/>
    <n v="3022320.2831639699"/>
    <n v="756048.97041667695"/>
    <n v="2146336"/>
    <n v="2175054"/>
    <n v="32924.1379310345"/>
    <n v="41461"/>
    <n v="12896"/>
    <n v="4234"/>
    <n v="-1764"/>
    <n v="345"/>
    <n v="107559"/>
    <n v="73695"/>
    <n v="416715"/>
    <n v="476598"/>
    <n v="115888"/>
    <n v="108307"/>
    <n v="27713"/>
    <n v="37222"/>
    <n v="5365"/>
    <n v="7925"/>
    <n v="0"/>
    <n v="56771"/>
    <n v="0"/>
    <n v="2583"/>
    <n v="2984195"/>
    <n v="0.7898103122589113"/>
    <n v="-794174.25358064659"/>
    <n v="0.28018131718937322"/>
    <n v="4.4727414758700464E-2"/>
    <n v="5.786228644171626E-2"/>
    <n v="-1.042277688171156E-2"/>
  </r>
  <r>
    <n v="52117301"/>
    <n v="2331072.1379310344"/>
    <n v="2.0230182147268461E-2"/>
    <n v="39756355"/>
    <x v="185"/>
    <n v="3089334.7146261511"/>
    <n v="2375895.6201392901"/>
    <n v="713439.09448686102"/>
    <n v="1678670"/>
    <n v="2221020"/>
    <n v="35299.1379310345"/>
    <n v="34456"/>
    <n v="11072"/>
    <n v="-5691"/>
    <n v="8150"/>
    <n v="2342"/>
    <n v="64081"/>
    <n v="40115"/>
    <n v="404189"/>
    <n v="421919"/>
    <n v="108332"/>
    <n v="88467"/>
    <n v="16902"/>
    <n v="39269"/>
    <n v="4377"/>
    <n v="5114"/>
    <n v="0"/>
    <n v="13798"/>
    <n v="0"/>
    <n v="3488"/>
    <n v="2864297"/>
    <n v="0.92715657725246403"/>
    <n v="-225037.71462615114"/>
    <n v="4.5669739513661156E-2"/>
    <n v="5.1724214114067121E-2"/>
    <n v="7.2046267823093937E-2"/>
    <n v="-0.24928178608762908"/>
  </r>
  <r>
    <n v="52957760"/>
    <n v="2739198.5172413792"/>
    <n v="2.3772102132585415E-2"/>
    <n v="28541400"/>
    <x v="186"/>
    <n v="3617125.0987107223"/>
    <n v="3117787.2320695701"/>
    <n v="499337.86664115201"/>
    <n v="2223373"/>
    <n v="3592240"/>
    <n v="39215.517241379297"/>
    <n v="37084"/>
    <n v="24461"/>
    <n v="13165"/>
    <n v="3632"/>
    <n v="3678"/>
    <n v="74909"/>
    <n v="43263"/>
    <n v="230319"/>
    <n v="516899"/>
    <n v="105857"/>
    <n v="122255"/>
    <n v="29115"/>
    <n v="22297"/>
    <n v="8317"/>
    <n v="3480"/>
    <n v="0"/>
    <n v="17060"/>
    <n v="0"/>
    <n v="3660"/>
    <n v="4375081"/>
    <n v="1.2095464991131883"/>
    <n v="757955.90128927771"/>
    <n v="-7.1951478491254495E-2"/>
    <n v="0.14815759976954479"/>
    <n v="0.15328894167770327"/>
    <n v="-0.1030178699680443"/>
  </r>
  <r>
    <n v="31819363"/>
    <n v="4714280.4482758623"/>
    <n v="4.0912827453969028E-2"/>
    <n v="33738698"/>
    <x v="187"/>
    <n v="6201328.78786078"/>
    <n v="4757774.7285575103"/>
    <n v="1443554.05930327"/>
    <n v="3448338"/>
    <n v="3881350"/>
    <n v="35553.448275862102"/>
    <n v="42546"/>
    <n v="63151"/>
    <n v="27712"/>
    <n v="5117"/>
    <n v="2534"/>
    <n v="82044"/>
    <n v="61051"/>
    <n v="867493"/>
    <n v="691715"/>
    <n v="163273"/>
    <n v="150430"/>
    <n v="43008"/>
    <n v="17456"/>
    <n v="6303"/>
    <n v="2549"/>
    <n v="0"/>
    <n v="8033"/>
    <n v="0"/>
    <n v="6201"/>
    <n v="4891577"/>
    <n v="0.78879497722735747"/>
    <n v="-1309751.78786078"/>
    <n v="8.0214450263693893E-2"/>
    <n v="0.12444077750824965"/>
    <n v="0.14498416625324428"/>
    <n v="-7.2845473127983174E-2"/>
  </r>
  <r>
    <n v="36389509"/>
    <n v="4528338.7931034481"/>
    <n v="3.9299134985300424E-2"/>
    <n v="35555231"/>
    <x v="188"/>
    <n v="5954114.5623109192"/>
    <n v="4827468.8657110296"/>
    <n v="1126645.69659989"/>
    <n v="3506249"/>
    <n v="3404528"/>
    <n v="38138.793103448297"/>
    <n v="36707"/>
    <n v="75946"/>
    <n v="48817"/>
    <n v="5502"/>
    <n v="4184"/>
    <n v="59539"/>
    <n v="89941"/>
    <n v="634734"/>
    <n v="628785"/>
    <n v="168311"/>
    <n v="147851"/>
    <n v="34428"/>
    <n v="25750"/>
    <n v="5491"/>
    <n v="5197"/>
    <n v="0"/>
    <n v="8617"/>
    <n v="0"/>
    <n v="1205"/>
    <n v="4401582"/>
    <n v="0.73925047191091531"/>
    <n v="-1552532.5623109192"/>
    <n v="3.8776893441169191E-2"/>
    <n v="0.11059995096160855"/>
    <n v="0.12379562377192824"/>
    <n v="-7.1948830062784408E-2"/>
  </r>
  <r>
    <n v="38311714"/>
    <n v="4237273.6896551717"/>
    <n v="3.6773129906496477E-2"/>
    <n v="39454207"/>
    <x v="189"/>
    <n v="5523727.9248078503"/>
    <n v="4516542.5124049"/>
    <n v="1007185.41240295"/>
    <n v="3310758"/>
    <n v="3166533"/>
    <n v="33820.689655172398"/>
    <n v="41275"/>
    <n v="39814"/>
    <n v="14603"/>
    <n v="5684"/>
    <n v="4141"/>
    <n v="93614"/>
    <n v="38529"/>
    <n v="580420"/>
    <n v="318377"/>
    <n v="132668"/>
    <n v="87484"/>
    <n v="37975"/>
    <n v="14199"/>
    <n v="2520"/>
    <n v="6363"/>
    <n v="0"/>
    <n v="6495"/>
    <n v="0"/>
    <n v="1248"/>
    <n v="3699247"/>
    <n v="0.66970116022299975"/>
    <n v="-1824480.9248078503"/>
    <n v="5.0264063012771754E-2"/>
    <n v="8.8934982877154095E-2"/>
    <n v="9.3760520899583658E-2"/>
    <n v="-3.7894887490336204E-3"/>
  </r>
  <r>
    <n v="39604287"/>
    <n v="3522206.5862068967"/>
    <n v="3.0567428454838425E-2"/>
    <n v="35709440"/>
    <x v="190"/>
    <n v="4596175.445665908"/>
    <n v="3605036.3985091401"/>
    <n v="991139.04715676804"/>
    <n v="2584721"/>
    <n v="2597860"/>
    <n v="34077.5862068965"/>
    <n v="41411"/>
    <n v="28434"/>
    <n v="28875"/>
    <n v="4376"/>
    <n v="5451"/>
    <n v="129021"/>
    <n v="161497"/>
    <n v="532963"/>
    <n v="363067"/>
    <n v="167845"/>
    <n v="95870"/>
    <n v="35189"/>
    <n v="14517"/>
    <n v="5580"/>
    <n v="6109"/>
    <n v="0"/>
    <n v="5021"/>
    <n v="0"/>
    <n v="2326"/>
    <n v="3322004"/>
    <n v="0.72277571630399284"/>
    <n v="-1274171.445665908"/>
    <n v="0.18727107628227802"/>
    <n v="7.0731738749229098E-2"/>
    <n v="9.3028734138647928E-2"/>
    <n v="-9.7292375633579953E-2"/>
  </r>
  <r>
    <n v="39558146"/>
    <n v="2798016.4482758623"/>
    <n v="2.4282552855663067E-2"/>
    <n v="47590736"/>
    <x v="191"/>
    <n v="3655864.8694691798"/>
    <n v="2711818.4159696698"/>
    <n v="944046.45349950995"/>
    <n v="1939583"/>
    <n v="1964012"/>
    <n v="35028.448275862102"/>
    <n v="40374"/>
    <n v="26271"/>
    <n v="270"/>
    <n v="5444"/>
    <n v="-18"/>
    <n v="85348"/>
    <n v="105814"/>
    <n v="527863"/>
    <n v="233528"/>
    <n v="153400"/>
    <n v="72542"/>
    <n v="20782"/>
    <n v="18682"/>
    <n v="4297"/>
    <n v="9069"/>
    <n v="0"/>
    <n v="7197"/>
    <n v="0"/>
    <n v="0"/>
    <n v="2451470"/>
    <n v="0.67055815450748479"/>
    <n v="-1204394.8694691798"/>
    <n v="-6.0509661459535624E-2"/>
    <n v="5.1281934302046236E-2"/>
    <n v="5.151149585078911E-2"/>
    <n v="-6.4696510503272187E-2"/>
  </r>
  <r>
    <n v="50882667"/>
    <n v="2609361.5862068962"/>
    <n v="2.2645313852836503E-2"/>
    <n v="39283967"/>
    <x v="192"/>
    <n v="3408776.2226847699"/>
    <n v="2548198.6682652398"/>
    <n v="860577.55441952997"/>
    <n v="1839299"/>
    <n v="20069"/>
    <n v="37977.5862068965"/>
    <n v="1278"/>
    <n v="10430"/>
    <n v="0"/>
    <n v="6547"/>
    <n v="0"/>
    <n v="71218"/>
    <n v="33609"/>
    <n v="483286"/>
    <n v="38750"/>
    <n v="135225"/>
    <n v="6662"/>
    <n v="12782"/>
    <n v="1861"/>
    <n v="12597"/>
    <n v="794"/>
    <n v="0"/>
    <n v="1636"/>
    <n v="0"/>
    <n v="861"/>
    <n v="105520"/>
    <n v="3.0955390763929905E-2"/>
    <n v="-3303256.2226847699"/>
    <n v="-0.95999971817531693"/>
    <n v="4.9432865625291804E-2"/>
    <n v="2.6860831035725083E-3"/>
    <n v="-0.26386173466357021"/>
  </r>
  <r>
    <n v="53364930"/>
    <n v="2637981.4137931033"/>
    <n v="2.289369069011717E-2"/>
    <n v="21016462"/>
    <x v="193"/>
    <n v="3445638.9128600401"/>
    <n v="2593151.3675055699"/>
    <n v="852487.54535447003"/>
    <n v="1908062"/>
    <n v="-4439"/>
    <n v="38972.413793103398"/>
    <n v="0"/>
    <n v="978"/>
    <n v="0"/>
    <n v="654"/>
    <n v="0"/>
    <n v="51478"/>
    <n v="-9316"/>
    <n v="452704"/>
    <n v="0"/>
    <n v="140269"/>
    <n v="154243"/>
    <n v="31653"/>
    <n v="0"/>
    <n v="13211"/>
    <n v="21040"/>
    <n v="0"/>
    <n v="0"/>
    <n v="0"/>
    <n v="0"/>
    <n v="161528"/>
    <n v="4.6878969063512306E-2"/>
    <n v="-3284110.9128600401"/>
    <n v="-0.9581349587017346"/>
    <n v="0.1241515058294153"/>
    <n v="7.6857846006620906E-3"/>
    <n v="-0.32373749866180779"/>
  </r>
  <r>
    <n v="31077373"/>
    <n v="3858302.6551724137"/>
    <n v="3.3484234238544491E-2"/>
    <n v="21232389"/>
    <x v="194"/>
    <n v="5036455.9523825301"/>
    <n v="3893865.4667282598"/>
    <n v="1142590.48565427"/>
    <n v="2840112"/>
    <n v="0"/>
    <n v="38589.655172413797"/>
    <n v="0"/>
    <n v="41758"/>
    <n v="0"/>
    <n v="3383"/>
    <n v="0"/>
    <n v="79566"/>
    <n v="284"/>
    <n v="679280"/>
    <n v="0"/>
    <n v="124738"/>
    <n v="70218"/>
    <n v="35820"/>
    <n v="0"/>
    <n v="15056"/>
    <n v="7454"/>
    <n v="0"/>
    <n v="0"/>
    <n v="0"/>
    <n v="0"/>
    <n v="77956"/>
    <n v="1.5478344442409425E-2"/>
    <n v="-4958499.9523825301"/>
    <n v="-0.98111132807560353"/>
    <n v="0.12572486800585456"/>
    <n v="3.6715604635917326E-3"/>
    <n v="-0.35319714654038403"/>
  </r>
  <r>
    <n v="32826678"/>
    <n v="4127129.7586206896"/>
    <n v="3.5817247095756254E-2"/>
    <n v="19955592"/>
    <x v="195"/>
    <n v="5388037.1156272702"/>
    <n v="4143600.4593508798"/>
    <n v="1244436.65627639"/>
    <n v="3030753"/>
    <n v="0"/>
    <n v="41557.758620689601"/>
    <n v="0"/>
    <n v="41277"/>
    <n v="0"/>
    <n v="10445"/>
    <n v="0"/>
    <n v="72001"/>
    <n v="-2878"/>
    <n v="731523"/>
    <n v="821406"/>
    <n v="137392"/>
    <n v="136915"/>
    <n v="41913"/>
    <n v="83688"/>
    <n v="20268"/>
    <n v="11645"/>
    <n v="0"/>
    <n v="11673"/>
    <n v="0"/>
    <n v="8697"/>
    <n v="1071146"/>
    <n v="0.19880078347888258"/>
    <n v="-4316891.1156272702"/>
    <n v="-0.74322958392164917"/>
    <n v="0.13400352913466343"/>
    <n v="5.3676483263438136E-2"/>
    <n v="-0.35897175373797041"/>
  </r>
  <r>
    <n v="31130597"/>
    <n v="4171609.8620689656"/>
    <n v="3.6203267150668253E-2"/>
    <n v="28580201"/>
    <x v="196"/>
    <n v="5447721.4874883704"/>
    <n v="4135978.5753871999"/>
    <n v="1311742.91210117"/>
    <n v="3000776"/>
    <n v="-239835"/>
    <n v="43500.8620689655"/>
    <n v="0"/>
    <n v="50474"/>
    <n v="0"/>
    <n v="7851"/>
    <n v="0"/>
    <n v="87553"/>
    <n v="8753"/>
    <n v="786889"/>
    <n v="87233"/>
    <n v="104771"/>
    <n v="97345"/>
    <n v="62833"/>
    <n v="0"/>
    <n v="26962"/>
    <n v="10653"/>
    <n v="0"/>
    <n v="0"/>
    <n v="0"/>
    <n v="0"/>
    <n v="-35851"/>
    <n v="-6.5809164588053904E-3"/>
    <n v="-5483572.4874883704"/>
    <n v="-1.0096190867408144"/>
    <n v="9.5506447193651256E-2"/>
    <n v="-1.2543998553404155E-3"/>
    <n v="-0.26763001769206884"/>
  </r>
  <r>
    <n v="39024266"/>
    <n v="3727069"/>
    <n v="3.234532450478305E-2"/>
    <n v="38646290"/>
    <x v="197"/>
    <n v="4864915.8388651898"/>
    <n v="3768983.5749953599"/>
    <n v="1095932.2638698299"/>
    <n v="2683648"/>
    <n v="4729379"/>
    <n v="39650"/>
    <n v="83907"/>
    <n v="18997"/>
    <n v="0"/>
    <n v="6904"/>
    <n v="4938"/>
    <n v="157886"/>
    <n v="-929"/>
    <n v="648054"/>
    <n v="148708"/>
    <n v="111421"/>
    <n v="89719"/>
    <n v="44791"/>
    <n v="5039"/>
    <n v="15718"/>
    <n v="9778"/>
    <n v="0"/>
    <n v="1649"/>
    <n v="0"/>
    <n v="0"/>
    <n v="5072188"/>
    <n v="1.042605497813331"/>
    <n v="207272.16113481019"/>
    <n v="0.61036070970606193"/>
    <n v="7.459774890927065E-2"/>
    <n v="0.13124644047332876"/>
    <n v="-8.4704442705097471E-2"/>
  </r>
  <r>
    <n v="42222744"/>
    <n v="3149721.6551724137"/>
    <n v="2.7334822359418115E-2"/>
    <n v="44716609"/>
    <x v="198"/>
    <n v="4112858.3879952449"/>
    <n v="3134969.68775257"/>
    <n v="977888.70024267503"/>
    <n v="2251369"/>
    <n v="4211778"/>
    <n v="44689.655172413797"/>
    <n v="61308"/>
    <n v="10825"/>
    <n v="0"/>
    <n v="8554"/>
    <n v="7997"/>
    <n v="102621"/>
    <n v="-3153"/>
    <n v="610477"/>
    <n v="7881"/>
    <n v="69555"/>
    <n v="89442"/>
    <n v="31664"/>
    <n v="12372"/>
    <n v="19967"/>
    <n v="5327"/>
    <n v="0"/>
    <n v="7154"/>
    <n v="0"/>
    <n v="0"/>
    <n v="4400106"/>
    <n v="1.0698413572524605"/>
    <n v="287247.61200475506"/>
    <n v="0.56381820203279709"/>
    <n v="5.8381523259163591E-2"/>
    <n v="9.839981381414678E-2"/>
    <n v="-7.2172139395294654E-2"/>
  </r>
  <r>
    <n v="48194941"/>
    <n v="2813694.068965517"/>
    <n v="2.4418610902527716E-2"/>
    <n v="40711839"/>
    <x v="199"/>
    <n v="3672367.3183367951"/>
    <n v="2855920.6096663498"/>
    <n v="816446.70867044502"/>
    <n v="1984365"/>
    <n v="3287464"/>
    <n v="43837.068965517203"/>
    <n v="42596"/>
    <n v="7363"/>
    <n v="0"/>
    <n v="4630"/>
    <n v="7508"/>
    <n v="162628"/>
    <n v="-7157"/>
    <n v="508767"/>
    <n v="91612"/>
    <n v="55690"/>
    <n v="75633"/>
    <n v="34679"/>
    <n v="32156"/>
    <n v="11735"/>
    <n v="2714"/>
    <n v="0"/>
    <n v="8746"/>
    <n v="0"/>
    <n v="0"/>
    <n v="3541272"/>
    <n v="0.96430223151093508"/>
    <n v="-131095.31833679508"/>
    <n v="0.23096690693903033"/>
    <n v="5.8213661084564189E-2"/>
    <n v="8.6983837797157723E-2"/>
    <n v="-0.17617925189770711"/>
  </r>
  <r>
    <n v="49418322"/>
    <n v="2876821.4482758623"/>
    <n v="2.4966461121809849E-2"/>
    <n v="29142685"/>
    <x v="200"/>
    <n v="3743850.333635712"/>
    <n v="3273177.00101378"/>
    <n v="470673.33262193197"/>
    <n v="2341728"/>
    <n v="4166837"/>
    <n v="48778.448275862102"/>
    <n v="43873"/>
    <n v="7001"/>
    <n v="0"/>
    <n v="5776"/>
    <n v="13564"/>
    <n v="121377"/>
    <n v="4700"/>
    <n v="238970"/>
    <n v="382320"/>
    <n v="55955"/>
    <n v="67710"/>
    <n v="41650"/>
    <n v="22398"/>
    <n v="15586"/>
    <n v="5837"/>
    <n v="0"/>
    <n v="4939"/>
    <n v="0"/>
    <n v="0"/>
    <n v="4712178"/>
    <n v="1.258644865598548"/>
    <n v="968327.66636428796"/>
    <n v="-6.3164017270344819E-2"/>
    <n v="0.14908975063249572"/>
    <n v="0.16169333745329231"/>
    <n v="-0.13618801338020492"/>
  </r>
  <r>
    <n v="33737301"/>
    <n v="5029885.7931034481"/>
    <n v="4.3651804729112634E-2"/>
    <n v="34240943"/>
    <x v="201"/>
    <n v="6570500.00690269"/>
    <n v="4923708.0261605801"/>
    <n v="1646791.9807421099"/>
    <n v="3558327"/>
    <n v="4405412"/>
    <n v="45088.793103448297"/>
    <n v="48043"/>
    <n v="41407"/>
    <n v="-5352"/>
    <n v="3984"/>
    <n v="29247"/>
    <n v="148938"/>
    <n v="3125"/>
    <n v="1077744"/>
    <n v="384714"/>
    <n v="70738"/>
    <n v="72953"/>
    <n v="68483"/>
    <n v="26680"/>
    <n v="15176"/>
    <n v="6091"/>
    <n v="0"/>
    <n v="5410"/>
    <n v="0"/>
    <n v="861"/>
    <n v="4977184"/>
    <n v="0.75750460311561985"/>
    <n v="-1593316.00690269"/>
    <n v="0.120162846268977"/>
    <n v="0.12625097893666129"/>
    <n v="0.14535767896345611"/>
    <n v="-2.7078191407490126E-2"/>
  </r>
  <r>
    <n v="35193931"/>
    <n v="4443268.2413793104"/>
    <n v="3.8560851202167311E-2"/>
    <n v="33913656"/>
    <x v="202"/>
    <n v="5797917.8047500104"/>
    <n v="4553053.459245"/>
    <n v="1244864.3455050101"/>
    <n v="3287363"/>
    <n v="2355041"/>
    <n v="43017.241379310297"/>
    <n v="44422"/>
    <n v="45721"/>
    <n v="-4595"/>
    <n v="7885"/>
    <n v="8901"/>
    <n v="127866"/>
    <n v="87466"/>
    <n v="797541"/>
    <n v="-140136"/>
    <n v="74451"/>
    <n v="59192"/>
    <n v="41790"/>
    <n v="24678"/>
    <n v="17634"/>
    <n v="2622"/>
    <n v="0"/>
    <n v="4318"/>
    <n v="0"/>
    <n v="-44"/>
    <n v="2441865"/>
    <n v="0.42116240385461728"/>
    <n v="-3356052.8047500104"/>
    <n v="-0.43325897777518141"/>
    <n v="0.11379613401342702"/>
    <n v="7.2002411064144775E-2"/>
    <n v="-0.10429475398334576"/>
  </r>
  <r>
    <n v="37862518"/>
    <n v="4308608.1724137925"/>
    <n v="3.7392205376579925E-2"/>
    <n v="40007982"/>
    <x v="203"/>
    <n v="5617917.5547398403"/>
    <n v="4553804.0329502802"/>
    <n v="1064113.5217895601"/>
    <n v="3324693"/>
    <n v="3083278"/>
    <n v="47655.172413793101"/>
    <n v="42541"/>
    <n v="29991"/>
    <n v="32416"/>
    <n v="3101"/>
    <n v="5616"/>
    <n v="106991"/>
    <n v="120117"/>
    <n v="677329"/>
    <n v="231502"/>
    <n v="77441"/>
    <n v="72242"/>
    <n v="28165"/>
    <n v="8011"/>
    <n v="13242"/>
    <n v="4728"/>
    <n v="0"/>
    <n v="2732"/>
    <n v="0"/>
    <n v="2454"/>
    <n v="3605637"/>
    <n v="0.64181023748878652"/>
    <n v="-2012280.5547398403"/>
    <n v="-1.5145060753905537E-2"/>
    <n v="8.9659448512505069E-2"/>
    <n v="9.0122940967130014E-2"/>
    <n v="-2.0210062276738161E-2"/>
  </r>
  <r>
    <n v="40833224"/>
    <n v="3661084.3448275863"/>
    <n v="3.1772677450519253E-2"/>
    <n v="38494412"/>
    <x v="204"/>
    <n v="4777092.2588771898"/>
    <n v="3757108.2463078802"/>
    <n v="1019984.01256931"/>
    <n v="2646867"/>
    <n v="2278603"/>
    <n v="44960.344827586203"/>
    <n v="42639"/>
    <n v="35095"/>
    <n v="39758"/>
    <n v="7885"/>
    <n v="9405"/>
    <n v="163118"/>
    <n v="125561"/>
    <n v="660447"/>
    <n v="-79945"/>
    <n v="62295"/>
    <n v="65983"/>
    <n v="26946"/>
    <n v="21720"/>
    <n v="13471"/>
    <n v="1719"/>
    <n v="0"/>
    <n v="4659"/>
    <n v="0"/>
    <n v="689"/>
    <n v="2510791"/>
    <n v="0.52558980734237226"/>
    <n v="-2266301.2588771898"/>
    <n v="-0.18720969747281757"/>
    <n v="7.4697056623310581E-2"/>
    <n v="6.522481756572876E-2"/>
    <n v="-6.9172662850784494E-2"/>
  </r>
  <r>
    <n v="41355051"/>
    <n v="3089100.5862068967"/>
    <n v="2.680872312500188E-2"/>
    <n v="43265279"/>
    <x v="205"/>
    <n v="4031932.8562442842"/>
    <n v="3131852.8554466101"/>
    <n v="900080.00079767394"/>
    <n v="2242610"/>
    <n v="2296703"/>
    <n v="44752.5862068965"/>
    <n v="40406"/>
    <n v="-1659"/>
    <n v="-1119"/>
    <n v="4160"/>
    <n v="2696"/>
    <n v="125791"/>
    <n v="111534"/>
    <n v="585838"/>
    <n v="213421"/>
    <n v="65896"/>
    <n v="59424"/>
    <n v="16520"/>
    <n v="16459"/>
    <n v="5192"/>
    <n v="2879"/>
    <n v="0"/>
    <n v="4612"/>
    <n v="0"/>
    <n v="689"/>
    <n v="2747704"/>
    <n v="0.68148555493542273"/>
    <n v="-1284228.8562442842"/>
    <n v="7.5895531889929035E-2"/>
    <n v="5.4414454656181284E-2"/>
    <n v="6.3508292642698555E-2"/>
    <n v="-7.816339884641299E-2"/>
  </r>
  <r>
    <n v="46933783"/>
    <n v="2553876.2068965519"/>
    <n v="2.2163784640722627E-2"/>
    <n v="43046323"/>
    <x v="206"/>
    <n v="3331988.1964123314"/>
    <n v="2633349.8222933002"/>
    <n v="698638.37411903101"/>
    <n v="1814470"/>
    <n v="3026716"/>
    <n v="48636.206896551703"/>
    <n v="41577"/>
    <n v="22502"/>
    <n v="-2437"/>
    <n v="8441"/>
    <n v="-2118"/>
    <n v="137101"/>
    <n v="77488"/>
    <n v="418048"/>
    <n v="286083"/>
    <n v="74083"/>
    <n v="100894"/>
    <n v="22565"/>
    <n v="1340"/>
    <n v="8030"/>
    <n v="3747"/>
    <n v="0"/>
    <n v="7694"/>
    <n v="0"/>
    <n v="0"/>
    <n v="3540984"/>
    <n v="1.0627240528080806"/>
    <n v="208995.80358766858"/>
    <n v="9.4586719829227839E-2"/>
    <n v="6.8710806872346514E-2"/>
    <n v="8.225984830341955E-2"/>
    <n v="-8.5702949100930237E-2"/>
  </r>
  <r>
    <n v="47081332"/>
    <n v="3234996.3103448278"/>
    <n v="2.8074877451927861E-2"/>
    <n v="29411304"/>
    <x v="207"/>
    <n v="4217898.0455742115"/>
    <n v="3424148.2696549399"/>
    <n v="793749.77591927198"/>
    <n v="2492742"/>
    <n v="4417927"/>
    <n v="46004.310344827602"/>
    <n v="45240"/>
    <n v="188"/>
    <n v="73371"/>
    <n v="5260"/>
    <n v="3507"/>
    <n v="96913"/>
    <n v="87576"/>
    <n v="456920"/>
    <n v="340627"/>
    <n v="102581"/>
    <n v="129532"/>
    <n v="25564"/>
    <n v="9756"/>
    <n v="8824"/>
    <n v="10295"/>
    <n v="0"/>
    <n v="6328"/>
    <n v="0"/>
    <n v="3358"/>
    <n v="5127517"/>
    <n v="1.2156569325757507"/>
    <n v="909618.95442578848"/>
    <n v="9.9398434623293674E-2"/>
    <n v="0.14756652797888589"/>
    <n v="0.1743383088352696"/>
    <n v="-6.9427649340827458E-2"/>
  </r>
  <r>
    <n v="31605607"/>
    <n v="4663929.6896551717"/>
    <n v="4.0475858987152814E-2"/>
    <n v="31625771"/>
    <x v="208"/>
    <n v="6086120.65077102"/>
    <n v="4770528.5356123"/>
    <n v="1315592.1151587199"/>
    <n v="3484387"/>
    <n v="3634734"/>
    <n v="44995.689655172398"/>
    <n v="42976"/>
    <n v="50334"/>
    <n v="19778"/>
    <n v="7472"/>
    <n v="1549"/>
    <n v="92406"/>
    <n v="119572"/>
    <n v="769591"/>
    <n v="359776"/>
    <n v="185943"/>
    <n v="124232"/>
    <n v="24718"/>
    <n v="3776"/>
    <n v="4083"/>
    <n v="12332"/>
    <n v="0"/>
    <n v="4861"/>
    <n v="0"/>
    <n v="1636"/>
    <n v="4325222"/>
    <n v="0.71066977606696957"/>
    <n v="-1760898.65077102"/>
    <n v="-0.11936896513482476"/>
    <n v="0.14039380085167399"/>
    <n v="0.13676257884748486"/>
    <n v="-9.5987080862663166E-2"/>
  </r>
  <r>
    <n v="34983760"/>
    <n v="4911503.0344827585"/>
    <n v="4.2624421350012973E-2"/>
    <n v="34751018"/>
    <x v="209"/>
    <n v="6405135.2441936303"/>
    <n v="5154950.1773788603"/>
    <n v="1250185.06681477"/>
    <n v="3757033"/>
    <n v="3823589"/>
    <n v="48606.034482758601"/>
    <n v="45162"/>
    <n v="41706"/>
    <n v="9832"/>
    <n v="2828"/>
    <n v="6476"/>
    <n v="125933"/>
    <n v="73400"/>
    <n v="723558"/>
    <n v="422769"/>
    <n v="178272"/>
    <n v="119136"/>
    <n v="20718"/>
    <n v="13325"/>
    <n v="12849"/>
    <n v="8955"/>
    <n v="0"/>
    <n v="9537"/>
    <n v="0"/>
    <n v="689"/>
    <n v="4532870"/>
    <n v="0.70769309736420127"/>
    <n v="-1872265.2441936303"/>
    <n v="-5.4965750204157837E-3"/>
    <n v="0.11902965545548119"/>
    <n v="0.13043848096766547"/>
    <n v="-9.248099834925172E-2"/>
  </r>
  <r>
    <n v="38292331"/>
    <n v="4557922.9655172415"/>
    <n v="3.955588087783142E-2"/>
    <n v="39086770"/>
    <x v="210"/>
    <n v="5945371.52413911"/>
    <n v="4740358.4590393398"/>
    <n v="1205013.06509977"/>
    <n v="3422418"/>
    <n v="3050571"/>
    <n v="44943.965517241399"/>
    <n v="48847"/>
    <n v="35371"/>
    <n v="5466"/>
    <n v="6861"/>
    <n v="0"/>
    <n v="146730"/>
    <n v="119208"/>
    <n v="716501"/>
    <n v="525363"/>
    <n v="157888"/>
    <n v="148304"/>
    <n v="21031"/>
    <n v="15409"/>
    <n v="6179"/>
    <n v="8317"/>
    <n v="0"/>
    <n v="9625"/>
    <n v="0"/>
    <n v="3832"/>
    <n v="3934942"/>
    <n v="0.66184963950924491"/>
    <n v="-2010429.52413911"/>
    <n v="-0.10694752010074637"/>
    <n v="0.10427042440616778"/>
    <n v="0.10067196649915049"/>
    <n v="-7.5025905082905409E-2"/>
  </r>
  <r>
    <n v="42257151"/>
    <n v="4406171.068965517"/>
    <n v="3.8238903827451674E-2"/>
    <n v="38926840"/>
    <x v="211"/>
    <n v="5749450.9926290801"/>
    <n v="4516968.2502925303"/>
    <n v="1232482.74233655"/>
    <n v="3229434"/>
    <n v="2903566"/>
    <n v="53487.068965517203"/>
    <n v="49697"/>
    <n v="38487"/>
    <n v="28578"/>
    <n v="4745"/>
    <n v="11071"/>
    <n v="157866"/>
    <n v="72428"/>
    <n v="760045"/>
    <n v="381868"/>
    <n v="130193"/>
    <n v="115054"/>
    <n v="26548"/>
    <n v="16287"/>
    <n v="5366"/>
    <n v="8524"/>
    <n v="0"/>
    <n v="12321"/>
    <n v="0"/>
    <n v="3617"/>
    <n v="3603011"/>
    <n v="0.62667044290300722"/>
    <n v="-2146439.9926290801"/>
    <n v="-3.1272573450989993E-2"/>
    <n v="8.8205863895906289E-2"/>
    <n v="9.2558527740756763E-2"/>
    <n v="-7.682801764371594E-2"/>
  </r>
  <r>
    <n v="42166401"/>
    <n v="3719323.8275862071"/>
    <n v="2.5617418980320671E-2"/>
    <n v="47869700"/>
    <x v="212"/>
    <n v="4918875.4135660902"/>
    <n v="3866025.8284156998"/>
    <n v="1052849.5851503899"/>
    <n v="2745483"/>
    <n v="2446126"/>
    <n v="43694.827586206899"/>
    <n v="48403"/>
    <n v="12201"/>
    <n v="6004"/>
    <n v="2825"/>
    <n v="1786"/>
    <n v="168709"/>
    <n v="85521"/>
    <n v="619607"/>
    <n v="329279"/>
    <n v="90655"/>
    <n v="108433"/>
    <n v="24972"/>
    <n v="26082"/>
    <n v="11177"/>
    <n v="12102"/>
    <n v="0"/>
    <n v="5795"/>
    <n v="0"/>
    <n v="2041"/>
    <n v="3071572"/>
    <n v="0.62444598444772748"/>
    <n v="-1847303.4135660902"/>
    <n v="2.0871625016340989E-3"/>
    <n v="5.7847091245027286E-2"/>
    <n v="6.4165265293076826E-2"/>
    <n v="-9.6585555129669154E-2"/>
  </r>
  <r>
    <n v="52987530"/>
    <n v="3065174.4827586208"/>
    <n v="2.1111864041043975E-2"/>
    <n v="49204889"/>
    <x v="213"/>
    <n v="4071434.6100753602"/>
    <n v="2977267.21201998"/>
    <n v="1094167.39805538"/>
    <n v="2144459"/>
    <n v="2980176"/>
    <n v="42634.482758620703"/>
    <n v="54927"/>
    <n v="10464"/>
    <n v="0"/>
    <n v="4246"/>
    <n v="2470"/>
    <n v="87668"/>
    <n v="72324"/>
    <n v="684341"/>
    <n v="378023"/>
    <n v="63880"/>
    <n v="109603"/>
    <n v="21198"/>
    <n v="27620"/>
    <n v="6284"/>
    <n v="16588"/>
    <n v="0"/>
    <n v="6225"/>
    <n v="0"/>
    <n v="861"/>
    <n v="3648817"/>
    <n v="0.89619933744495583"/>
    <n v="-422617.61007536016"/>
    <n v="1.7751738183356069E-2"/>
    <n v="6.6016287665956533E-2"/>
    <n v="7.415557832068273E-2"/>
    <n v="-9.3956340952704109E-2"/>
  </r>
  <r>
    <n v="54307415"/>
    <n v="3585173.9310344825"/>
    <n v="2.4693440788197914E-2"/>
    <n v="31269737"/>
    <x v="214"/>
    <n v="4751209.9008082803"/>
    <n v="3611456.3673758898"/>
    <n v="1139753.5334323901"/>
    <n v="2587395"/>
    <n v="4221939"/>
    <n v="45812.931034482703"/>
    <n v="46928"/>
    <n v="9328"/>
    <n v="52670"/>
    <n v="2300"/>
    <n v="2247"/>
    <n v="132317"/>
    <n v="65922"/>
    <n v="692254"/>
    <n v="437544"/>
    <n v="69290"/>
    <n v="118991"/>
    <n v="36198"/>
    <n v="35120"/>
    <n v="10279"/>
    <n v="9760"/>
    <n v="0"/>
    <n v="11524"/>
    <n v="0"/>
    <n v="1378"/>
    <n v="5004023"/>
    <n v="1.0532102568545143"/>
    <n v="252813.09919171967"/>
    <n v="2.9506670880419694E-2"/>
    <n v="0.14289962755166058"/>
    <n v="0.16002766508717359"/>
    <n v="-8.0683207177822514E-2"/>
  </r>
  <r>
    <n v="34014104"/>
    <n v="4860602.7931034481"/>
    <n v="3.3478154637763088E-2"/>
    <n v="34390488"/>
    <x v="215"/>
    <n v="6413866.4549796497"/>
    <n v="5222018.5112575199"/>
    <n v="1191847.94372213"/>
    <n v="3838217"/>
    <n v="4338817"/>
    <n v="45938.793103448297"/>
    <n v="52837"/>
    <n v="56057"/>
    <n v="38712"/>
    <n v="1839"/>
    <n v="7853"/>
    <n v="73598"/>
    <n v="80292"/>
    <n v="691486"/>
    <n v="401548"/>
    <n v="97155"/>
    <n v="100971"/>
    <n v="44478"/>
    <n v="28918"/>
    <n v="11834"/>
    <n v="15532"/>
    <n v="0"/>
    <n v="6075"/>
    <n v="0"/>
    <n v="1809"/>
    <n v="5073364"/>
    <n v="0.79099931930467626"/>
    <n v="-1340502.4549796497"/>
    <n v="5.4377319473350338E-2"/>
    <n v="0.13301143125805226"/>
    <n v="0.14752230326013402"/>
    <n v="-4.9335366586035878E-2"/>
  </r>
  <r>
    <n v="36175205"/>
    <n v="4811715.7931034481"/>
    <n v="3.3141437852738292E-2"/>
    <n v="37626260"/>
    <x v="216"/>
    <n v="6349963.68176034"/>
    <n v="5162333.2807319798"/>
    <n v="1187630.40102836"/>
    <n v="3763555"/>
    <n v="3961812"/>
    <n v="44913.793103448297"/>
    <n v="50879"/>
    <n v="51008"/>
    <n v="36417"/>
    <n v="6626"/>
    <n v="15109"/>
    <n v="103650"/>
    <n v="79655"/>
    <n v="708997"/>
    <n v="395590"/>
    <n v="83531"/>
    <n v="91725"/>
    <n v="38553"/>
    <n v="30739"/>
    <n v="10882"/>
    <n v="8694"/>
    <n v="0"/>
    <n v="8108"/>
    <n v="0"/>
    <n v="904"/>
    <n v="4679632"/>
    <n v="0.7369541362010924"/>
    <n v="-1670331.68176034"/>
    <n v="-3.5446373442002077E-2"/>
    <n v="0.12829368470147623"/>
    <n v="0.12437143633196603"/>
    <n v="-5.027661552446494E-3"/>
  </r>
  <r>
    <n v="37816388"/>
    <n v="4851603.7586206896"/>
    <n v="3.3416172393825813E-2"/>
    <n v="42043061"/>
    <x v="217"/>
    <n v="6405096.0189463003"/>
    <n v="5175695.0186568704"/>
    <n v="1229401.0002894299"/>
    <n v="3783964"/>
    <n v="3534572"/>
    <n v="41382.758620689601"/>
    <n v="51525"/>
    <n v="54972"/>
    <n v="41165"/>
    <n v="5869"/>
    <n v="14122"/>
    <n v="93840"/>
    <n v="85303"/>
    <n v="761176"/>
    <n v="451607"/>
    <n v="70344"/>
    <n v="155591"/>
    <n v="37254"/>
    <n v="25766"/>
    <n v="2802"/>
    <n v="15513"/>
    <n v="0"/>
    <n v="6476"/>
    <n v="0"/>
    <n v="2153"/>
    <n v="4383793"/>
    <n v="0.6844226826627926"/>
    <n v="-2021303.0189463003"/>
    <n v="2.7160597585292656E-2"/>
    <n v="9.9665740213246132E-2"/>
    <n v="0.104269120652276"/>
    <n v="-1.8187545499513957E-2"/>
  </r>
  <r>
    <n v="42821886"/>
    <n v="4267874.9655172415"/>
    <n v="2.9395649912589576E-2"/>
    <n v="42322930"/>
    <x v="218"/>
    <n v="5646066.1847261796"/>
    <n v="4415885.1506208098"/>
    <n v="1230181.0341053701"/>
    <n v="3146416"/>
    <n v="3007032"/>
    <n v="39518.965517241399"/>
    <n v="49458"/>
    <n v="64553"/>
    <n v="15410"/>
    <n v="11511"/>
    <n v="753"/>
    <n v="133747"/>
    <n v="96092"/>
    <n v="769223"/>
    <n v="376897"/>
    <n v="62096"/>
    <n v="182901"/>
    <n v="32591"/>
    <n v="15451"/>
    <n v="8219"/>
    <n v="10998"/>
    <n v="0"/>
    <n v="6179"/>
    <n v="0"/>
    <n v="4565"/>
    <n v="3765736"/>
    <n v="0.66696632253215948"/>
    <n v="-1880330.1847261796"/>
    <n v="-1.746296818933013E-4"/>
    <n v="8.5221204062357725E-2"/>
    <n v="8.8976259441395006E-2"/>
    <n v="-4.2370150807208851E-2"/>
  </r>
  <r>
    <n v="44195500"/>
    <n v="3766393.7241379311"/>
    <n v="2.5941620183878796E-2"/>
    <n v="54566301"/>
    <x v="219"/>
    <n v="4992670.0877949502"/>
    <n v="3778645.48647033"/>
    <n v="1214024.60132462"/>
    <n v="2760929"/>
    <n v="3117315"/>
    <n v="36501.724137931"/>
    <n v="49755"/>
    <n v="22813"/>
    <n v="-2143"/>
    <n v="1010"/>
    <n v="16358"/>
    <n v="84465"/>
    <n v="107597"/>
    <n v="765638"/>
    <n v="405849"/>
    <n v="51057"/>
    <n v="220499"/>
    <n v="38417"/>
    <n v="32535"/>
    <n v="5563"/>
    <n v="11591"/>
    <n v="0"/>
    <n v="10109"/>
    <n v="0"/>
    <n v="2067"/>
    <n v="3971532"/>
    <n v="0.79547254878882989"/>
    <n v="-1021138.0877949502"/>
    <n v="0.34240556518946685"/>
    <n v="5.6301615735539393E-2"/>
    <n v="7.2783603198611532E-2"/>
    <n v="3.8415233253919823E-2"/>
  </r>
  <r>
    <n v="52547670"/>
    <n v="2958518.7241379311"/>
    <n v="2.0377255982722969E-2"/>
    <n v="56796162"/>
    <x v="220"/>
    <n v="3917807.2143991757"/>
    <n v="3014865.1768484898"/>
    <n v="902942.03755068604"/>
    <n v="2172261"/>
    <n v="3596880"/>
    <n v="36326.724137931"/>
    <n v="57414"/>
    <n v="7009"/>
    <n v="14662"/>
    <n v="11103"/>
    <n v="6852"/>
    <n v="91684"/>
    <n v="58728"/>
    <n v="517547"/>
    <n v="433070"/>
    <n v="91885"/>
    <n v="212540"/>
    <n v="25396"/>
    <n v="26298"/>
    <n v="5307"/>
    <n v="11364"/>
    <n v="0"/>
    <n v="5631"/>
    <n v="0"/>
    <n v="2540"/>
    <n v="4425979"/>
    <n v="1.1297082163035315"/>
    <n v="508171.78560082428"/>
    <n v="0.26473254771359533"/>
    <n v="6.5421150986422968E-2"/>
    <n v="7.7927431082403062E-2"/>
    <n v="6.1760381577601331E-2"/>
  </r>
  <r>
    <n v="53492448"/>
    <n v="3499537.5172413792"/>
    <n v="2.4103606723242677E-2"/>
    <n v="34686047"/>
    <x v="221"/>
    <n v="6588484.2128836699"/>
    <n v="5499826.4207687099"/>
    <n v="1088657.79211496"/>
    <n v="2525352"/>
    <n v="4582140"/>
    <n v="36340.517241379297"/>
    <n v="47910"/>
    <n v="7272"/>
    <n v="22732"/>
    <n v="5023"/>
    <n v="9417"/>
    <n v="153753"/>
    <n v="120697"/>
    <n v="597616"/>
    <n v="489155"/>
    <n v="139394"/>
    <n v="205946"/>
    <n v="29128"/>
    <n v="44324"/>
    <n v="5659"/>
    <n v="9798"/>
    <n v="0"/>
    <n v="7778"/>
    <n v="0"/>
    <n v="1464"/>
    <n v="5541361"/>
    <n v="0.8410676600186674"/>
    <n v="-1047123.2128836699"/>
    <n v="3.9016027751272331E-2"/>
    <n v="0.160189569803774"/>
    <n v="0.15975763972181667"/>
    <n v="4.1825172145262268E-2"/>
  </r>
  <r>
    <n v="33293539"/>
    <n v="5333277.6896551717"/>
    <n v="3.6733776204413184E-2"/>
    <n v="39106187"/>
    <x v="222"/>
    <n v="7335506.5023224503"/>
    <n v="5778262.7903368799"/>
    <n v="1557243.7119855699"/>
    <n v="3999839"/>
    <n v="4741330"/>
    <n v="32970.689655172398"/>
    <n v="54809"/>
    <n v="56378"/>
    <n v="44133"/>
    <n v="5019"/>
    <n v="4828"/>
    <n v="135073"/>
    <n v="136695"/>
    <n v="700812"/>
    <n v="425261"/>
    <n v="356162"/>
    <n v="184068"/>
    <n v="39654"/>
    <n v="28255"/>
    <n v="7370"/>
    <n v="12530"/>
    <n v="0"/>
    <n v="14828"/>
    <n v="0"/>
    <n v="6805"/>
    <n v="5653542"/>
    <n v="0.77070915255954942"/>
    <n v="-1681964.5023224503"/>
    <n v="-1.3833854219447161E-3"/>
    <n v="0.15570204974273497"/>
    <n v="0.14456899109084709"/>
    <n v="7.5518703033945922E-2"/>
  </r>
  <r>
    <n v="36360304"/>
    <n v="5661373.8620689651"/>
    <n v="3.8993589413530386E-2"/>
    <n v="41672796"/>
    <x v="223"/>
    <n v="7372436.8198702503"/>
    <n v="5654414.4560906999"/>
    <n v="1718022.36377955"/>
    <n v="4225069"/>
    <n v="4494722"/>
    <n v="32825.8620689655"/>
    <n v="58059"/>
    <n v="72043"/>
    <n v="50719"/>
    <n v="15704"/>
    <n v="6868"/>
    <n v="97751"/>
    <n v="135678"/>
    <n v="651028"/>
    <n v="452304"/>
    <n v="527190"/>
    <n v="214357"/>
    <n v="34217"/>
    <n v="33975"/>
    <n v="5546"/>
    <n v="9612"/>
    <n v="0"/>
    <n v="10923"/>
    <n v="0"/>
    <n v="3591"/>
    <n v="5470808"/>
    <n v="0.7420623782431115"/>
    <n v="-1901628.8198702503"/>
    <n v="-2.4898045969300675E-2"/>
    <n v="0.1431358453120086"/>
    <n v="0.13128008017508591"/>
    <n v="6.316237977178818E-2"/>
  </r>
  <r>
    <n v="39197019"/>
    <n v="5610498.4482758623"/>
    <n v="3.8643177120503212E-2"/>
    <n v="45632674"/>
    <x v="224"/>
    <n v="6148587.6181572191"/>
    <n v="4363259.4794024397"/>
    <n v="1785328.1387547799"/>
    <n v="4089143"/>
    <n v="3681443"/>
    <n v="34528.448275862"/>
    <n v="51171"/>
    <n v="43939"/>
    <n v="38856"/>
    <n v="4540"/>
    <n v="15603"/>
    <n v="176005"/>
    <n v="100446"/>
    <n v="668270"/>
    <n v="469013"/>
    <n v="554038"/>
    <n v="191108"/>
    <n v="35960"/>
    <n v="37897"/>
    <n v="4075"/>
    <n v="13748"/>
    <n v="0"/>
    <n v="6868"/>
    <n v="0"/>
    <n v="2756"/>
    <n v="4608909"/>
    <n v="0.74958824468721275"/>
    <n v="-1539678.6181572191"/>
    <n v="-9.3846282031727624E-3"/>
    <n v="0.10534497463240182"/>
    <n v="0.10100019560545587"/>
    <n v="3.3229199080549998E-2"/>
  </r>
  <r>
    <n v="44165103"/>
    <n v="4652571.6551724132"/>
    <n v="3.2045307951544102E-2"/>
    <n v="47566437"/>
    <x v="225"/>
    <n v="5377096.9016619604"/>
    <n v="3547199.63364462"/>
    <n v="1829897.26801734"/>
    <n v="3070125"/>
    <n v="3263047"/>
    <n v="38764.655172413797"/>
    <n v="53656"/>
    <n v="46072"/>
    <n v="30164"/>
    <n v="4716"/>
    <n v="15984"/>
    <n v="195600"/>
    <n v="120703"/>
    <n v="651924"/>
    <n v="516985"/>
    <n v="601203"/>
    <n v="216650"/>
    <n v="40376"/>
    <n v="33945"/>
    <n v="3791"/>
    <n v="10550"/>
    <n v="0"/>
    <n v="10464"/>
    <n v="0"/>
    <n v="1903"/>
    <n v="4274051"/>
    <n v="0.79486218644841056"/>
    <n v="-1103045.9016619604"/>
    <n v="0.32355156332344892"/>
    <n v="7.3326948907217152E-2"/>
    <n v="8.9854344146062484E-2"/>
    <n v="8.0103569640698868E-2"/>
  </r>
  <r>
    <n v="44038774"/>
    <n v="3229228.931034483"/>
    <n v="2.2241814465338055E-2"/>
    <n v="61569045"/>
    <x v="226"/>
    <n v="4306751.3905300098"/>
    <n v="2931100.39722447"/>
    <n v="1375650.9933055399"/>
    <n v="2011046"/>
    <n v="3131893"/>
    <n v="34462.931034482703"/>
    <n v="62359"/>
    <n v="24847"/>
    <n v="-4461"/>
    <n v="5456"/>
    <n v="3375"/>
    <n v="178158"/>
    <n v="200572"/>
    <n v="507359"/>
    <n v="493567"/>
    <n v="433481"/>
    <n v="253687"/>
    <n v="26228"/>
    <n v="29680"/>
    <n v="8191"/>
    <n v="7085"/>
    <n v="0"/>
    <n v="10393"/>
    <n v="0"/>
    <n v="6245"/>
    <n v="4194395"/>
    <n v="0.97391156806100609"/>
    <n v="-112356.39053000975"/>
    <n v="-0.14205227758922134"/>
    <n v="8.0212678975803961E-2"/>
    <n v="6.8125061871594728E-2"/>
    <n v="1.0175746562547605E-2"/>
  </r>
  <r>
    <n v="60948845"/>
    <n v="4888870.137931034"/>
    <n v="3.3672850353833453E-2"/>
    <n v="65717622"/>
    <x v="227"/>
    <n v="5604284.5680249101"/>
    <n v="3861268.6794992299"/>
    <n v="1743015.8885256799"/>
    <n v="3412516"/>
    <n v="3769446"/>
    <n v="47499.1379310345"/>
    <n v="60816"/>
    <n v="28829"/>
    <n v="12907"/>
    <n v="2060"/>
    <n v="1416"/>
    <n v="162266"/>
    <n v="121507"/>
    <n v="782613"/>
    <n v="480467"/>
    <n v="397386"/>
    <n v="261280"/>
    <n v="46230"/>
    <n v="34538"/>
    <n v="9471"/>
    <n v="2595"/>
    <n v="0"/>
    <n v="6215"/>
    <n v="0"/>
    <n v="2842"/>
    <n v="4754029"/>
    <n v="0.84828472614042127"/>
    <n v="-850255.56802491006"/>
    <n v="0.20601721642801563"/>
    <n v="6.344445797757467E-2"/>
    <n v="7.2340246882335452E-2"/>
    <n v="5.7711466375750087E-2"/>
  </r>
  <r>
    <n v="62131899"/>
    <n v="3941924.6551724137"/>
    <n v="2.7150616660863266E-2"/>
    <n v="40824335"/>
    <x v="228"/>
    <n v="6122642.9537522905"/>
    <n v="4750643.8728327602"/>
    <n v="1371999.08091953"/>
    <n v="2730517"/>
    <n v="5336867"/>
    <n v="40964.655172413797"/>
    <n v="56728"/>
    <n v="3525"/>
    <n v="55656"/>
    <n v="11086"/>
    <n v="16254"/>
    <n v="183162"/>
    <n v="166309"/>
    <n v="524015"/>
    <n v="260464"/>
    <n v="403338"/>
    <n v="286210"/>
    <n v="35960"/>
    <n v="20932"/>
    <n v="7429"/>
    <n v="2353"/>
    <n v="1928"/>
    <n v="7205"/>
    <n v="0"/>
    <n v="3101"/>
    <n v="6212079"/>
    <n v="1.0146074247548436"/>
    <n v="89436.046247709543"/>
    <n v="7.723938391466012E-3"/>
    <n v="0.16008376318988846"/>
    <n v="0.15216607937398122"/>
    <n v="6.0159011639917548E-2"/>
  </r>
  <r>
    <n v="38507747"/>
    <n v="6164465.0517241377"/>
    <n v="4.2458707910369799E-2"/>
    <n v="45092354"/>
    <x v="229"/>
    <n v="8157498.6179166595"/>
    <n v="6350011.3561475696"/>
    <n v="1807487.2617690901"/>
    <n v="4641789"/>
    <n v="5655220"/>
    <n v="35684.482758620703"/>
    <n v="49156"/>
    <n v="59195"/>
    <n v="49650"/>
    <n v="10114"/>
    <n v="13529"/>
    <n v="136276"/>
    <n v="131515"/>
    <n v="856553"/>
    <n v="874101"/>
    <n v="371767"/>
    <n v="238455"/>
    <n v="47937"/>
    <n v="52443"/>
    <n v="4445"/>
    <n v="8603"/>
    <n v="704.56896551724196"/>
    <n v="14092"/>
    <n v="0"/>
    <n v="8931"/>
    <n v="7095695"/>
    <n v="0.86983710722493102"/>
    <n v="-1061803.6179166595"/>
    <n v="0.20089941652235366"/>
    <n v="0.13808108963159166"/>
    <n v="0.15735916115623505"/>
    <n v="5.3777223727777157E-2"/>
  </r>
  <r>
    <n v="42791164"/>
    <n v="5908650.5517241377"/>
    <n v="4.069674591632793E-2"/>
    <n v="46969163"/>
    <x v="230"/>
    <n v="7793317.8955410402"/>
    <n v="6389469.67933382"/>
    <n v="1403848.21620722"/>
    <n v="4674224"/>
    <n v="5265416"/>
    <n v="38029.310344827602"/>
    <n v="58356"/>
    <n v="63390"/>
    <n v="21927"/>
    <n v="4385"/>
    <n v="11760"/>
    <n v="133373"/>
    <n v="132555"/>
    <n v="669054"/>
    <n v="482072"/>
    <n v="282672"/>
    <n v="231761"/>
    <n v="39386"/>
    <n v="38192"/>
    <n v="3720"/>
    <n v="5870"/>
    <n v="73.275862068965495"/>
    <n v="7522"/>
    <n v="343.96551724137902"/>
    <n v="4435"/>
    <n v="6259866"/>
    <n v="0.80323503851698297"/>
    <n v="-1533451.8955410402"/>
    <n v="7.7942236070341675E-2"/>
    <n v="0.12551404930590754"/>
    <n v="0.13327608158569912"/>
    <n v="1.5162611004995385E-2"/>
  </r>
  <r>
    <n v="46267625"/>
    <n v="5807236.9655172406"/>
    <n v="3.9998244132511754E-2"/>
    <n v="52243046"/>
    <x v="231"/>
    <n v="7650924.6914080195"/>
    <n v="6381727.7150928797"/>
    <n v="1269196.97631514"/>
    <n v="4567064"/>
    <n v="4304572"/>
    <n v="35700.8620689655"/>
    <n v="50878"/>
    <n v="58510"/>
    <n v="64872"/>
    <n v="15761"/>
    <n v="7444"/>
    <n v="230412"/>
    <n v="156605"/>
    <n v="657997"/>
    <n v="453882"/>
    <n v="205256"/>
    <n v="217643"/>
    <n v="29971"/>
    <n v="42319"/>
    <n v="4086"/>
    <n v="5284"/>
    <n v="2479.10344827586"/>
    <n v="8130"/>
    <n v="0"/>
    <n v="603"/>
    <n v="5312232"/>
    <n v="0.69432548538422167"/>
    <n v="-2338692.6914080195"/>
    <n v="7.0228392303829157E-2"/>
    <n v="8.9991096339197302E-2"/>
    <n v="0.1016830450506274"/>
    <n v="-5.2831017119860824E-2"/>
  </r>
  <r>
    <n v="55157049"/>
    <n v="4963643.3103448264"/>
    <n v="3.4187862161088482E-2"/>
    <n v="54107999"/>
    <x v="232"/>
    <n v="6545015.7147723902"/>
    <n v="5389623.2256290102"/>
    <n v="1155392.48914338"/>
    <n v="3915278"/>
    <n v="3937861"/>
    <n v="41030.172413793101"/>
    <n v="53958"/>
    <n v="35238"/>
    <n v="9844"/>
    <n v="9197"/>
    <n v="10484"/>
    <n v="143792"/>
    <n v="110885"/>
    <n v="605960"/>
    <n v="398065"/>
    <n v="173300"/>
    <n v="190143"/>
    <n v="28936"/>
    <n v="25340"/>
    <n v="11397"/>
    <n v="10331"/>
    <n v="203.068965517241"/>
    <n v="13946"/>
    <n v="-687.93103448275895"/>
    <n v="2903"/>
    <n v="4763760"/>
    <n v="0.7278454640296711"/>
    <n v="-1781255.7147723902"/>
    <n v="0.19540577835738748"/>
    <n v="7.3270472186961769E-2"/>
    <n v="8.8041696016147267E-2"/>
    <n v="-5.1538100855724744E-3"/>
  </r>
  <r>
    <n v="54388306"/>
    <n v="3985056.8620689656"/>
    <n v="2.7447696416979025E-2"/>
    <n v="67054494"/>
    <x v="233"/>
    <n v="5262495.1695219995"/>
    <n v="4234543.1917588096"/>
    <n v="1027951.9777631901"/>
    <n v="3000765"/>
    <n v="3369224"/>
    <n v="35025.8620689655"/>
    <n v="59039"/>
    <n v="36025"/>
    <n v="-1601"/>
    <n v="6236"/>
    <n v="4870"/>
    <n v="178245"/>
    <n v="139900"/>
    <n v="579403"/>
    <n v="387183"/>
    <n v="113017"/>
    <n v="152415"/>
    <n v="25208"/>
    <n v="32485"/>
    <n v="11132"/>
    <n v="5859"/>
    <n v="0"/>
    <n v="10215"/>
    <n v="0"/>
    <n v="2454"/>
    <n v="4162043"/>
    <n v="0.79088775683912782"/>
    <n v="-1100452.1695219995"/>
    <n v="1.0573267451987611E-3"/>
    <n v="5.8438289080454758E-2"/>
    <n v="6.206956091563378E-2"/>
    <n v="-5.7507793136193031E-2"/>
  </r>
  <r>
    <n v="71145940"/>
    <n v="4157647.0086206896"/>
    <n v="2.8636437785315279E-2"/>
    <n v="77397218"/>
    <x v="234"/>
    <n v="5490882.4495420801"/>
    <n v="4412363.5770457499"/>
    <n v="1078518.8724963299"/>
    <n v="3117784"/>
    <n v="3958103"/>
    <n v="47162.931034482703"/>
    <n v="68578"/>
    <n v="19293"/>
    <n v="43857"/>
    <n v="5273"/>
    <n v="7918"/>
    <n v="203525"/>
    <n v="150805"/>
    <n v="648055"/>
    <n v="508203"/>
    <n v="76037"/>
    <n v="121705"/>
    <n v="28466"/>
    <n v="47502"/>
    <n v="11786"/>
    <n v="7251"/>
    <n v="265.07758620689702"/>
    <n v="7580"/>
    <n v="0"/>
    <n v="9302"/>
    <n v="4930804"/>
    <n v="0.89799846296312746"/>
    <n v="-560078.44954208005"/>
    <n v="8.1630987044716941E-2"/>
    <n v="5.9965501535775588E-2"/>
    <n v="6.3707767894189679E-2"/>
    <n v="1.8094759221471524E-2"/>
  </r>
  <r>
    <n v="76021625"/>
    <n v="4558674.8706896557"/>
    <n v="3.1398579303944539E-2"/>
    <n v="47309764"/>
    <x v="235"/>
    <n v="6029133.3442718405"/>
    <n v="4736116.6027066"/>
    <n v="1293016.7415652401"/>
    <n v="3423344"/>
    <n v="6131578"/>
    <n v="43106.896551724101"/>
    <n v="58667"/>
    <n v="5283"/>
    <n v="32753"/>
    <n v="5236"/>
    <n v="15416"/>
    <n v="165029"/>
    <n v="133228"/>
    <n v="757892"/>
    <n v="636618"/>
    <n v="97355"/>
    <n v="135260"/>
    <n v="44629"/>
    <n v="52222"/>
    <n v="14410"/>
    <n v="6960"/>
    <n v="2389.9741379310299"/>
    <n v="13168"/>
    <n v="0"/>
    <n v="4349"/>
    <n v="7220219"/>
    <n v="1.1975550361412699"/>
    <n v="1191085.6557281595"/>
    <n v="0.13013245223673175"/>
    <n v="0.13796057122414837"/>
    <n v="0.15261583211448698"/>
    <n v="2.1609072331146839E-2"/>
  </r>
  <r>
    <n v="46309068"/>
    <n v="6388825.4741379302"/>
    <n v="4.4004025072846058E-2"/>
    <n v="54670468"/>
    <x v="236"/>
    <n v="8412520.1364019103"/>
    <n v="7075596.2266776804"/>
    <n v="1336923.9097242299"/>
    <n v="5203886"/>
    <n v="6380671"/>
    <n v="38813.793103448297"/>
    <n v="61333"/>
    <n v="56753"/>
    <n v="74046"/>
    <n v="4215"/>
    <n v="-197"/>
    <n v="137354"/>
    <n v="119701"/>
    <n v="801333"/>
    <n v="614316"/>
    <n v="95156"/>
    <n v="116509"/>
    <n v="42338"/>
    <n v="54496"/>
    <n v="7580"/>
    <n v="2681"/>
    <n v="1311.33620689655"/>
    <n v="9207"/>
    <n v="85.344827586206904"/>
    <n v="4952"/>
    <n v="7437715"/>
    <n v="0.88412448105962682"/>
    <n v="-974805.13640191033"/>
    <n v="4.7253851014347426E-2"/>
    <n v="0.13203218602369335"/>
    <n v="0.13604630199982923"/>
    <n v="1.6354088561180369E-2"/>
  </r>
  <r>
    <n v="53790769"/>
    <n v="7102112.818965517"/>
    <n v="4.8916902147512459E-2"/>
    <n v="59000790"/>
    <x v="237"/>
    <n v="9354046.4810934905"/>
    <n v="7838384.3182702204"/>
    <n v="1515662.1628232701"/>
    <n v="5685559"/>
    <n v="5466857"/>
    <n v="40163.793103448297"/>
    <n v="70041"/>
    <n v="95169"/>
    <n v="52851"/>
    <n v="522"/>
    <n v="8568"/>
    <n v="206180"/>
    <n v="157094"/>
    <n v="931011"/>
    <n v="775906"/>
    <n v="80136"/>
    <n v="249538"/>
    <n v="46712"/>
    <n v="51355"/>
    <n v="15753"/>
    <n v="5672"/>
    <n v="992.37068965517199"/>
    <n v="9556"/>
    <n v="-85.344827586206904"/>
    <n v="5254"/>
    <n v="6852692"/>
    <n v="0.73259118541379309"/>
    <n v="-2501354.4810934905"/>
    <n v="0.1880432433113306"/>
    <n v="0.10150305419382888"/>
    <n v="0.11614576686176575"/>
    <n v="3.8264423824984517E-2"/>
  </r>
  <r>
    <n v="56826362"/>
    <n v="5768049.3017241377"/>
    <n v="3.9728333028024962E-2"/>
    <n v="64275874"/>
    <x v="238"/>
    <n v="7612671.9237513505"/>
    <n v="6180720.2253777403"/>
    <n v="1431951.6983736099"/>
    <n v="4516794"/>
    <n v="3927126"/>
    <n v="37898.275862069"/>
    <n v="60647"/>
    <n v="51151"/>
    <n v="52706"/>
    <n v="2199"/>
    <n v="5466"/>
    <n v="144834"/>
    <n v="156592"/>
    <n v="864251"/>
    <n v="626922"/>
    <n v="85695"/>
    <n v="258753"/>
    <n v="46707"/>
    <n v="52309"/>
    <n v="16838"/>
    <n v="7041"/>
    <n v="1079.4396551724101"/>
    <n v="8479"/>
    <n v="602.58620689655197"/>
    <n v="4392"/>
    <n v="5160433"/>
    <n v="0.67787408306662678"/>
    <n v="-2452238.9237513505"/>
    <n v="2.0925711624696586E-2"/>
    <n v="7.9307670032749036E-2"/>
    <n v="8.0285691642248219E-2"/>
    <n v="8.489032220955206E-3"/>
  </r>
  <r>
    <n v="63734827"/>
    <n v="5054660.6293103443"/>
    <n v="3.4814758043913069E-2"/>
    <n v="63186398"/>
    <x v="239"/>
    <n v="6670038.5053026695"/>
    <n v="5429316.5206810199"/>
    <n v="1240721.9846216501"/>
    <n v="3868560"/>
    <n v="2812166"/>
    <n v="31270.689655172398"/>
    <n v="61210"/>
    <n v="38622"/>
    <n v="22420"/>
    <n v="4537"/>
    <n v="3648"/>
    <n v="232069"/>
    <n v="190048"/>
    <n v="646678"/>
    <n v="477252"/>
    <n v="183692"/>
    <n v="316767"/>
    <n v="35183"/>
    <n v="43552"/>
    <n v="12747"/>
    <n v="6081"/>
    <n v="1301.9396551724101"/>
    <n v="8857"/>
    <n v="0"/>
    <n v="5442"/>
    <n v="3947443"/>
    <n v="0.59181712322376989"/>
    <n v="-2722595.5053026695"/>
    <n v="-0.15435629411619134"/>
    <n v="7.0800431640461001E-2"/>
    <n v="6.2472986670327371E-2"/>
    <n v="-4.1634751567753647E-2"/>
  </r>
  <r>
    <n v="65931437"/>
    <n v="4667974.1982758613"/>
    <n v="3.2151395353000503E-2"/>
    <n v="84788455"/>
    <x v="240"/>
    <n v="6161658.7453408297"/>
    <n v="4991715.1867080601"/>
    <n v="1169943.5586327701"/>
    <n v="3565076"/>
    <n v="2274844"/>
    <n v="41705.172413793101"/>
    <n v="80338"/>
    <n v="58290"/>
    <n v="603"/>
    <n v="-1718"/>
    <n v="4423"/>
    <n v="175197"/>
    <n v="202862"/>
    <n v="594390"/>
    <n v="439794"/>
    <n v="186981"/>
    <n v="319856"/>
    <n v="36599"/>
    <n v="40578"/>
    <n v="9709"/>
    <n v="3124"/>
    <n v="711.40517241379303"/>
    <n v="6457"/>
    <n v="1033.6206896551701"/>
    <n v="5141"/>
    <n v="3378020"/>
    <n v="0.5482322438830789"/>
    <n v="-2783638.7453408297"/>
    <n v="-0.11615655299018435"/>
    <n v="4.4352414290973051E-2"/>
    <n v="3.984056555812935E-2"/>
    <n v="-1.6063397168761595E-2"/>
  </r>
  <r>
    <n v="86172681"/>
    <n v="3821966.4482758618"/>
    <n v="2.632438592951248E-2"/>
    <n v="79055636"/>
    <x v="241"/>
    <n v="5088951.2944574002"/>
    <n v="3567368.0222272598"/>
    <n v="1521583.2722301399"/>
    <n v="2504987"/>
    <n v="2783669"/>
    <n v="48545.689655172398"/>
    <n v="75806"/>
    <n v="23754"/>
    <n v="3831"/>
    <n v="1397"/>
    <n v="2613"/>
    <n v="164566"/>
    <n v="101774"/>
    <n v="758218"/>
    <n v="492535"/>
    <n v="270836"/>
    <n v="287070"/>
    <n v="35654"/>
    <n v="38815"/>
    <n v="13751"/>
    <n v="6059"/>
    <n v="257.758620689655"/>
    <n v="10962"/>
    <n v="0"/>
    <n v="2627"/>
    <n v="3805761"/>
    <n v="0.74784779413098745"/>
    <n v="-1283190.2944574002"/>
    <n v="-7.9548808396772697E-2"/>
    <n v="5.0402885896544694E-2"/>
    <n v="4.8140286924008811E-2"/>
    <n v="-3.6287497476911179E-2"/>
  </r>
  <r>
    <n v="82032386"/>
    <n v="4134668.9913793104"/>
    <n v="2.8478173132304021E-2"/>
    <n v="33903487"/>
    <x v="242"/>
    <n v="5496657.1747764302"/>
    <n v="3961469.0685033901"/>
    <n v="1535188.1062730399"/>
    <n v="2787596"/>
    <n v="3584257"/>
    <n v="44080.172413793101"/>
    <n v="46953"/>
    <n v="9613"/>
    <n v="32425"/>
    <n v="3315"/>
    <n v="14272"/>
    <n v="201703"/>
    <n v="94850"/>
    <n v="650854"/>
    <n v="402779"/>
    <n v="373478"/>
    <n v="219040"/>
    <n v="47088"/>
    <n v="49968"/>
    <n v="16121"/>
    <n v="4422"/>
    <n v="820.81896551724105"/>
    <n v="11214"/>
    <n v="0"/>
    <n v="17191"/>
    <n v="4477371"/>
    <n v="0.81456253457941219"/>
    <n v="-1019286.1747764302"/>
    <n v="-0.10282638301581504"/>
    <n v="0.15768335110555873"/>
    <n v="0.13206225660505069"/>
    <n v="7.1232205827314488E-2"/>
  </r>
  <r>
    <n v="31649055"/>
    <n v="4990529.0517241387"/>
    <n v="4.3286377238336768E-2"/>
    <n v="33156940"/>
    <x v="243"/>
    <n v="6596901.5508277509"/>
    <n v="5311464.7585612005"/>
    <n v="1285436.79226655"/>
    <n v="3909270"/>
    <n v="4608677"/>
    <n v="26356.896551724101"/>
    <n v="51779"/>
    <n v="17828"/>
    <n v="10522"/>
    <n v="10082"/>
    <n v="10662"/>
    <n v="117359"/>
    <n v="68000"/>
    <n v="480576"/>
    <n v="258443"/>
    <n v="371920"/>
    <n v="180486"/>
    <n v="38723"/>
    <n v="41604"/>
    <n v="18027"/>
    <n v="2224"/>
    <n v="387.15517241379303"/>
    <n v="16937"/>
    <n v="0"/>
    <n v="4607"/>
    <n v="5253941"/>
    <n v="0.79642555819872107"/>
    <n v="-1342960.5508277509"/>
    <n v="0.11570093661778769"/>
    <n v="0.15300029120124153"/>
    <n v="0.15845675143725568"/>
    <n v="7.7281760781349629E-2"/>
  </r>
  <r>
    <n v="30778336"/>
    <n v="4709094.3706896557"/>
    <n v="4.0845295812911374E-2"/>
    <n v="36610659"/>
    <x v="244"/>
    <n v="6215808.3236736199"/>
    <n v="5117707.0744952802"/>
    <n v="1098101.24917834"/>
    <n v="3732813"/>
    <n v="4240392"/>
    <n v="28554.310344827602"/>
    <n v="52227"/>
    <n v="44084"/>
    <n v="54867"/>
    <n v="7771"/>
    <n v="5431"/>
    <n v="118806"/>
    <n v="100823"/>
    <n v="643534"/>
    <n v="418266"/>
    <n v="90021"/>
    <n v="218152"/>
    <n v="39947"/>
    <n v="49902"/>
    <n v="2996"/>
    <n v="3805"/>
    <n v="568.06034482758605"/>
    <n v="19820"/>
    <n v="0"/>
    <n v="7234"/>
    <n v="5170919"/>
    <n v="0.83189807837316365"/>
    <n v="-1044889.3236736199"/>
    <n v="0.19521570674126743"/>
    <n v="0.1299459143191399"/>
    <n v="0.14124080640012518"/>
    <n v="9.9635450827852079E-2"/>
  </r>
  <r>
    <n v="33293451"/>
    <n v="4326347.931034483"/>
    <n v="3.7525466071048584E-2"/>
    <n v="38832803"/>
    <x v="245"/>
    <n v="5685055.4293565881"/>
    <n v="4999669.5734518198"/>
    <n v="685385.85590476799"/>
    <n v="3629418"/>
    <n v="3129090"/>
    <n v="23437.931034482801"/>
    <n v="39978"/>
    <n v="67723"/>
    <n v="30247"/>
    <n v="4425"/>
    <n v="6243"/>
    <n v="116334"/>
    <n v="77075"/>
    <n v="10115"/>
    <n v="398097"/>
    <n v="447014"/>
    <n v="321750"/>
    <n v="12385"/>
    <n v="30145"/>
    <n v="15496"/>
    <n v="6743"/>
    <n v="0"/>
    <n v="26334"/>
    <n v="0"/>
    <n v="10335"/>
    <n v="4076037"/>
    <n v="0.7169740120654039"/>
    <n v="-1609018.4293565881"/>
    <n v="-0.16203006857989743"/>
    <n v="0.12591500493416294"/>
    <n v="0.10496375963383328"/>
    <n v="5.2325528117997955E-3"/>
  </r>
  <r>
    <n v="38630666"/>
    <n v="4864180.5"/>
    <n v="4.2190467162117683E-2"/>
    <n v="39900289"/>
    <x v="246"/>
    <n v="6502548.4818756497"/>
    <n v="4329481.2871723697"/>
    <n v="2173067.19470328"/>
    <n v="3079282"/>
    <n v="2375132"/>
    <n v="38493.965517241399"/>
    <n v="50538"/>
    <n v="37107"/>
    <n v="9434"/>
    <n v="8353"/>
    <n v="3826"/>
    <n v="163184"/>
    <n v="129241"/>
    <n v="1235813"/>
    <n v="285189"/>
    <n v="273796"/>
    <n v="264108"/>
    <n v="18920"/>
    <n v="35577"/>
    <n v="8328"/>
    <n v="5188"/>
    <n v="903.53448275862104"/>
    <n v="15828"/>
    <n v="0"/>
    <n v="5253"/>
    <n v="3179314"/>
    <n v="0.48893353257751215"/>
    <n v="-3323234.4818756497"/>
    <n v="2.7320750562797258E-2"/>
    <n v="8.2692712065836713E-2"/>
    <n v="7.9681477996312255E-2"/>
    <n v="6.6144117325237506E-2"/>
  </r>
  <r>
    <n v="37424855"/>
    <n v="3094762.7586206896"/>
    <n v="2.6843059492165419E-2"/>
    <n v="57172573"/>
    <x v="247"/>
    <n v="4079737.6799719241"/>
    <n v="3424182.6222861698"/>
    <n v="655555.05768575403"/>
    <n v="2474103"/>
    <n v="2169077"/>
    <n v="30516.379310344801"/>
    <n v="71181"/>
    <n v="25936"/>
    <n v="-1219"/>
    <n v="835"/>
    <n v="10096"/>
    <n v="99472"/>
    <n v="43403"/>
    <n v="184786"/>
    <n v="327711"/>
    <n v="246588"/>
    <n v="287772"/>
    <n v="23810"/>
    <n v="34661"/>
    <n v="7925"/>
    <n v="3709"/>
    <n v="791.37931034482801"/>
    <n v="14900"/>
    <n v="0"/>
    <n v="2842"/>
    <n v="2964133"/>
    <n v="0.72654989916420276"/>
    <n v="-1115604.6799719241"/>
    <n v="-0.16341171750845518"/>
    <n v="6.4616742143880287E-2"/>
    <n v="5.1845366483680905E-2"/>
    <n v="4.2670020422427735E-2"/>
  </r>
  <r>
    <n v="54832854"/>
    <n v="3543120.3879310344"/>
    <n v="3.0731981343709174E-2"/>
    <n v="55245812"/>
    <x v="248"/>
    <n v="4742084.1852022205"/>
    <n v="3088800.7257642699"/>
    <n v="1653283.45943795"/>
    <n v="2230610"/>
    <n v="2422908"/>
    <n v="36679.310344827602"/>
    <n v="65653"/>
    <n v="4751"/>
    <n v="23706"/>
    <n v="697"/>
    <n v="4988"/>
    <n v="100445"/>
    <n v="89194"/>
    <n v="869801"/>
    <n v="418793"/>
    <n v="263561"/>
    <n v="315256"/>
    <n v="29692"/>
    <n v="37121"/>
    <n v="3281"/>
    <n v="8727"/>
    <n v="1880.66379310345"/>
    <n v="17989"/>
    <n v="1722.41379310345"/>
    <n v="14961"/>
    <n v="3419296"/>
    <n v="0.72105341585246197"/>
    <n v="-1322788.1852022205"/>
    <n v="-7.5925259401278589E-2"/>
    <n v="6.8416432664436949E-2"/>
    <n v="6.1892401907315618E-2"/>
    <n v="2.1480752383059576E-2"/>
  </r>
  <r>
    <n v="54084046"/>
    <n v="3700237.4913793104"/>
    <n v="3.2094768763633562E-2"/>
    <n v="28518805"/>
    <x v="249"/>
    <n v="4916325.7663962999"/>
    <n v="3646145.6581461602"/>
    <n v="1270180.10825014"/>
    <n v="2674804"/>
    <n v="3685422"/>
    <n v="33514.655172413797"/>
    <n v="51772"/>
    <n v="11139"/>
    <n v="39873"/>
    <n v="1207"/>
    <n v="8283"/>
    <n v="80736"/>
    <n v="110586"/>
    <n v="589007"/>
    <n v="430573"/>
    <n v="264958"/>
    <n v="302218"/>
    <n v="38489"/>
    <n v="41380"/>
    <n v="5467"/>
    <n v="9144"/>
    <n v="915.83620689655197"/>
    <n v="31279"/>
    <n v="0"/>
    <n v="3203"/>
    <n v="4713733"/>
    <n v="0.95879183438553917"/>
    <n v="-202592.76639629994"/>
    <n v="1.7367624532111048E-2"/>
    <n v="0.16293916227096147"/>
    <n v="0.16528508119467136"/>
    <n v="2.9279549290892604E-3"/>
  </r>
  <r>
    <n v="28435547"/>
    <n v="4633264.2068965519"/>
    <n v="4.018756733523441E-2"/>
    <n v="32663945"/>
    <x v="250"/>
    <n v="6127095.8821069803"/>
    <n v="4902567.0005274704"/>
    <n v="1224528.8815795099"/>
    <n v="3525502"/>
    <n v="3691678"/>
    <n v="25892.241379310301"/>
    <n v="46251"/>
    <n v="45000"/>
    <n v="36867"/>
    <n v="10415"/>
    <n v="11745"/>
    <n v="159923"/>
    <n v="113991"/>
    <n v="610021"/>
    <n v="424362"/>
    <n v="212908"/>
    <n v="280697"/>
    <n v="37056"/>
    <n v="40425"/>
    <n v="6203"/>
    <n v="4771"/>
    <n v="343.96551724137902"/>
    <n v="37972"/>
    <n v="0"/>
    <n v="4228"/>
    <n v="4692987"/>
    <n v="0.76593986617787024"/>
    <n v="-1434108.8821069803"/>
    <n v="-1.0790544135321878E-2"/>
    <n v="0.16005897113035517"/>
    <n v="0.1436748378066397"/>
    <n v="0.10201514861777561"/>
  </r>
  <r>
    <n v="29640196"/>
    <n v="4744179.2758620689"/>
    <n v="4.1149611933491745E-2"/>
    <n v="33989444"/>
    <x v="251"/>
    <n v="6267893.7942838604"/>
    <n v="5088482.8383087805"/>
    <n v="1179410.9559750799"/>
    <n v="3709022"/>
    <n v="3992374"/>
    <n v="28638.793103448301"/>
    <n v="42255"/>
    <n v="39009"/>
    <n v="41214"/>
    <n v="6468"/>
    <n v="23756"/>
    <n v="126437"/>
    <n v="136924"/>
    <n v="512439"/>
    <n v="757503"/>
    <n v="272574"/>
    <n v="472947"/>
    <n v="41801"/>
    <n v="44298"/>
    <n v="6981"/>
    <n v="6888"/>
    <n v="809.48275862068999"/>
    <n v="32292"/>
    <n v="0"/>
    <n v="5813"/>
    <n v="5556264"/>
    <n v="0.88646428646687558"/>
    <n v="-711629.79428386036"/>
    <n v="0.3374188945491936"/>
    <n v="0.12769944866425717"/>
    <n v="0.16347028212641548"/>
    <n v="4.4762713109029573E-2"/>
  </r>
  <r>
    <n v="32533171"/>
    <n v="4154468.0000000005"/>
    <n v="3.6034630238345133E-2"/>
    <n v="40552085"/>
    <x v="252"/>
    <n v="5520536.0320603298"/>
    <n v="4085615.3785323901"/>
    <n v="1434920.6535279399"/>
    <n v="2984548"/>
    <n v="3230365"/>
    <n v="24654.310344827602"/>
    <n v="38566"/>
    <n v="17827"/>
    <n v="28329"/>
    <n v="2299"/>
    <n v="4546"/>
    <n v="109725"/>
    <n v="137660"/>
    <n v="666967"/>
    <n v="811921"/>
    <n v="299912"/>
    <n v="427046"/>
    <n v="40233"/>
    <n v="47155"/>
    <n v="7382"/>
    <n v="6735"/>
    <n v="920.68965517241395"/>
    <n v="45688"/>
    <n v="0"/>
    <n v="2713"/>
    <n v="4780724"/>
    <n v="0.86598909457996542"/>
    <n v="-739812.0320603298"/>
    <n v="0.51236882239163339"/>
    <n v="8.6359322116965009E-2"/>
    <n v="0.11789095431221354"/>
    <n v="0.10786401768098308"/>
  </r>
  <r>
    <n v="36603847"/>
    <n v="3161083.4137931033"/>
    <n v="2.7418305296514546E-2"/>
    <n v="40490621"/>
    <x v="253"/>
    <n v="4184986.054014463"/>
    <n v="3289726.9989228998"/>
    <n v="895259.05509156303"/>
    <n v="2427761"/>
    <n v="2905562"/>
    <n v="25539.655172413801"/>
    <n v="36103"/>
    <n v="22302"/>
    <n v="39509"/>
    <n v="3261"/>
    <n v="14623"/>
    <n v="48694"/>
    <n v="152144"/>
    <n v="356119"/>
    <n v="560489"/>
    <n v="246603"/>
    <n v="299825"/>
    <n v="27305"/>
    <n v="33924"/>
    <n v="3241"/>
    <n v="5465"/>
    <n v="257.758620689655"/>
    <n v="37335"/>
    <n v="0"/>
    <n v="4134"/>
    <n v="4089113"/>
    <n v="0.97709118912773996"/>
    <n v="-95873.054014462978"/>
    <n v="0.51567921132921324"/>
    <n v="7.3126037849472289E-2"/>
    <n v="0.1009891401764374"/>
    <n v="9.7500336983543434E-2"/>
  </r>
  <r>
    <n v="36893493"/>
    <n v="2697874.965517241"/>
    <n v="2.3400571820917117E-2"/>
    <n v="54002972"/>
    <x v="254"/>
    <n v="3553299.6401585471"/>
    <n v="3022745.76213062"/>
    <n v="530553.87802792701"/>
    <n v="2178584"/>
    <n v="2513555"/>
    <n v="26887.068965517199"/>
    <n v="45190"/>
    <n v="27326"/>
    <n v="6769"/>
    <n v="1339"/>
    <n v="4017"/>
    <n v="88295"/>
    <n v="138307"/>
    <n v="120118"/>
    <n v="181050"/>
    <n v="219269"/>
    <n v="162021"/>
    <n v="32816"/>
    <n v="15193"/>
    <n v="2209"/>
    <n v="6535"/>
    <n v="1031.89655172414"/>
    <n v="19202"/>
    <n v="0"/>
    <n v="3445"/>
    <n v="3095284"/>
    <n v="0.87110131805880842"/>
    <n v="-458015.64015854709"/>
    <n v="0.14166306942144846"/>
    <n v="5.2984761813140803E-2"/>
    <n v="5.7316919520651564E-2"/>
    <n v="5.5373287853677677E-2"/>
  </r>
  <r>
    <n v="51169546"/>
    <n v="2711206.2068965519"/>
    <n v="2.3516203077126478E-2"/>
    <n v="54261087"/>
    <x v="255"/>
    <n v="3618510.3301902404"/>
    <n v="2481900.6800431302"/>
    <n v="1136609.65014711"/>
    <n v="1799983"/>
    <n v="2633697"/>
    <n v="29600.8620689655"/>
    <n v="54180"/>
    <n v="7912"/>
    <n v="4878"/>
    <n v="4922"/>
    <n v="2881"/>
    <n v="64472"/>
    <n v="121234"/>
    <n v="592754"/>
    <n v="715602"/>
    <n v="169324"/>
    <n v="185820"/>
    <n v="37170"/>
    <n v="58760"/>
    <n v="3458"/>
    <n v="1939"/>
    <n v="576.72413793103499"/>
    <n v="65818"/>
    <n v="1033.6206896551701"/>
    <n v="6045"/>
    <n v="3850854"/>
    <n v="1.064209757222814"/>
    <n v="232343.66980975959"/>
    <n v="0.64840394862911577"/>
    <n v="4.7331187172263957E-2"/>
    <n v="7.0968980035361257E-2"/>
    <n v="9.9366452627453361E-2"/>
  </r>
  <r>
    <n v="49356688"/>
    <n v="2336110.6379310344"/>
    <n v="2.0262734731308407E-2"/>
    <n v="35581461"/>
    <x v="256"/>
    <n v="4967720.0838129297"/>
    <n v="3965889.5507743401"/>
    <n v="1001830.53303859"/>
    <n v="1780921"/>
    <n v="3779157"/>
    <n v="27704.310344827602"/>
    <n v="40528"/>
    <n v="12528"/>
    <n v="39406"/>
    <n v="4369"/>
    <n v="12423"/>
    <n v="50344"/>
    <n v="107758"/>
    <n v="241106"/>
    <n v="456778"/>
    <n v="174010"/>
    <n v="127198"/>
    <n v="37039"/>
    <n v="42019"/>
    <n v="6282"/>
    <n v="7069"/>
    <n v="773.70689655172396"/>
    <n v="21201"/>
    <n v="1033.6206896551701"/>
    <n v="8181"/>
    <n v="4641718"/>
    <n v="0.93437591524627339"/>
    <n v="-326002.08381292969"/>
    <n v="0.50406452158170634"/>
    <n v="0.11130421100196954"/>
    <n v="0.1304532717192248"/>
    <n v="0.28328490856880295"/>
  </r>
  <r>
    <n v="27726860"/>
    <n v="3086116.2758620689"/>
    <n v="2.6768062450650325E-2"/>
    <n v="27689769"/>
    <x v="257"/>
    <n v="5282207.5297296103"/>
    <n v="4255954.5196211003"/>
    <n v="1026253.01010851"/>
    <n v="2148281"/>
    <n v="2887256"/>
    <n v="18573.275862069"/>
    <n v="35264"/>
    <n v="21024"/>
    <n v="19922"/>
    <n v="2539"/>
    <n v="4232"/>
    <n v="119375"/>
    <n v="110075"/>
    <n v="616987"/>
    <n v="345272"/>
    <n v="121950"/>
    <n v="105758"/>
    <n v="30964"/>
    <n v="40323"/>
    <n v="6423"/>
    <n v="4728"/>
    <n v="0"/>
    <n v="22439"/>
    <n v="0"/>
    <n v="3574"/>
    <n v="3578843"/>
    <n v="0.67752790473629809"/>
    <n v="-1703364.5297296103"/>
    <n v="0.11389427620175696"/>
    <n v="0.14324340261017793"/>
    <n v="0.12924784601850597"/>
    <n v="0.23451191788755366"/>
  </r>
  <r>
    <n v="22429730"/>
    <n v="3212910.8448275863"/>
    <n v="2.7867841148886241E-2"/>
    <n v="25822362"/>
    <x v="258"/>
    <n v="4361061.8551802728"/>
    <n v="3503971.3414703701"/>
    <n v="857090.513709903"/>
    <n v="2565352"/>
    <n v="3017053"/>
    <n v="27786.206896551699"/>
    <n v="51909"/>
    <n v="61867"/>
    <n v="14516"/>
    <n v="895"/>
    <n v="6927"/>
    <n v="42777"/>
    <n v="95484"/>
    <n v="318804"/>
    <n v="529899"/>
    <n v="152090"/>
    <n v="149538"/>
    <n v="39436"/>
    <n v="38792"/>
    <n v="2132"/>
    <n v="1486"/>
    <n v="1771.6379310344801"/>
    <n v="26853"/>
    <n v="0"/>
    <n v="491"/>
    <n v="3932948"/>
    <n v="0.90183265695446646"/>
    <n v="-428113.85518027283"/>
    <n v="4.7108996906591427E-2"/>
    <n v="0.13515784763233887"/>
    <n v="0.15230783303247009"/>
    <n v="-7.0796324518772713E-2"/>
  </r>
  <r>
    <n v="27789776"/>
    <n v="3756006.3103448274"/>
    <n v="3.2578491052564808E-2"/>
    <n v="34826656"/>
    <x v="259"/>
    <n v="4239129.4675608054"/>
    <n v="3512446.5907780901"/>
    <n v="726682.87678271497"/>
    <n v="2881595"/>
    <n v="3371374"/>
    <n v="29182.758620689699"/>
    <n v="47470"/>
    <n v="37711"/>
    <n v="40640"/>
    <n v="8906"/>
    <n v="4827"/>
    <n v="89671"/>
    <n v="102089"/>
    <n v="560772"/>
    <n v="502242"/>
    <n v="112089"/>
    <n v="148099"/>
    <n v="30343"/>
    <n v="48000"/>
    <n v="5195"/>
    <n v="4858"/>
    <n v="885.51724137931001"/>
    <n v="25641"/>
    <n v="-343.96551724137902"/>
    <n v="1077"/>
    <n v="4296317"/>
    <n v="1.0134903953457455"/>
    <n v="57187.53243919462"/>
    <n v="7.5113778233104833E-2"/>
    <n v="0.11479893708704396"/>
    <n v="0.12336289191819048"/>
    <n v="4.7848319448440257E-4"/>
  </r>
  <r>
    <n v="34810000"/>
    <n v="3996151"/>
    <n v="3.4661435269592429E-2"/>
    <n v="37710655"/>
    <x v="260"/>
    <n v="4103348.4351300402"/>
    <n v="3006295.81930889"/>
    <n v="1097052.6158211499"/>
    <n v="3137096"/>
    <n v="2976604"/>
    <n v="30500"/>
    <n v="45052"/>
    <n v="48555"/>
    <n v="45739"/>
    <n v="554"/>
    <n v="12969"/>
    <n v="53223"/>
    <n v="113494"/>
    <n v="582614"/>
    <n v="360057"/>
    <n v="109550"/>
    <n v="264636"/>
    <n v="24701"/>
    <n v="23309"/>
    <n v="9358"/>
    <n v="2111"/>
    <n v="0"/>
    <n v="37522"/>
    <n v="0"/>
    <n v="2239"/>
    <n v="3883732"/>
    <n v="0.94647872619106976"/>
    <n v="-219616.43513004016"/>
    <n v="0.17735889631952806"/>
    <n v="9.112243630224505E-2"/>
    <n v="0.10298765693674639"/>
    <n v="4.1715232929806279E-2"/>
  </r>
  <r>
    <n v="36200541"/>
    <n v="3298681.4913793104"/>
    <n v="2.8611790442464907E-2"/>
    <n v="50738084"/>
    <x v="261"/>
    <n v="3091910.722210601"/>
    <n v="2441522.1685973001"/>
    <n v="650388.55361330102"/>
    <n v="2528021"/>
    <n v="2832509"/>
    <n v="32440.517241379301"/>
    <n v="50268"/>
    <n v="31205"/>
    <n v="289"/>
    <n v="6171"/>
    <n v="4622"/>
    <n v="94328"/>
    <n v="121150"/>
    <n v="458250"/>
    <n v="366847"/>
    <n v="104253"/>
    <n v="260109"/>
    <n v="32064"/>
    <n v="29761"/>
    <n v="11786"/>
    <n v="4759"/>
    <n v="162.97413793103499"/>
    <n v="15674"/>
    <n v="0"/>
    <n v="3272"/>
    <n v="3689260"/>
    <n v="1.1931974534382146"/>
    <n v="597349.27778939903"/>
    <n v="0.14776776104867739"/>
    <n v="6.4863648186702011E-2"/>
    <n v="7.2711850924445626E-2"/>
    <n v="2.3882672579176756E-2"/>
  </r>
  <r>
    <n v="49554588"/>
    <n v="3214291.3620689656"/>
    <n v="2.7879815348309793E-2"/>
    <n v="50714241"/>
    <x v="262"/>
    <n v="4245549.8398925532"/>
    <n v="3460317.6521310401"/>
    <n v="785232.18776151305"/>
    <n v="2508912"/>
    <n v="3153105"/>
    <n v="33902.5862068965"/>
    <n v="54916"/>
    <n v="41569"/>
    <n v="13513"/>
    <n v="834"/>
    <n v="5859"/>
    <n v="73408"/>
    <n v="128472"/>
    <n v="439924"/>
    <n v="409226"/>
    <n v="75203"/>
    <n v="267109"/>
    <n v="28962"/>
    <n v="44591"/>
    <n v="9571"/>
    <n v="1420"/>
    <n v="714.39655172413802"/>
    <n v="14426"/>
    <n v="1291.3793103448299"/>
    <n v="6761"/>
    <n v="4099398"/>
    <n v="0.9655752857923694"/>
    <n v="-146151.83989255317"/>
    <n v="8.7800257058687325E-2"/>
    <n v="7.5517659242318791E-2"/>
    <n v="8.0833271269898324E-2"/>
    <n v="1.6266295372064699E-2"/>
  </r>
  <r>
    <n v="49902512"/>
    <n v="3768520.8965517241"/>
    <n v="3.2687038882648331E-2"/>
    <n v="31058679"/>
    <x v="263"/>
    <n v="6691164.0781895295"/>
    <n v="4911835.9222691599"/>
    <n v="1779328.15592037"/>
    <n v="3005335"/>
    <n v="4321094"/>
    <n v="40560.344827586203"/>
    <n v="36627"/>
    <n v="7591"/>
    <n v="22436"/>
    <n v="8870"/>
    <n v="20330"/>
    <n v="114424"/>
    <n v="176536"/>
    <n v="457192"/>
    <n v="452289"/>
    <n v="90772"/>
    <n v="251202"/>
    <n v="35716"/>
    <n v="28276"/>
    <n v="7889"/>
    <n v="2779"/>
    <n v="171.55172413793099"/>
    <n v="13093"/>
    <n v="0"/>
    <n v="5659"/>
    <n v="5330321"/>
    <n v="0.79662087758013234"/>
    <n v="-1360843.0781895295"/>
    <n v="1.322412846014176E-2"/>
    <n v="0.17991389026770591"/>
    <n v="0.17162098233476059"/>
    <n v="6.2184193240384156E-2"/>
  </r>
  <r>
    <n v="29240389"/>
    <n v="5260752.1379310349"/>
    <n v="4.5630212596637749E-2"/>
    <n v="31976240"/>
    <x v="264"/>
    <n v="6941785.4112114906"/>
    <n v="5742753.9171086904"/>
    <n v="1199031.4941028"/>
    <n v="4228644"/>
    <n v="4287790"/>
    <n v="30948.275862069"/>
    <n v="38529"/>
    <n v="30977"/>
    <n v="36826"/>
    <n v="3889"/>
    <n v="953"/>
    <n v="117805"/>
    <n v="121356"/>
    <n v="708970"/>
    <n v="406577"/>
    <n v="87697"/>
    <n v="254184"/>
    <n v="40001"/>
    <n v="30081"/>
    <n v="9770"/>
    <n v="5533"/>
    <n v="1103.44827586207"/>
    <n v="887"/>
    <n v="947.41379310344803"/>
    <n v="344"/>
    <n v="5183060"/>
    <n v="0.74664653154345273"/>
    <n v="-1758725.4112114906"/>
    <n v="0.2283507168461254"/>
    <n v="0.13989631202743075"/>
    <n v="0.16209097755083149"/>
    <n v="6.0156078762215293E-2"/>
  </r>
  <r>
    <n v="30161823"/>
    <n v="4219527.8017241377"/>
    <n v="3.6598939771722044E-2"/>
    <n v="34275787"/>
    <x v="265"/>
    <n v="5513156.1922506103"/>
    <n v="5243987.3870758396"/>
    <n v="269168.805174771"/>
    <n v="3819612"/>
    <n v="3978542"/>
    <n v="28138.793103448301"/>
    <n v="36165"/>
    <n v="70945"/>
    <n v="24340"/>
    <n v="2241"/>
    <n v="3228"/>
    <n v="108115"/>
    <n v="149484"/>
    <n v="130750"/>
    <n v="441246"/>
    <n v="23990"/>
    <n v="228040"/>
    <n v="26470"/>
    <n v="41186"/>
    <n v="9026"/>
    <n v="3984"/>
    <n v="240.008620689655"/>
    <n v="13780"/>
    <n v="0"/>
    <n v="1809"/>
    <n v="4921804"/>
    <n v="0.89273799405831722"/>
    <n v="-591352.19225061033"/>
    <n v="-2.2090804174925593E-2"/>
    <n v="0.14624918591141906"/>
    <n v="0.14359419376716281"/>
    <n v="-4.0097023935995457E-3"/>
  </r>
  <r>
    <n v="34413776"/>
    <n v="5032986.7241379311"/>
    <n v="4.3654642567666969E-2"/>
    <n v="39541570"/>
    <x v="266"/>
    <n v="5242448.90920828"/>
    <n v="4215496.8832882997"/>
    <n v="1026952.02591998"/>
    <n v="3568039"/>
    <n v="3234339"/>
    <n v="27351.724137931"/>
    <n v="37435"/>
    <n v="49010"/>
    <n v="58016"/>
    <n v="1023"/>
    <n v="6453"/>
    <n v="128430"/>
    <n v="128367"/>
    <n v="1012262"/>
    <n v="455726"/>
    <n v="207202"/>
    <n v="249212"/>
    <n v="31837"/>
    <n v="37432"/>
    <n v="7832"/>
    <n v="3326"/>
    <n v="0"/>
    <n v="13556"/>
    <n v="0"/>
    <n v="2368"/>
    <n v="4226230"/>
    <n v="0.8061556866251367"/>
    <n v="-1016218.90920828"/>
    <n v="6.5733112983318298E-2"/>
    <n v="0.1063717820812342"/>
    <n v="0.10688068278523083"/>
    <n v="6.0658741101174307E-2"/>
  </r>
  <r>
    <n v="37280200"/>
    <n v="3965561.3103448274"/>
    <n v="3.4396109322725132E-2"/>
    <n v="43436352"/>
    <x v="267"/>
    <n v="4970929.575501441"/>
    <n v="4134718.76641089"/>
    <n v="836210.80909055099"/>
    <n v="3032045"/>
    <n v="2520346"/>
    <n v="32489.655172413801"/>
    <n v="38602"/>
    <n v="32271"/>
    <n v="31954"/>
    <n v="854"/>
    <n v="6862"/>
    <n v="141184"/>
    <n v="159606"/>
    <n v="537518"/>
    <n v="391280"/>
    <n v="147100"/>
    <n v="234119"/>
    <n v="28015"/>
    <n v="17727"/>
    <n v="5570"/>
    <n v="1869"/>
    <n v="8514.6551724137898"/>
    <n v="16945"/>
    <n v="0"/>
    <n v="1042"/>
    <n v="3420352"/>
    <n v="0.68807090264499937"/>
    <n v="-1550577.575501441"/>
    <n v="7.9569409980039474E-2"/>
    <n v="7.4994828748070924E-2"/>
    <n v="7.8743997654314987E-2"/>
    <n v="2.8168818384501693E-2"/>
  </r>
  <r>
    <n v="42246323"/>
    <n v="3168255.7586206896"/>
    <n v="2.7480516100353687E-2"/>
    <n v="51098491"/>
    <x v="268"/>
    <n v="3687250.413163099"/>
    <n v="2723766.0260986299"/>
    <n v="963484.38706446905"/>
    <n v="2325415"/>
    <n v="2395891"/>
    <n v="32150.8620689655"/>
    <n v="50172"/>
    <n v="53906"/>
    <n v="-1377"/>
    <n v="1765"/>
    <n v="1406"/>
    <n v="83502"/>
    <n v="123639"/>
    <n v="491681"/>
    <n v="275259"/>
    <n v="151968"/>
    <n v="216106"/>
    <n v="22504"/>
    <n v="13220"/>
    <n v="4607"/>
    <n v="1521"/>
    <n v="756.89655172413802"/>
    <n v="4624"/>
    <n v="0"/>
    <n v="2712"/>
    <n v="3083173"/>
    <n v="0.83617130775642312"/>
    <n v="-604077.41316309897"/>
    <n v="0.1112437326400435"/>
    <n v="5.671854473915483E-2"/>
    <n v="6.0337848332938052E-2"/>
    <n v="4.4586923585126614E-2"/>
  </r>
  <r>
    <n v="48917414"/>
    <n v="2774524.534482759"/>
    <n v="2.4065407577408916E-2"/>
    <n v="48916065"/>
    <x v="269"/>
    <n v="4198560.7494607661"/>
    <n v="3249614.9897906198"/>
    <n v="948945.75967014604"/>
    <n v="1949302"/>
    <n v="2720888"/>
    <n v="33178.448275862102"/>
    <n v="46074"/>
    <n v="11242"/>
    <n v="21115"/>
    <n v="4281"/>
    <n v="1523"/>
    <n v="94716"/>
    <n v="56968"/>
    <n v="515813"/>
    <n v="355928"/>
    <n v="133564"/>
    <n v="232846"/>
    <n v="17092"/>
    <n v="33802"/>
    <n v="8878"/>
    <n v="2191"/>
    <n v="6458.0862068965498"/>
    <n v="15640"/>
    <n v="0"/>
    <n v="0"/>
    <n v="3486975"/>
    <n v="0.83051674325489822"/>
    <n v="-711585.74946076609"/>
    <n v="2.7342556031325183E-2"/>
    <n v="6.7618035616147321E-2"/>
    <n v="7.1284863163052881E-2"/>
    <n v="-2.5502996550397561E-2"/>
  </r>
  <r>
    <n v="50196219"/>
    <n v="3394169.7241379311"/>
    <n v="2.9440027212990022E-2"/>
    <m/>
    <x v="270"/>
    <n v="5847755.3289961405"/>
    <n v="4655469.1791051803"/>
    <n v="1192286.14989096"/>
    <n v="2625801"/>
    <m/>
    <n v="32585.344827586199"/>
    <m/>
    <n v="-5250"/>
    <m/>
    <n v="868"/>
    <m/>
    <n v="97488"/>
    <m/>
    <n v="448438"/>
    <m/>
    <n v="152669"/>
    <m/>
    <n v="32751"/>
    <m/>
    <n v="8303"/>
    <m/>
    <n v="516.37931034482801"/>
    <m/>
    <n v="0"/>
    <m/>
    <n v="0"/>
    <n v="0"/>
    <n v="-5847755.3289961405"/>
    <n v="-1"/>
    <n v="0.15569618443092395"/>
    <e v="#DIV/0!"/>
    <n v="-1"/>
  </r>
  <r>
    <n v="28392462"/>
    <n v="4420598"/>
    <n v="3.834296337397905E-2"/>
    <m/>
    <x v="271"/>
    <n v="6675436.1487542298"/>
    <n v="5465858.3723724801"/>
    <n v="1209577.7763817499"/>
    <n v="3385820"/>
    <m/>
    <n v="30803.448275862102"/>
    <m/>
    <n v="62947"/>
    <m/>
    <n v="3822"/>
    <m/>
    <n v="93490"/>
    <m/>
    <n v="662792"/>
    <m/>
    <n v="132803"/>
    <m/>
    <n v="35780"/>
    <m/>
    <n v="6759"/>
    <m/>
    <n v="5581.5517241379303"/>
    <m/>
    <n v="0"/>
    <m/>
    <n v="0"/>
    <n v="0"/>
    <n v="-6675436.1487542298"/>
    <n v="-1"/>
    <n v="0.1606790171733688"/>
    <e v="#DIV/0!"/>
    <n v="-1"/>
  </r>
  <r>
    <n v="31463170"/>
    <n v="5055471.2327586217"/>
    <n v="4.3849666564539126E-2"/>
    <m/>
    <x v="272"/>
    <n v="4489379.3603481036"/>
    <n v="3581187.8061755002"/>
    <n v="908191.55417260295"/>
    <n v="4032670"/>
    <m/>
    <n v="36310.344827586203"/>
    <m/>
    <n v="32319"/>
    <m/>
    <n v="5531"/>
    <m/>
    <n v="92689"/>
    <m/>
    <n v="711212"/>
    <m/>
    <n v="102182"/>
    <m/>
    <n v="36207"/>
    <m/>
    <n v="5283"/>
    <m/>
    <n v="1067.8879310344801"/>
    <m/>
    <n v="0"/>
    <m/>
    <n v="0"/>
    <n v="0"/>
    <n v="-4489379.3603481036"/>
    <n v="-1"/>
    <n v="0.13411267102576951"/>
    <e v="#DIV/0!"/>
    <n v="-1"/>
  </r>
  <r>
    <n v="35229204"/>
    <n v="4724682.6465517236"/>
    <n v="3.504005182694659E-2"/>
    <m/>
    <x v="273"/>
    <n v="6234160.2586209103"/>
    <n v="5054886.4743162701"/>
    <n v="1179273.78430464"/>
    <n v="3666861"/>
    <m/>
    <n v="32700"/>
    <m/>
    <n v="61161"/>
    <m/>
    <n v="4101"/>
    <m/>
    <n v="118698"/>
    <m/>
    <n v="660285"/>
    <m/>
    <n v="134226"/>
    <m/>
    <n v="33430"/>
    <m/>
    <n v="4950"/>
    <m/>
    <n v="7668.0603448275897"/>
    <m/>
    <n v="602.58620689655197"/>
    <m/>
    <n v="0"/>
    <n v="0"/>
    <n v="-6234160.2586209103"/>
    <n v="-1"/>
    <n v="0.10301436205853891"/>
    <e v="#DIV/0!"/>
    <n v="-1"/>
  </r>
  <r>
    <n v="40655242"/>
    <n v="4188073.8189655175"/>
    <n v="3.1060355721189984E-2"/>
    <m/>
    <x v="274"/>
    <n v="5518562.2028435636"/>
    <n v="4578711.6651646504"/>
    <n v="939850.53767891298"/>
    <n v="3300421"/>
    <m/>
    <n v="32825.8620689655"/>
    <m/>
    <n v="37692"/>
    <m/>
    <n v="7757"/>
    <m/>
    <n v="138994"/>
    <m/>
    <n v="486606"/>
    <m/>
    <n v="138868"/>
    <m/>
    <n v="29586"/>
    <m/>
    <n v="6542"/>
    <m/>
    <n v="7145.75"/>
    <m/>
    <n v="1636.2068965517201"/>
    <m/>
    <n v="0"/>
    <n v="0"/>
    <n v="-5518562.2028435636"/>
    <n v="-1"/>
    <n v="8.1622369023297725E-2"/>
    <e v="#DIV/0!"/>
    <n v="-1"/>
  </r>
  <r>
    <n v="40527045"/>
    <n v="3307913.4224137929"/>
    <n v="2.4532749907557765E-2"/>
    <m/>
    <x v="275"/>
    <n v="4366021.8084425963"/>
    <n v="3522611.92870137"/>
    <n v="843409.87974122597"/>
    <n v="2511111"/>
    <m/>
    <n v="29472.413793103398"/>
    <m/>
    <n v="35787"/>
    <m/>
    <n v="2591"/>
    <m/>
    <n v="127358"/>
    <m/>
    <n v="439292"/>
    <m/>
    <n v="130492"/>
    <m/>
    <n v="25977"/>
    <m/>
    <n v="5364"/>
    <m/>
    <n v="469.008620689655"/>
    <m/>
    <n v="0"/>
    <m/>
    <n v="0"/>
    <n v="0"/>
    <n v="-4366021.8084425963"/>
    <n v="-1"/>
    <n v="5.5942387191759008E-2"/>
    <e v="#DIV/0!"/>
    <n v="-1"/>
  </r>
  <r>
    <n v="52851490"/>
    <n v="2956638.5172413792"/>
    <n v="2.192756098725419E-2"/>
    <m/>
    <x v="276"/>
    <n v="3913033.7729016151"/>
    <n v="3010378.3927468699"/>
    <n v="902655.38015474495"/>
    <n v="2157345"/>
    <m/>
    <n v="34722.413793103398"/>
    <m/>
    <n v="15783"/>
    <m/>
    <n v="-491"/>
    <m/>
    <n v="105426"/>
    <m/>
    <n v="459901"/>
    <m/>
    <n v="150843"/>
    <m/>
    <n v="25838"/>
    <m/>
    <n v="5526"/>
    <m/>
    <n v="1745.10344827586"/>
    <m/>
    <n v="0"/>
    <m/>
    <n v="0"/>
    <n v="0"/>
    <n v="-3913033.7729016151"/>
    <n v="-1"/>
    <n v="6.411962314461904E-2"/>
    <e v="#DIV/0!"/>
    <n v="-1"/>
  </r>
  <r>
    <n v="51164374"/>
    <n v="3280640.3793103448"/>
    <n v="2.4330482598763841E-2"/>
    <m/>
    <x v="277"/>
    <n v="4324654.7879951037"/>
    <n v="3563234.60019344"/>
    <n v="761420.187801664"/>
    <n v="2589139"/>
    <m/>
    <n v="24383.620689655199"/>
    <m/>
    <n v="18991"/>
    <m/>
    <n v="-1894"/>
    <m/>
    <n v="106909"/>
    <m/>
    <n v="323111"/>
    <m/>
    <n v="170727"/>
    <m/>
    <n v="38180"/>
    <m/>
    <n v="8511"/>
    <m/>
    <n v="1032.7586206896599"/>
    <m/>
    <n v="1550"/>
    <m/>
    <n v="0"/>
    <n v="0"/>
    <n v="-4324654.7879951037"/>
    <n v="-1"/>
    <n v="0.15058944151525389"/>
    <e v="#DIV/0!"/>
    <n v="-1"/>
  </r>
  <r>
    <n v="28890790"/>
    <n v="4350647.9310344821"/>
    <n v="3.226606745651129E-2"/>
    <m/>
    <x v="278"/>
    <n v="5760835.2214753805"/>
    <n v="4392539.2660790402"/>
    <n v="1368295.95539634"/>
    <n v="3206472"/>
    <m/>
    <n v="24687.068965517199"/>
    <m/>
    <n v="60560"/>
    <m/>
    <n v="-2415"/>
    <m/>
    <n v="85355"/>
    <m/>
    <n v="749807"/>
    <m/>
    <n v="180881"/>
    <m/>
    <n v="39968"/>
    <m/>
    <n v="4257"/>
    <m/>
    <n v="1075.8620689655199"/>
    <m/>
    <n v="0"/>
    <m/>
    <n v="0"/>
    <n v="0"/>
    <n v="-5760835.2214753805"/>
    <n v="-1"/>
    <n v="0.14008895755054906"/>
    <e v="#DIV/0!"/>
    <n v="-1"/>
  </r>
  <r>
    <n v="32567490"/>
    <n v="4562345.7241379311"/>
    <n v="3.3836099180739154E-2"/>
    <m/>
    <x v="279"/>
    <n v="6011868.5632571001"/>
    <n v="4986156.6558287097"/>
    <n v="1025711.90742839"/>
    <n v="3626258"/>
    <m/>
    <n v="33481.896551724101"/>
    <m/>
    <n v="54703"/>
    <m/>
    <n v="2927"/>
    <m/>
    <n v="113348"/>
    <m/>
    <n v="522052"/>
    <m/>
    <n v="144499"/>
    <m/>
    <n v="55307"/>
    <m/>
    <n v="7575"/>
    <m/>
    <n v="1506.03448275862"/>
    <m/>
    <n v="688.79310344827604"/>
    <m/>
    <n v="0"/>
    <n v="0"/>
    <n v="-6011868.5632571001"/>
    <n v="-1"/>
    <n v="0.14780999880499757"/>
    <e v="#DIV/0!"/>
    <n v="-1"/>
  </r>
  <r>
    <n v="34762879"/>
    <n v="5138301.1034482755"/>
    <n v="3.810760434855661E-2"/>
    <m/>
    <x v="280"/>
    <n v="6772646.4787645806"/>
    <n v="5591832.0265857"/>
    <n v="1180814.4521788801"/>
    <n v="4043316"/>
    <m/>
    <n v="36340.517241379297"/>
    <m/>
    <n v="109501"/>
    <m/>
    <n v="1656"/>
    <m/>
    <n v="105227"/>
    <m/>
    <n v="614752"/>
    <m/>
    <n v="153038"/>
    <m/>
    <n v="62307"/>
    <m/>
    <n v="10011"/>
    <m/>
    <n v="1463.7931034482799"/>
    <m/>
    <n v="688.79310344827604"/>
    <m/>
    <n v="0"/>
    <n v="0"/>
    <n v="-6772646.4787645806"/>
    <n v="-1"/>
    <n v="9.9308740370839338E-2"/>
    <e v="#DIV/0!"/>
    <n v="-1"/>
  </r>
  <r>
    <n v="39983455"/>
    <n v="3970706.5517241382"/>
    <n v="2.9448277010426509E-2"/>
    <m/>
    <x v="281"/>
    <n v="5252498.6652221"/>
    <n v="4076966.2611807398"/>
    <n v="1175532.4040413599"/>
    <n v="2935762"/>
    <m/>
    <n v="36452.5862068965"/>
    <m/>
    <n v="11636"/>
    <m/>
    <n v="6503"/>
    <m/>
    <n v="141860"/>
    <m/>
    <n v="640869"/>
    <m/>
    <n v="128902"/>
    <m/>
    <n v="53273"/>
    <m/>
    <n v="14605"/>
    <m/>
    <n v="843.96551724137896"/>
    <m/>
    <n v="0"/>
    <m/>
    <n v="0"/>
    <n v="0"/>
    <n v="-5252498.6652221"/>
    <n v="-1"/>
    <n v="0.10905444500159932"/>
    <e v="#DIV/0!"/>
    <n v="-1"/>
  </r>
  <r>
    <n v="42763583"/>
    <n v="4663558.8103448274"/>
    <n v="3.4586734101974187E-2"/>
    <m/>
    <x v="282"/>
    <n v="6163557.00068356"/>
    <n v="4859127.3407384502"/>
    <n v="1304429.6599451101"/>
    <n v="3483391"/>
    <m/>
    <n v="38300"/>
    <m/>
    <n v="25004"/>
    <m/>
    <n v="0"/>
    <m/>
    <n v="186430"/>
    <m/>
    <n v="732700"/>
    <m/>
    <n v="129327"/>
    <m/>
    <n v="38381"/>
    <m/>
    <n v="15134"/>
    <m/>
    <n v="14030.603448275901"/>
    <m/>
    <n v="861.20689655172396"/>
    <m/>
    <n v="0"/>
    <n v="0"/>
    <n v="-6163557.00068356"/>
    <n v="-1"/>
    <n v="7.7202167829212284E-2"/>
    <e v="#DIV/0!"/>
    <n v="-1"/>
  </r>
  <r>
    <n v="58985064"/>
    <n v="4553774.8103448274"/>
    <n v="3.3772534009069093E-2"/>
    <m/>
    <x v="283"/>
    <n v="6002134.4204214998"/>
    <n v="4956553.4484463399"/>
    <n v="1045580.9719751599"/>
    <n v="3555883"/>
    <m/>
    <n v="40308.620689655203"/>
    <m/>
    <n v="31280"/>
    <m/>
    <n v="2597"/>
    <m/>
    <n v="177906"/>
    <m/>
    <n v="582185"/>
    <m/>
    <n v="99364"/>
    <m/>
    <n v="49257"/>
    <m/>
    <n v="13284"/>
    <m/>
    <n v="1710.1896551724101"/>
    <m/>
    <n v="0"/>
    <m/>
    <n v="0"/>
    <n v="0"/>
    <n v="-6002134.4204214998"/>
    <n v="-1"/>
    <n v="0.10004550558837402"/>
    <e v="#DIV/0!"/>
    <n v="-1"/>
  </r>
  <r>
    <n v="59452948"/>
    <n v="5948000.2413793104"/>
    <n v="4.4112642544729318E-2"/>
    <m/>
    <x v="284"/>
    <n v="7800801.1742279902"/>
    <n v="6980063.5872923797"/>
    <n v="820737.58693561004"/>
    <n v="5079374"/>
    <m/>
    <n v="33968.103448275797"/>
    <m/>
    <n v="0"/>
    <m/>
    <n v="7846"/>
    <m/>
    <n v="241390"/>
    <m/>
    <n v="416113"/>
    <m/>
    <n v="102685"/>
    <m/>
    <n v="46963"/>
    <m/>
    <n v="17337"/>
    <m/>
    <n v="1118.96551724138"/>
    <m/>
    <n v="1205.1724137931001"/>
    <m/>
    <n v="0"/>
    <n v="0"/>
    <n v="-7800801.1742279902"/>
    <n v="-1"/>
    <n v="0.15647554353299239"/>
    <e v="#DIV/0!"/>
    <n v="-1"/>
  </r>
  <r>
    <n v="30334126"/>
    <n v="4746548.8534482764"/>
    <n v="3.5202219972456462E-2"/>
    <m/>
    <x v="285"/>
    <n v="6264741.6938360697"/>
    <n v="5055847.5221082997"/>
    <n v="1208894.17172777"/>
    <n v="3532434"/>
    <m/>
    <n v="27835.344827586199"/>
    <m/>
    <n v="56747"/>
    <m/>
    <n v="6296"/>
    <m/>
    <n v="260947"/>
    <m/>
    <n v="696035"/>
    <m/>
    <n v="89849"/>
    <m/>
    <n v="44082"/>
    <m/>
    <n v="19797"/>
    <m/>
    <n v="12526.508620689699"/>
    <m/>
    <n v="0"/>
    <m/>
    <n v="0"/>
    <n v="0"/>
    <n v="-6264741.6938360697"/>
    <n v="-1"/>
    <n v="0.19690160847885563"/>
    <e v="#DIV/0!"/>
    <n v="-1"/>
  </r>
  <r>
    <n v="36736864"/>
    <n v="7233547.612068966"/>
    <n v="5.3646753058551176E-2"/>
    <m/>
    <x v="286"/>
    <n v="9516697.0984582193"/>
    <n v="8100771.2561988896"/>
    <n v="1415925.84225933"/>
    <n v="5860826"/>
    <m/>
    <n v="34962.931034482703"/>
    <m/>
    <n v="51290"/>
    <m/>
    <n v="8434"/>
    <m/>
    <n v="268072"/>
    <m/>
    <n v="843210"/>
    <m/>
    <n v="87564"/>
    <m/>
    <n v="54009"/>
    <m/>
    <n v="8460"/>
    <m/>
    <n v="16719.681034482801"/>
    <m/>
    <n v="0"/>
    <m/>
    <n v="0"/>
    <n v="0"/>
    <n v="-9516697.0984582193"/>
    <n v="-1"/>
    <n v="0.14362521307931883"/>
    <e v="#DIV/0!"/>
    <n v="-1"/>
  </r>
  <r>
    <n v="38912618"/>
    <n v="5588833.0517241377"/>
    <n v="4.1448921427028163E-2"/>
    <m/>
    <x v="287"/>
    <n v="7357115.1101991897"/>
    <n v="6203615.4278781796"/>
    <n v="1153499.6823210099"/>
    <n v="4393558"/>
    <m/>
    <n v="34782.758620689601"/>
    <m/>
    <n v="52617"/>
    <m/>
    <n v="5393"/>
    <m/>
    <n v="279705"/>
    <m/>
    <n v="668950"/>
    <m/>
    <n v="93705"/>
    <m/>
    <n v="42427"/>
    <m/>
    <n v="12416"/>
    <m/>
    <n v="4590.5"/>
    <m/>
    <n v="688.79310344827604"/>
    <m/>
    <n v="0"/>
    <n v="0"/>
    <n v="-7357115.1101991897"/>
    <n v="-1"/>
    <n v="0.10456272839443309"/>
    <e v="#DIV/0!"/>
    <n v="-1"/>
  </r>
  <r>
    <n v="46278011"/>
    <n v="4838955.0948275868"/>
    <n v="3.5887539967319512E-2"/>
    <m/>
    <x v="288"/>
    <n v="6376006.9473173004"/>
    <n v="5293050.47276734"/>
    <n v="1082956.4745499601"/>
    <n v="3659618"/>
    <m/>
    <n v="37947.413793103398"/>
    <m/>
    <n v="37369"/>
    <m/>
    <n v="9908"/>
    <m/>
    <n v="321653"/>
    <m/>
    <n v="573332"/>
    <m/>
    <n v="132053"/>
    <m/>
    <n v="44310"/>
    <m/>
    <n v="14263"/>
    <m/>
    <n v="6779.2672413793098"/>
    <m/>
    <n v="1722.41379310345"/>
    <m/>
    <n v="0"/>
    <n v="0"/>
    <n v="-6376006.9473173004"/>
    <n v="-1"/>
    <n v="8.949790217765427E-2"/>
    <e v="#DIV/0!"/>
    <n v="-1"/>
  </r>
  <r>
    <n v="43693955"/>
    <n v="3910517.3103448278"/>
    <n v="2.9001890597807896E-2"/>
    <m/>
    <x v="289"/>
    <n v="5173649.6724917796"/>
    <n v="4005176.3232548898"/>
    <n v="1168473.34923689"/>
    <n v="2757514"/>
    <m/>
    <n v="38559.482758620703"/>
    <m/>
    <n v="28828"/>
    <m/>
    <n v="2569"/>
    <m/>
    <n v="249589"/>
    <m/>
    <n v="603059"/>
    <m/>
    <n v="182555"/>
    <m/>
    <n v="33984"/>
    <m/>
    <n v="6959"/>
    <m/>
    <n v="6900.8275862069004"/>
    <m/>
    <n v="0"/>
    <m/>
    <n v="0"/>
    <n v="0"/>
    <n v="-5173649.6724917796"/>
    <n v="-1"/>
    <n v="5.2087410632322077E-2"/>
    <e v="#DIV/0!"/>
    <n v="-1"/>
  </r>
  <r>
    <n v="58058265"/>
    <n v="3024104.6896551726"/>
    <n v="2.2427915900968955E-2"/>
    <m/>
    <x v="290"/>
    <n v="4011449.9742653999"/>
    <n v="2960673.6580391498"/>
    <n v="1050776.31622625"/>
    <n v="2057157"/>
    <m/>
    <n v="39201.724137931"/>
    <m/>
    <n v="21446"/>
    <m/>
    <n v="128"/>
    <m/>
    <n v="156666"/>
    <m/>
    <n v="518617"/>
    <m/>
    <n v="193438"/>
    <m/>
    <n v="25309"/>
    <m/>
    <n v="10273"/>
    <m/>
    <n v="1868.96551724138"/>
    <m/>
    <n v="0"/>
    <m/>
    <n v="0"/>
    <n v="0"/>
    <n v="-4011449.9742653999"/>
    <n v="-1"/>
    <n v="6.3572612553030358E-2"/>
    <e v="#DIV/0!"/>
    <n v="-1"/>
  </r>
  <r>
    <n v="57993512"/>
    <n v="3686799.068965517"/>
    <n v="2.7342710636104921E-2"/>
    <m/>
    <x v="291"/>
    <n v="4889287.8269058503"/>
    <n v="3625305.0828013201"/>
    <n v="1263982.74410453"/>
    <n v="2619522"/>
    <m/>
    <n v="32746.551724137898"/>
    <m/>
    <n v="2872"/>
    <m/>
    <n v="3770"/>
    <m/>
    <n v="126305"/>
    <m/>
    <n v="624995"/>
    <m/>
    <n v="224236"/>
    <m/>
    <n v="42542"/>
    <m/>
    <n v="7745"/>
    <m/>
    <n v="1462.93103448276"/>
    <m/>
    <n v="602.58620689655197"/>
    <m/>
    <n v="0"/>
    <n v="0"/>
    <n v="-4889287.8269058503"/>
    <n v="-1"/>
    <n v="0.1403258425852103"/>
    <e v="#DIV/0!"/>
    <n v="-1"/>
  </r>
  <r>
    <n v="32252775"/>
    <n v="4525897.8275862066"/>
    <n v="3.3565787653024648E-2"/>
    <m/>
    <x v="292"/>
    <n v="5933000.9059289787"/>
    <n v="5346404.4691381902"/>
    <n v="586596.43679078901"/>
    <n v="3847226"/>
    <m/>
    <n v="31251.724137931"/>
    <m/>
    <n v="55327"/>
    <m/>
    <n v="3409"/>
    <m/>
    <n v="170272"/>
    <m/>
    <n v="271999"/>
    <m/>
    <n v="100871"/>
    <m/>
    <n v="38995"/>
    <m/>
    <n v="5429"/>
    <m/>
    <n v="429.31034482758599"/>
    <m/>
    <n v="688.79310344827604"/>
    <m/>
    <n v="0"/>
    <n v="0"/>
    <n v="-5933000.9059289787"/>
    <n v="-1"/>
    <n v="0.15297330886264721"/>
    <e v="#DIV/0!"/>
    <n v="-1"/>
  </r>
  <r>
    <n v="35044736"/>
    <n v="5360909.2241379311"/>
    <n v="3.9758551231043555E-2"/>
    <m/>
    <x v="293"/>
    <n v="7101295.3491040505"/>
    <n v="5376980.9326536804"/>
    <n v="1724314.4164503701"/>
    <n v="3931017"/>
    <m/>
    <n v="32601.724137931"/>
    <m/>
    <n v="9294"/>
    <m/>
    <n v="2891"/>
    <m/>
    <n v="155173"/>
    <m/>
    <n v="877636"/>
    <m/>
    <n v="293673"/>
    <m/>
    <n v="44439"/>
    <m/>
    <n v="6738"/>
    <m/>
    <n v="7446.5"/>
    <m/>
    <n v="0"/>
    <m/>
    <n v="0"/>
    <n v="0"/>
    <n v="-7101295.3491040505"/>
    <n v="-1"/>
    <n v="0.14335070901016397"/>
    <e v="#DIV/0!"/>
    <n v="-1"/>
  </r>
  <r>
    <n v="38948520"/>
    <n v="5583297.9568965519"/>
    <n v="4.1407871048804938E-2"/>
    <m/>
    <x v="294"/>
    <n v="7377712.3098019995"/>
    <n v="5835740.0944034997"/>
    <n v="1541972.2153985"/>
    <n v="4257253"/>
    <m/>
    <n v="28862.931034482801"/>
    <m/>
    <n v="58162"/>
    <m/>
    <n v="4241"/>
    <m/>
    <n v="134909"/>
    <m/>
    <n v="802589"/>
    <m/>
    <n v="231059"/>
    <m/>
    <n v="43400"/>
    <m/>
    <n v="12873"/>
    <m/>
    <n v="9949.0258620689692"/>
    <m/>
    <n v="0"/>
    <m/>
    <n v="0"/>
    <n v="0"/>
    <n v="-7377712.3098019995"/>
    <n v="-1"/>
    <n v="0.10721433301361773"/>
    <e v="#DIV/0!"/>
    <n v="-1"/>
  </r>
  <r>
    <n v="43242417"/>
    <n v="4636206.8965517245"/>
    <n v="3.4383881858008974E-2"/>
    <m/>
    <x v="295"/>
    <n v="6124530.4343229504"/>
    <n v="4867953.0287912004"/>
    <n v="1256577.4055317501"/>
    <n v="3461017"/>
    <m/>
    <n v="26515.517241379301"/>
    <m/>
    <n v="97029"/>
    <m/>
    <n v="4241"/>
    <m/>
    <n v="151103"/>
    <m/>
    <n v="627269"/>
    <m/>
    <n v="217360"/>
    <m/>
    <n v="37546"/>
    <m/>
    <n v="11591"/>
    <m/>
    <n v="2535.3793103448302"/>
    <m/>
    <n v="0"/>
    <m/>
    <n v="0"/>
    <n v="0"/>
    <n v="-6124530.4343229504"/>
    <n v="-1"/>
    <n v="8.4929141839281991E-2"/>
    <e v="#DIV/0!"/>
    <n v="-1"/>
  </r>
  <r>
    <n v="42069566"/>
    <n v="3572932.1379310349"/>
    <n v="2.6498229966543843E-2"/>
    <m/>
    <x v="296"/>
    <n v="4725181.9509325605"/>
    <n v="3683283.0781274401"/>
    <n v="1041898.87280512"/>
    <n v="2656715"/>
    <m/>
    <n v="22585.344827586199"/>
    <m/>
    <n v="27735"/>
    <m/>
    <n v="1495"/>
    <m/>
    <n v="121228"/>
    <m/>
    <n v="505230"/>
    <m/>
    <n v="186135"/>
    <m/>
    <n v="27757"/>
    <m/>
    <n v="5852"/>
    <m/>
    <n v="17338.586206896602"/>
    <m/>
    <n v="861.20689655172396"/>
    <m/>
    <n v="0"/>
    <n v="0"/>
    <n v="-4725181.9509325605"/>
    <n v="-1"/>
    <n v="5.3434890227021067E-2"/>
    <e v="#DIV/0!"/>
    <n v="-1"/>
  </r>
  <r>
    <n v="52693132"/>
    <n v="2815651.7241379311"/>
    <n v="2.0881949057981995E-2"/>
    <m/>
    <x v="297"/>
    <n v="3733752.2378137349"/>
    <n v="2771986.6099905199"/>
    <n v="961765.62782321498"/>
    <n v="2019623"/>
    <m/>
    <n v="28975"/>
    <m/>
    <n v="-2410"/>
    <m/>
    <n v="41"/>
    <m/>
    <n v="83407"/>
    <m/>
    <n v="490357"/>
    <m/>
    <n v="162629"/>
    <m/>
    <n v="25730"/>
    <m/>
    <n v="6748"/>
    <m/>
    <n v="551.72413793103499"/>
    <m/>
    <n v="0"/>
    <m/>
    <n v="0"/>
    <n v="0"/>
    <n v="-3733752.2378137349"/>
    <n v="-1"/>
    <n v="6.9850905135859662E-2"/>
    <e v="#DIV/0!"/>
    <n v="-1"/>
  </r>
  <r>
    <n v="50632279"/>
    <n v="3536710.5172413792"/>
    <n v="2.6229596587083348E-2"/>
    <m/>
    <x v="298"/>
    <n v="4681022.4112888705"/>
    <n v="3597380.65696972"/>
    <n v="1083641.75431915"/>
    <n v="2657024"/>
    <m/>
    <n v="30806.034482758601"/>
    <m/>
    <n v="-4552"/>
    <m/>
    <n v="130"/>
    <m/>
    <n v="80354"/>
    <m/>
    <n v="573146"/>
    <m/>
    <n v="162092"/>
    <m/>
    <n v="29698"/>
    <m/>
    <n v="3328"/>
    <m/>
    <n v="3048.2758620689701"/>
    <m/>
    <n v="1636.2068965517201"/>
    <m/>
    <n v="0"/>
    <n v="0"/>
    <n v="-4681022.4112888705"/>
    <n v="-1"/>
    <n v="0.17410433865774438"/>
    <e v="#DIV/0!"/>
    <n v="-1"/>
  </r>
  <r>
    <n v="27179504"/>
    <n v="4732069.5689655179"/>
    <n v="3.5094836066139862E-2"/>
    <m/>
    <x v="299"/>
    <n v="6238996.0183507893"/>
    <n v="5126502.1740799397"/>
    <n v="1112493.8442708501"/>
    <n v="3776827"/>
    <m/>
    <n v="29792.241379310301"/>
    <m/>
    <n v="64916"/>
    <m/>
    <n v="3260"/>
    <m/>
    <n v="63746"/>
    <m/>
    <n v="549556"/>
    <m/>
    <n v="173311"/>
    <m/>
    <n v="35148"/>
    <m/>
    <n v="7879"/>
    <m/>
    <n v="26773.120689655199"/>
    <m/>
    <n v="861.20689655172396"/>
    <m/>
    <n v="0"/>
    <n v="0"/>
    <n v="-6238996.0183507893"/>
    <n v="-1"/>
    <n v="0.15125872381941793"/>
    <e v="#DIV/0!"/>
    <n v="-1"/>
  </r>
  <r>
    <n v="30046512"/>
    <n v="4544797.0603448264"/>
    <n v="3.3705951584634936E-2"/>
    <m/>
    <x v="300"/>
    <n v="5972355.2516823364"/>
    <n v="5179593.4218156897"/>
    <n v="792761.82986664702"/>
    <n v="3810274"/>
    <m/>
    <n v="28745.689655172398"/>
    <m/>
    <n v="-671"/>
    <m/>
    <n v="2634"/>
    <m/>
    <n v="138347"/>
    <m/>
    <n v="371112"/>
    <m/>
    <n v="145967"/>
    <m/>
    <n v="36008"/>
    <m/>
    <n v="9114"/>
    <m/>
    <n v="682.75"/>
    <m/>
    <n v="2583.6206896551698"/>
    <m/>
    <n v="0"/>
    <n v="0"/>
    <n v="-5972355.2516823364"/>
    <n v="-1"/>
    <n v="0.13241817960794397"/>
    <e v="#DIV/0!"/>
    <n v="-1"/>
  </r>
  <r>
    <n v="32503062"/>
    <n v="4303996.3017241387"/>
    <n v="3.1920081147771805E-2"/>
    <m/>
    <x v="301"/>
    <n v="5667398.9249175191"/>
    <n v="4756204.5172217404"/>
    <n v="911194.40769577899"/>
    <n v="3411835"/>
    <m/>
    <n v="32697.413793103398"/>
    <m/>
    <n v="103284"/>
    <m/>
    <n v="6626"/>
    <m/>
    <n v="99610"/>
    <m/>
    <n v="451504"/>
    <m/>
    <n v="161597"/>
    <m/>
    <n v="29605"/>
    <m/>
    <n v="6174"/>
    <m/>
    <n v="1063.8879310344801"/>
    <m/>
    <n v="0"/>
    <m/>
    <n v="0"/>
    <n v="0"/>
    <n v="-5667398.9249175191"/>
    <n v="-1"/>
    <n v="8.5811165338737158E-2"/>
    <e v="#DIV/0!"/>
    <n v="-1"/>
  </r>
  <r>
    <n v="36140823"/>
    <n v="3101286.1379310344"/>
    <n v="2.3000323012722548E-2"/>
    <m/>
    <x v="302"/>
    <n v="4087894.046608422"/>
    <n v="3372708.1321647498"/>
    <n v="715185.91444367205"/>
    <n v="2388298"/>
    <m/>
    <n v="26326.724137931"/>
    <m/>
    <n v="50337"/>
    <m/>
    <n v="4122"/>
    <m/>
    <n v="122069"/>
    <m/>
    <n v="313708"/>
    <m/>
    <n v="168402"/>
    <m/>
    <n v="24166"/>
    <m/>
    <n v="3722"/>
    <m/>
    <n v="135.413793103448"/>
    <m/>
    <n v="0"/>
    <m/>
    <n v="0"/>
    <n v="0"/>
    <n v="-4087894.046608422"/>
    <n v="-1"/>
    <n v="9.2823990611015622E-2"/>
    <e v="#DIV/0!"/>
    <n v="-1"/>
  </r>
  <r>
    <n v="37148684"/>
    <n v="3448289.0948275863"/>
    <n v="2.5573829532283827E-2"/>
    <m/>
    <x v="303"/>
    <n v="4562047.2741711605"/>
    <n v="3532671.2875747802"/>
    <n v="1029375.98659638"/>
    <n v="2518660"/>
    <m/>
    <n v="25826.724137931"/>
    <m/>
    <n v="91252"/>
    <m/>
    <n v="2632"/>
    <m/>
    <n v="75677"/>
    <m/>
    <n v="539551"/>
    <m/>
    <n v="143470"/>
    <m/>
    <n v="48956"/>
    <m/>
    <n v="2157"/>
    <m/>
    <n v="-667.62931034482699"/>
    <m/>
    <n v="775"/>
    <m/>
    <n v="0"/>
    <n v="0"/>
    <n v="-4562047.2741711605"/>
    <n v="-1"/>
    <n v="6.1332516268645478E-2"/>
    <e v="#DIV/0!"/>
    <n v="-1"/>
  </r>
  <r>
    <n v="38306116"/>
    <n v="2349410.4827586208"/>
    <n v="1.3946712552076792E-2"/>
    <m/>
    <x v="304"/>
    <n v="3110331.7005311521"/>
    <n v="2352862.0725459899"/>
    <n v="757469.62798516196"/>
    <n v="1683835"/>
    <m/>
    <n v="24736.206896551699"/>
    <m/>
    <n v="-1342"/>
    <m/>
    <n v="3614"/>
    <m/>
    <n v="101714"/>
    <m/>
    <n v="370351"/>
    <m/>
    <n v="133732"/>
    <m/>
    <n v="24368"/>
    <m/>
    <n v="7154"/>
    <m/>
    <n v="1248.2758620689699"/>
    <m/>
    <n v="0"/>
    <m/>
    <n v="0"/>
    <n v="0"/>
    <n v="-3110331.7005311521"/>
    <n v="-1"/>
    <n v="7.8516705556695016E-2"/>
    <e v="#DIV/0!"/>
    <n v="-1"/>
  </r>
  <r>
    <n v="39057895"/>
    <n v="3066697.2413793104"/>
    <n v="1.8204713575443062E-2"/>
    <m/>
    <x v="305"/>
    <n v="4033364.4534092778"/>
    <n v="3376787.98777891"/>
    <n v="656576.46563036798"/>
    <n v="2484015"/>
    <m/>
    <n v="31896.551724137898"/>
    <m/>
    <n v="5110"/>
    <m/>
    <n v="809"/>
    <m/>
    <n v="79521"/>
    <m/>
    <n v="252270"/>
    <m/>
    <n v="160805"/>
    <m/>
    <n v="44223"/>
    <m/>
    <n v="6928"/>
    <m/>
    <n v="1119.6896551724101"/>
    <m/>
    <n v="0"/>
    <m/>
    <n v="0"/>
    <n v="0"/>
    <n v="-4033364.4534092778"/>
    <n v="-1"/>
    <n v="0.12197507161805875"/>
    <e v="#DIV/0!"/>
    <n v="-1"/>
  </r>
  <r>
    <n v="34119561"/>
    <n v="4161735.8965517241"/>
    <n v="2.4705148245833294E-2"/>
    <m/>
    <x v="306"/>
    <n v="5498447.4894344397"/>
    <n v="4296459.3403919199"/>
    <n v="1201988.14904252"/>
    <n v="3169867"/>
    <m/>
    <n v="37387.068965517203"/>
    <m/>
    <n v="28365"/>
    <m/>
    <n v="5684"/>
    <m/>
    <n v="68529"/>
    <m/>
    <n v="675820"/>
    <m/>
    <n v="143167"/>
    <m/>
    <n v="26685"/>
    <m/>
    <n v="6387"/>
    <m/>
    <n v="-155.172413793103"/>
    <m/>
    <n v="0"/>
    <m/>
    <n v="0"/>
    <n v="0"/>
    <n v="-5498447.4894344397"/>
    <n v="-1"/>
    <n v="0.17724419127264734"/>
    <e v="#DIV/0!"/>
    <n v="-1"/>
  </r>
  <r>
    <n v="36354046"/>
    <n v="6443543.4827586198"/>
    <n v="3.8250552396158322E-2"/>
    <m/>
    <x v="307"/>
    <n v="8464575.10752251"/>
    <n v="7210871.9391162703"/>
    <n v="1253703.1684062399"/>
    <n v="5275115"/>
    <m/>
    <n v="48925.8620689655"/>
    <m/>
    <n v="61590"/>
    <m/>
    <n v="4784"/>
    <m/>
    <n v="164572"/>
    <m/>
    <n v="705965"/>
    <m/>
    <n v="121452"/>
    <m/>
    <n v="50681"/>
    <m/>
    <n v="6631"/>
    <m/>
    <n v="2450.03448275862"/>
    <m/>
    <n v="1377.58620689655"/>
    <m/>
    <n v="0"/>
    <n v="0"/>
    <n v="-8464575.10752251"/>
    <n v="-1"/>
    <n v="0.14833522180735395"/>
    <e v="#DIV/0!"/>
    <n v="-1"/>
  </r>
  <r>
    <n v="40657652"/>
    <n v="6030961.8275862075"/>
    <n v="3.5801360230218335E-2"/>
    <m/>
    <x v="308"/>
    <n v="7942244.7131025996"/>
    <n v="6523038.8478428498"/>
    <n v="1419205.86525975"/>
    <n v="4794794"/>
    <m/>
    <n v="47206.896551724101"/>
    <m/>
    <n v="52913"/>
    <m/>
    <n v="9080"/>
    <m/>
    <n v="121112"/>
    <m/>
    <n v="807271"/>
    <m/>
    <n v="136768"/>
    <m/>
    <n v="42494"/>
    <m/>
    <n v="12012"/>
    <m/>
    <n v="7310.93103448276"/>
    <m/>
    <n v="0"/>
    <m/>
    <n v="0"/>
    <n v="0"/>
    <n v="-7942244.7131025996"/>
    <n v="-1"/>
    <n v="0.1053779513559948"/>
    <e v="#DIV/0!"/>
    <n v="-1"/>
  </r>
  <r>
    <n v="45608200"/>
    <n v="4806098.6810344821"/>
    <n v="2.8530253564970551E-2"/>
    <m/>
    <x v="309"/>
    <n v="6325493.9024184505"/>
    <n v="5240958.0038128104"/>
    <n v="1084535.89860564"/>
    <n v="3788708"/>
    <m/>
    <n v="42858.620689655101"/>
    <m/>
    <n v="75396"/>
    <m/>
    <n v="1642"/>
    <m/>
    <n v="128834"/>
    <m/>
    <n v="597718"/>
    <m/>
    <n v="113410"/>
    <m/>
    <n v="31381"/>
    <m/>
    <n v="18407"/>
    <m/>
    <n v="7744.0603448275897"/>
    <m/>
    <n v="0"/>
    <m/>
    <n v="0"/>
    <n v="0"/>
    <n v="-6325493.9024184505"/>
    <n v="-1"/>
    <n v="9.5761168337127792E-2"/>
    <e v="#DIV/0!"/>
    <n v="-1"/>
  </r>
  <r>
    <n v="47127819"/>
    <n v="4513015.0086206896"/>
    <n v="2.6790432549077793E-2"/>
    <m/>
    <x v="310"/>
    <n v="5936196.4154814631"/>
    <n v="4962288.8243266204"/>
    <n v="973907.59115484299"/>
    <n v="3647018"/>
    <m/>
    <n v="44673.275862069"/>
    <m/>
    <n v="12603"/>
    <m/>
    <n v="6822"/>
    <m/>
    <n v="111646"/>
    <m/>
    <n v="548934"/>
    <m/>
    <n v="88083"/>
    <m/>
    <n v="26380"/>
    <m/>
    <n v="13005"/>
    <m/>
    <n v="13850.732758620699"/>
    <m/>
    <n v="0"/>
    <m/>
    <n v="0"/>
    <n v="0"/>
    <n v="-5936196.4154814631"/>
    <n v="-1"/>
    <n v="6.4292534381886979E-2"/>
    <e v="#DIV/0!"/>
    <n v="-1"/>
  </r>
  <r>
    <n v="65744526"/>
    <n v="4226882.1982758623"/>
    <n v="2.509187366084489E-2"/>
    <m/>
    <x v="311"/>
    <n v="5583045.0453190198"/>
    <n v="4380659.2656452497"/>
    <n v="1202385.7796737701"/>
    <n v="3186164"/>
    <m/>
    <n v="55446.551724137898"/>
    <m/>
    <n v="74700"/>
    <m/>
    <n v="1403"/>
    <m/>
    <n v="56983"/>
    <m/>
    <n v="714555"/>
    <m/>
    <n v="94071"/>
    <m/>
    <n v="34042"/>
    <m/>
    <n v="8377"/>
    <m/>
    <n v="1140.64655172414"/>
    <m/>
    <n v="0"/>
    <m/>
    <n v="0"/>
    <n v="0"/>
    <n v="-5583045.0453190198"/>
    <n v="-1"/>
    <n v="6.0114361707572443E-2"/>
    <e v="#DIV/0!"/>
    <n v="-1"/>
  </r>
  <r>
    <n v="67492039"/>
    <n v="4057240.8448275859"/>
    <n v="2.4084838402063567E-2"/>
    <m/>
    <x v="312"/>
    <n v="5365303.1581960004"/>
    <n v="4132063.5598633499"/>
    <n v="1233239.59833265"/>
    <n v="2924037"/>
    <m/>
    <n v="54995.689655172398"/>
    <m/>
    <n v="1732"/>
    <m/>
    <n v="3073"/>
    <m/>
    <n v="199350"/>
    <m/>
    <n v="711297"/>
    <m/>
    <n v="107725"/>
    <m/>
    <n v="34480"/>
    <m/>
    <n v="17056"/>
    <m/>
    <n v="1686.53448275862"/>
    <m/>
    <n v="1808.6206896551701"/>
    <m/>
    <n v="0"/>
    <n v="0"/>
    <n v="-5365303.1581960004"/>
    <n v="-1"/>
    <n v="0.17611712843177682"/>
    <e v="#DIV/0!"/>
    <n v="-1"/>
  </r>
  <r>
    <n v="40411989"/>
    <n v="7117243.4568965519"/>
    <n v="4.2249810914240217E-2"/>
    <m/>
    <x v="313"/>
    <n v="9370083.8270121608"/>
    <n v="7728985.2910984801"/>
    <n v="1641098.53591368"/>
    <n v="5697624"/>
    <m/>
    <n v="67562.068965517203"/>
    <m/>
    <n v="81533"/>
    <m/>
    <n v="4644"/>
    <m/>
    <n v="102759"/>
    <m/>
    <n v="901540"/>
    <m/>
    <n v="162599"/>
    <m/>
    <n v="39109"/>
    <m/>
    <n v="22528"/>
    <m/>
    <n v="35709.181034482797"/>
    <m/>
    <n v="1636.2068965517201"/>
    <m/>
    <n v="0"/>
    <n v="0"/>
    <n v="-9370083.8270121608"/>
    <n v="-1"/>
    <n v="0.15945379925058437"/>
    <e v="#DIV/0!"/>
    <n v="-1"/>
  </r>
  <r>
    <n v="45078912"/>
    <n v="7188003.7844827585"/>
    <n v="4.2669862648995763E-2"/>
    <m/>
    <x v="314"/>
    <n v="9495929.8588947915"/>
    <n v="7429839.5055282405"/>
    <n v="2066090.3533665501"/>
    <n v="5483822"/>
    <m/>
    <n v="68879.310344827594"/>
    <m/>
    <n v="48671"/>
    <m/>
    <n v="3768"/>
    <m/>
    <n v="118531"/>
    <m/>
    <n v="1226151"/>
    <m/>
    <n v="160872"/>
    <m/>
    <n v="41738"/>
    <m/>
    <n v="20120"/>
    <m/>
    <n v="13470.4396551724"/>
    <m/>
    <n v="1981.03448275862"/>
    <m/>
    <n v="0"/>
    <n v="0"/>
    <n v="-9495929.8588947915"/>
    <n v="-1"/>
    <n v="0.12992657618915429"/>
    <e v="#DIV/0!"/>
    <n v="-1"/>
  </r>
  <r>
    <n v="48292081"/>
    <n v="6274424.7413793104"/>
    <n v="3.7246619498737706E-2"/>
    <m/>
    <x v="315"/>
    <n v="8272997.5277931001"/>
    <n v="6669805.0466117198"/>
    <n v="1603192.4811813801"/>
    <n v="4822707"/>
    <m/>
    <n v="67868.103448275797"/>
    <m/>
    <n v="98985"/>
    <m/>
    <n v="4095"/>
    <m/>
    <n v="144514"/>
    <m/>
    <n v="868042"/>
    <m/>
    <n v="187197"/>
    <m/>
    <n v="46378"/>
    <m/>
    <n v="28094"/>
    <m/>
    <n v="6544.6379310344801"/>
    <m/>
    <n v="0"/>
    <m/>
    <n v="0"/>
    <n v="0"/>
    <n v="-8272997.5277931001"/>
    <n v="-1"/>
    <n v="0.11452765452777235"/>
    <e v="#DIV/0!"/>
    <n v="-1"/>
  </r>
  <r>
    <n v="65809693"/>
    <n v="7537029.7844827585"/>
    <n v="4.4741771892154301E-2"/>
    <m/>
    <x v="316"/>
    <n v="9958097.8704865705"/>
    <n v="7778224.1211139001"/>
    <n v="2179873.74937267"/>
    <n v="5687818"/>
    <m/>
    <n v="65544.827586206899"/>
    <m/>
    <n v="82830"/>
    <m/>
    <n v="4235"/>
    <m/>
    <n v="151626"/>
    <m/>
    <n v="1184601"/>
    <m/>
    <n v="265899"/>
    <m/>
    <n v="62519"/>
    <m/>
    <n v="25374"/>
    <m/>
    <n v="2707.9568965517301"/>
    <m/>
    <n v="3875"/>
    <m/>
    <n v="0"/>
    <n v="0"/>
    <n v="-9958097.8704865705"/>
    <n v="-1"/>
    <n v="0.10664807746096908"/>
    <e v="#DIV/0!"/>
    <n v="-1"/>
  </r>
  <r>
    <n v="75117979"/>
    <n v="8011188.0431034481"/>
    <n v="4.7556498814378331E-2"/>
    <m/>
    <x v="317"/>
    <n v="10598196.073287521"/>
    <n v="8110785.4693160597"/>
    <n v="2487410.6039714599"/>
    <n v="5897136"/>
    <m/>
    <n v="73120.689655172406"/>
    <m/>
    <n v="58945"/>
    <m/>
    <n v="7484"/>
    <m/>
    <n v="211561"/>
    <m/>
    <n v="1342849"/>
    <m/>
    <n v="347316"/>
    <m/>
    <n v="17568"/>
    <m/>
    <n v="34059"/>
    <m/>
    <n v="18479.525862069"/>
    <m/>
    <n v="2669.8275862068999"/>
    <m/>
    <n v="0"/>
    <n v="0"/>
    <n v="-10598196.073287521"/>
    <n v="-1"/>
    <n v="7.1044674116166731E-2"/>
    <e v="#DIV/0!"/>
    <n v="-1"/>
  </r>
  <r>
    <n v="87981274"/>
    <n v="6250600.9396551726"/>
    <n v="3.7105195206566299E-2"/>
    <m/>
    <x v="318"/>
    <n v="8281975.1424713098"/>
    <n v="6179898.0675442601"/>
    <n v="2102077.0749270502"/>
    <n v="4408030"/>
    <m/>
    <n v="69456.034482758594"/>
    <m/>
    <n v="25308"/>
    <m/>
    <n v="1153"/>
    <m/>
    <n v="256816"/>
    <m/>
    <n v="1108972"/>
    <m/>
    <n v="362812"/>
    <m/>
    <n v="-2259"/>
    <m/>
    <n v="12703"/>
    <m/>
    <n v="3562.4913793103501"/>
    <m/>
    <n v="4047.4137931034502"/>
    <m/>
    <n v="0"/>
    <n v="0"/>
    <n v="-8281975.1424713098"/>
    <n v="-1"/>
    <n v="6.8283459955625625E-2"/>
    <e v="#DIV/0!"/>
    <n v="-1"/>
  </r>
  <r>
    <n v="90614671"/>
    <n v="6187483.2586206906"/>
    <n v="3.6730512212342151E-2"/>
    <m/>
    <x v="319"/>
    <n v="8152312.3388383891"/>
    <n v="6646980.4645995097"/>
    <n v="1505331.8742388799"/>
    <n v="4732740"/>
    <m/>
    <n v="78706.896551724101"/>
    <m/>
    <n v="23936"/>
    <m/>
    <n v="4170"/>
    <m/>
    <n v="281033"/>
    <m/>
    <n v="434970"/>
    <m/>
    <n v="457126"/>
    <m/>
    <n v="158214"/>
    <m/>
    <n v="13795"/>
    <m/>
    <n v="1069.94827586207"/>
    <m/>
    <n v="1722.41379310345"/>
    <m/>
    <n v="0"/>
    <n v="0"/>
    <n v="-8152312.3388383891"/>
    <n v="-1"/>
    <n v="0.10441891513293554"/>
    <e v="#DIV/0!"/>
    <n v="-1"/>
  </r>
  <r>
    <n v="92083785"/>
    <n v="9615288.931034483"/>
    <n v="5.7078859488549114E-2"/>
    <m/>
    <x v="320"/>
    <n v="12714274.281289689"/>
    <n v="9804142.3963300195"/>
    <n v="2910131.8849596698"/>
    <n v="7301102"/>
    <m/>
    <n v="73426.724137931"/>
    <m/>
    <n v="16174"/>
    <m/>
    <n v="2385"/>
    <m/>
    <n v="159658"/>
    <m/>
    <n v="1473035"/>
    <m/>
    <n v="390070"/>
    <m/>
    <n v="88451"/>
    <m/>
    <n v="106398"/>
    <m/>
    <n v="886.62068965517301"/>
    <m/>
    <n v="3702.5862068965498"/>
    <m/>
    <n v="0"/>
    <n v="0"/>
    <n v="-12714274.281289689"/>
    <n v="-1"/>
    <n v="0.16021420753121948"/>
    <e v="#DIV/0!"/>
    <n v="-1"/>
  </r>
  <r>
    <n v="39600628"/>
    <n v="6344583.2327586208"/>
    <n v="3.7663098577015115E-2"/>
    <m/>
    <x v="321"/>
    <n v="8386418.3696318399"/>
    <n v="6503811.6308371797"/>
    <n v="1882606.73879466"/>
    <n v="4720959"/>
    <m/>
    <n v="47643.965517241399"/>
    <m/>
    <n v="95259"/>
    <m/>
    <n v="-1341"/>
    <m/>
    <n v="147773"/>
    <m/>
    <n v="932318"/>
    <m/>
    <n v="326265"/>
    <m/>
    <n v="34579"/>
    <m/>
    <n v="35129"/>
    <m/>
    <n v="5998.2672413793098"/>
    <m/>
    <n v="0"/>
    <m/>
    <n v="0"/>
    <n v="0"/>
    <n v="-8386418.3696318399"/>
    <n v="-1"/>
    <n v="0.13850719600983555"/>
    <e v="#DIV/0!"/>
    <n v="-1"/>
  </r>
  <r>
    <n v="44043429"/>
    <n v="6100331.8534482755"/>
    <n v="3.6213158771822018E-2"/>
    <m/>
    <x v="322"/>
    <n v="8086775.2394312397"/>
    <n v="5986412.6311157104"/>
    <n v="2100362.6083155298"/>
    <n v="4242519"/>
    <m/>
    <n v="49587.068965517203"/>
    <m/>
    <n v="76524"/>
    <m/>
    <n v="2601"/>
    <m/>
    <n v="240478"/>
    <m/>
    <n v="1127916"/>
    <m/>
    <n v="278096"/>
    <m/>
    <n v="37316"/>
    <m/>
    <n v="34950"/>
    <m/>
    <n v="5866.3362068965498"/>
    <m/>
    <n v="4478.4482758620697"/>
    <m/>
    <n v="0"/>
    <n v="0"/>
    <n v="-8086775.2394312397"/>
    <n v="-1"/>
    <n v="9.3308248291307808E-2"/>
    <e v="#DIV/0!"/>
    <n v="-1"/>
  </r>
  <r>
    <n v="45264544"/>
    <n v="4223555.3103448274"/>
    <n v="2.5072124387566497E-2"/>
    <m/>
    <x v="323"/>
    <n v="5561961.8076369297"/>
    <n v="4569174.5399318105"/>
    <n v="992787.26770511898"/>
    <n v="3180652"/>
    <m/>
    <n v="40595.689655172398"/>
    <m/>
    <n v="49953"/>
    <m/>
    <n v="6804"/>
    <m/>
    <n v="241917"/>
    <m/>
    <n v="322746"/>
    <m/>
    <n v="305105"/>
    <m/>
    <n v="24957"/>
    <m/>
    <n v="45711"/>
    <m/>
    <n v="2272.3793103448302"/>
    <m/>
    <n v="2842.2413793103501"/>
    <m/>
    <n v="0"/>
    <n v="0"/>
    <n v="-5561961.8076369297"/>
    <n v="-1"/>
    <n v="7.8852145747983951E-2"/>
    <e v="#DIV/0!"/>
    <n v="-1"/>
  </r>
  <r>
    <n v="48516289"/>
    <n v="3825613.4913793104"/>
    <n v="2.2709838102435941E-2"/>
    <m/>
    <x v="324"/>
    <n v="5057961.3563756002"/>
    <n v="3908096.51238397"/>
    <n v="1149864.84399163"/>
    <n v="2745907"/>
    <m/>
    <n v="33519.827586206899"/>
    <m/>
    <n v="17150"/>
    <m/>
    <n v="7339"/>
    <m/>
    <n v="206736"/>
    <m/>
    <n v="475176"/>
    <m/>
    <n v="235742"/>
    <m/>
    <n v="25815"/>
    <m/>
    <n v="62744"/>
    <m/>
    <n v="14709.6637931035"/>
    <m/>
    <n v="775"/>
    <m/>
    <n v="0"/>
    <n v="0"/>
    <n v="-5057961.3563756002"/>
    <n v="-1"/>
    <n v="9.6721207255750855E-2"/>
    <e v="#DIV/0!"/>
    <n v="-1"/>
  </r>
  <r>
    <n v="62976306"/>
    <n v="6091144.3448275859"/>
    <n v="3.6158619327675147E-2"/>
    <m/>
    <x v="325"/>
    <n v="8261030.5790344095"/>
    <n v="3832948.4360700799"/>
    <n v="4428082.1429643296"/>
    <n v="2622616"/>
    <m/>
    <n v="47146.551724137898"/>
    <m/>
    <n v="58779"/>
    <m/>
    <n v="5619"/>
    <m/>
    <n v="218600"/>
    <m/>
    <n v="2828747"/>
    <m/>
    <n v="232232"/>
    <m/>
    <n v="32234"/>
    <m/>
    <n v="42932"/>
    <m/>
    <n v="0"/>
    <m/>
    <n v="2238.7931034482799"/>
    <m/>
    <n v="0"/>
    <n v="0"/>
    <n v="-8261030.5790344095"/>
    <n v="-1"/>
    <n v="5.3332503329828654E-2"/>
    <e v="#DIV/0!"/>
    <n v="-1"/>
  </r>
  <r>
    <n v="64339155"/>
    <n v="3431368.1982758618"/>
    <n v="2.0369495357618127E-2"/>
    <m/>
    <x v="326"/>
    <n v="4486178.6751943501"/>
    <n v="4086669.89572642"/>
    <n v="399508.77946793003"/>
    <n v="2912051"/>
    <m/>
    <n v="50568.103448275797"/>
    <m/>
    <n v="-4265"/>
    <m/>
    <n v="1723"/>
    <m/>
    <n v="188141"/>
    <m/>
    <n v="-35352"/>
    <m/>
    <n v="235657"/>
    <m/>
    <n v="30424"/>
    <m/>
    <n v="50063"/>
    <m/>
    <n v="635.68103448275895"/>
    <m/>
    <n v="1722.41379310345"/>
    <m/>
    <n v="0"/>
    <n v="0"/>
    <n v="-4486178.6751943501"/>
    <n v="-1"/>
    <n v="0.17890553497733533"/>
    <e v="#DIV/0!"/>
    <n v="-1"/>
  </r>
  <r>
    <n v="34296937"/>
    <n v="6135911.862068966"/>
    <n v="3.6424370970147842E-2"/>
    <m/>
    <x v="327"/>
    <n v="8145394.5805129893"/>
    <n v="5889585.7384903599"/>
    <n v="2255808.8420226299"/>
    <n v="4329304"/>
    <m/>
    <n v="41142.241379310297"/>
    <m/>
    <n v="88047"/>
    <m/>
    <n v="6720"/>
    <m/>
    <n v="71904"/>
    <m/>
    <n v="1270753"/>
    <m/>
    <n v="227520"/>
    <m/>
    <n v="42479"/>
    <m/>
    <n v="30741"/>
    <m/>
    <n v="26526.620689655199"/>
    <m/>
    <n v="775"/>
    <m/>
    <n v="0"/>
    <n v="0"/>
    <n v="-8145394.5805129893"/>
    <n v="-1"/>
    <n v="0.14404502982535219"/>
    <e v="#DIV/0!"/>
    <n v="-1"/>
  </r>
  <r>
    <n v="41221018"/>
    <n v="5937682.7672413802"/>
    <n v="3.5247631432588383E-2"/>
    <m/>
    <x v="328"/>
    <n v="7878997.6218831399"/>
    <n v="5736683.0662500998"/>
    <n v="2142314.5556330401"/>
    <n v="4166212"/>
    <m/>
    <n v="42426.724137931"/>
    <m/>
    <n v="58241"/>
    <m/>
    <n v="1526"/>
    <m/>
    <n v="150921"/>
    <m/>
    <n v="1227377"/>
    <m/>
    <n v="207275"/>
    <m/>
    <n v="45350"/>
    <m/>
    <n v="31920"/>
    <m/>
    <n v="5486.6293103448297"/>
    <m/>
    <n v="947.41379310344803"/>
    <m/>
    <n v="0"/>
    <n v="0"/>
    <n v="-7878997.6218831399"/>
    <n v="-1"/>
    <n v="0.13321215599143663"/>
    <e v="#DIV/0!"/>
    <n v="-1"/>
  </r>
  <r>
    <n v="45570391"/>
    <n v="6070530.0344827594"/>
    <n v="3.6036247412274042E-2"/>
    <m/>
    <x v="329"/>
    <n v="8060819.3982962798"/>
    <n v="5801306.0511934701"/>
    <n v="2259513.3471028102"/>
    <n v="4117696"/>
    <m/>
    <n v="37900.8620689655"/>
    <m/>
    <n v="90470"/>
    <m/>
    <n v="6491"/>
    <m/>
    <n v="216552"/>
    <m/>
    <n v="1254318"/>
    <m/>
    <n v="277281"/>
    <m/>
    <n v="43933"/>
    <m/>
    <n v="18743"/>
    <m/>
    <n v="6197.7586206896603"/>
    <m/>
    <n v="947.41379310344803"/>
    <m/>
    <n v="0"/>
    <n v="0"/>
    <n v="-8060819.3982962798"/>
    <n v="-1"/>
    <n v="0.10258856545620262"/>
    <e v="#DIV/0!"/>
    <n v="-1"/>
  </r>
  <r>
    <n v="50030169"/>
    <n v="5132523.2672413792"/>
    <n v="3.0467994929098931E-2"/>
    <m/>
    <x v="330"/>
    <n v="6814130.4330856297"/>
    <n v="4918086.4037961299"/>
    <n v="1896044.0292895001"/>
    <n v="3604392"/>
    <m/>
    <n v="43066.379310344797"/>
    <m/>
    <n v="49493"/>
    <m/>
    <n v="2376"/>
    <m/>
    <n v="89383"/>
    <m/>
    <n v="885777"/>
    <m/>
    <n v="367182"/>
    <m/>
    <n v="52085"/>
    <m/>
    <n v="32521"/>
    <m/>
    <n v="7195.3017241379303"/>
    <m/>
    <n v="-947.41379310344803"/>
    <m/>
    <n v="0"/>
    <n v="0"/>
    <n v="-6814130.4330856297"/>
    <n v="-1"/>
    <n v="0.11336835928654444"/>
    <e v="#DIV/0!"/>
    <n v="-1"/>
  </r>
  <r>
    <n v="61473070"/>
    <n v="6969101.0862068962"/>
    <n v="4.1370399216729671E-2"/>
    <m/>
    <x v="331"/>
    <n v="9340018.4454301596"/>
    <n v="5670568.62085634"/>
    <n v="3669449.82457382"/>
    <n v="4096929"/>
    <m/>
    <n v="54208.620689655203"/>
    <m/>
    <n v="68087"/>
    <m/>
    <n v="4812"/>
    <m/>
    <n v="144358"/>
    <m/>
    <n v="1726586"/>
    <m/>
    <n v="740810"/>
    <m/>
    <n v="72416"/>
    <m/>
    <n v="40806"/>
    <m/>
    <n v="18624.672413793101"/>
    <m/>
    <n v="1463.7931034482799"/>
    <m/>
    <n v="0"/>
    <n v="0"/>
    <n v="-9340018.4454301596"/>
    <n v="-1"/>
    <n v="6.9067686931212319E-2"/>
    <e v="#DIV/0!"/>
    <n v="-1"/>
  </r>
  <r>
    <n v="71412130"/>
    <n v="4932270.6379310349"/>
    <n v="2.9279243163800921E-2"/>
    <m/>
    <x v="332"/>
    <n v="6636601.8939045798"/>
    <n v="3710141.5736314901"/>
    <n v="2926460.3202730902"/>
    <n v="2657112"/>
    <m/>
    <n v="46651.724137931"/>
    <m/>
    <n v="33620"/>
    <m/>
    <n v="-301"/>
    <m/>
    <n v="121072"/>
    <m/>
    <n v="1566964"/>
    <m/>
    <n v="376748"/>
    <m/>
    <n v="87941"/>
    <m/>
    <n v="21084"/>
    <m/>
    <n v="21378.9137931035"/>
    <m/>
    <n v="0"/>
    <m/>
    <n v="0"/>
    <n v="0"/>
    <n v="-6636601.8939045798"/>
    <n v="-1"/>
    <n v="7.0656751132996715E-2"/>
    <e v="#DIV/0!"/>
    <n v="-1"/>
  </r>
  <r>
    <n v="76776183"/>
    <n v="5424755.6551724132"/>
    <n v="3.2202762498576856E-2"/>
    <m/>
    <x v="333"/>
    <n v="7227302.4975645505"/>
    <n v="4908324.4997209003"/>
    <n v="2318977.9978436502"/>
    <n v="3541686"/>
    <m/>
    <n v="50855.172413793101"/>
    <m/>
    <n v="-6179"/>
    <m/>
    <n v="2597"/>
    <m/>
    <n v="192231"/>
    <m/>
    <n v="1294466"/>
    <m/>
    <n v="250269"/>
    <m/>
    <n v="68872"/>
    <m/>
    <n v="26453"/>
    <m/>
    <n v="2816.6896551724099"/>
    <m/>
    <n v="688.79310344827604"/>
    <m/>
    <n v="0"/>
    <n v="0"/>
    <n v="-7227302.4975645505"/>
    <n v="-1"/>
    <n v="0.15851760098190079"/>
    <e v="#DIV/0!"/>
    <n v="-1"/>
  </r>
  <r>
    <n v="44076818"/>
    <n v="6986951.4482758623"/>
    <n v="3.718505903657026E-2"/>
    <m/>
    <x v="334"/>
    <n v="9106665.4773930795"/>
    <n v="6659548.1180451997"/>
    <n v="2447117.3593478799"/>
    <n v="4957610"/>
    <m/>
    <n v="38026.724137931"/>
    <m/>
    <n v="2176"/>
    <m/>
    <n v="2708"/>
    <m/>
    <n v="131176"/>
    <m/>
    <n v="1425540"/>
    <m/>
    <n v="251615"/>
    <m/>
    <n v="71926"/>
    <m/>
    <n v="87429"/>
    <m/>
    <n v="17280.931034482801"/>
    <m/>
    <n v="1463.7931034482799"/>
    <m/>
    <n v="0"/>
    <n v="0"/>
    <n v="-9106665.4773930795"/>
    <n v="-1"/>
    <n v="0.15767581007759246"/>
    <e v="#DIV/0!"/>
    <n v="-1"/>
  </r>
  <r>
    <n v="48777721"/>
    <n v="7691066.6724137934"/>
    <n v="4.0932410992848389E-2"/>
    <m/>
    <x v="335"/>
    <n v="10021756.19968288"/>
    <n v="7491595.7081994703"/>
    <n v="2530160.4914834099"/>
    <n v="5378786"/>
    <m/>
    <n v="44301.724137931"/>
    <m/>
    <n v="199752"/>
    <m/>
    <n v="8853"/>
    <m/>
    <n v="141161"/>
    <m/>
    <n v="1473812"/>
    <m/>
    <n v="201559"/>
    <m/>
    <n v="90442"/>
    <m/>
    <n v="143542"/>
    <m/>
    <n v="7307.9482758620697"/>
    <m/>
    <n v="1550"/>
    <m/>
    <n v="0"/>
    <n v="0"/>
    <n v="-10021756.19968288"/>
    <n v="-1"/>
    <n v="0.12371209374293493"/>
    <e v="#DIV/0!"/>
    <n v="-1"/>
  </r>
  <r>
    <n v="53214752"/>
    <n v="6583308.387931034"/>
    <n v="3.5036841585835268E-2"/>
    <m/>
    <x v="336"/>
    <n v="8581631.7941627502"/>
    <n v="6209763.7643569903"/>
    <n v="2371868.0298057599"/>
    <n v="4538987"/>
    <m/>
    <n v="41768.103448275899"/>
    <m/>
    <n v="-1295"/>
    <m/>
    <n v="7445"/>
    <m/>
    <n v="198198"/>
    <m/>
    <n v="1463021"/>
    <m/>
    <n v="179885"/>
    <m/>
    <n v="54687"/>
    <m/>
    <n v="79303"/>
    <m/>
    <n v="19759.284482758601"/>
    <m/>
    <n v="1550"/>
    <m/>
    <n v="0"/>
    <n v="0"/>
    <n v="-8581631.7941627502"/>
    <n v="-1"/>
    <n v="0.110556972094325"/>
    <e v="#DIV/0!"/>
    <n v="-1"/>
  </r>
  <r>
    <n v="60436653"/>
    <n v="6681693.3591954028"/>
    <n v="3.5560453491808884E-2"/>
    <m/>
    <x v="337"/>
    <n v="8720531.61314697"/>
    <n v="5653395.1349199796"/>
    <n v="3067136.47822699"/>
    <n v="3922857"/>
    <m/>
    <n v="43610.057471264401"/>
    <m/>
    <n v="173906"/>
    <m/>
    <n v="5606"/>
    <m/>
    <n v="210399"/>
    <m/>
    <n v="1926958"/>
    <m/>
    <n v="174968"/>
    <m/>
    <n v="92776"/>
    <m/>
    <n v="116168"/>
    <m/>
    <n v="13497.8879310345"/>
    <m/>
    <n v="947.41379310344803"/>
    <m/>
    <n v="0"/>
    <n v="0"/>
    <n v="-8720531.61314697"/>
    <n v="-1"/>
    <n v="9.1394059989951412E-2"/>
    <e v="#DIV/0!"/>
    <n v="-1"/>
  </r>
  <r>
    <n v="60693345"/>
    <n v="5547011.2139208177"/>
    <n v="2.95215933577243E-2"/>
    <m/>
    <x v="338"/>
    <n v="7240010.9238516204"/>
    <n v="4669198.65739433"/>
    <n v="2570812.2664572899"/>
    <n v="3411915"/>
    <m/>
    <n v="50703.575989782898"/>
    <m/>
    <n v="-24113"/>
    <m/>
    <n v="-438"/>
    <m/>
    <n v="159911"/>
    <m/>
    <n v="1631283"/>
    <m/>
    <n v="157380"/>
    <m/>
    <n v="62080"/>
    <m/>
    <n v="82359"/>
    <m/>
    <n v="14983.224137931"/>
    <m/>
    <n v="947.41379310344803"/>
    <m/>
    <n v="0"/>
    <n v="0"/>
    <n v="-7240010.9238516204"/>
    <n v="-1"/>
    <n v="6.5983539802911148E-2"/>
    <e v="#DIV/0!"/>
    <n v="-1"/>
  </r>
  <r>
    <n v="79744108"/>
    <n v="5261798.5242656451"/>
    <n v="2.800367087302982E-2"/>
    <m/>
    <x v="339"/>
    <n v="6871184.3849720396"/>
    <n v="4219709.1117787901"/>
    <n v="2651475.2731932499"/>
    <n v="3024346"/>
    <m/>
    <n v="56625.127713920803"/>
    <m/>
    <n v="72012"/>
    <m/>
    <n v="2160"/>
    <m/>
    <n v="96469"/>
    <m/>
    <n v="1700937"/>
    <m/>
    <n v="135278"/>
    <m/>
    <n v="74970"/>
    <m/>
    <n v="95661"/>
    <m/>
    <n v="3340.39655172414"/>
    <m/>
    <n v="0"/>
    <m/>
    <n v="0"/>
    <n v="0"/>
    <n v="-6871184.3849720396"/>
    <n v="-1"/>
    <n v="7.0008407482111942E-2"/>
    <e v="#DIV/0!"/>
    <n v="-1"/>
  </r>
  <r>
    <n v="90362378"/>
    <n v="6326126.180076628"/>
    <n v="3.3668099344956882E-2"/>
    <m/>
    <x v="340"/>
    <n v="8260183.3157518897"/>
    <n v="5126059.2782656197"/>
    <n v="3134124.0374862701"/>
    <n v="3620613"/>
    <m/>
    <n v="54843.007662835204"/>
    <m/>
    <n v="85835"/>
    <m/>
    <n v="2936"/>
    <m/>
    <n v="185798"/>
    <m/>
    <n v="1934319"/>
    <m/>
    <n v="233864"/>
    <m/>
    <n v="92460"/>
    <m/>
    <n v="115028"/>
    <m/>
    <n v="430.172413793104"/>
    <m/>
    <n v="0"/>
    <m/>
    <n v="0"/>
    <n v="0"/>
    <n v="-8260183.3157518897"/>
    <n v="-1"/>
    <n v="0.1637269582896744"/>
    <e v="#DIV/0!"/>
    <n v="-1"/>
  </r>
  <r>
    <n v="51770672"/>
    <n v="8476254.6551724151"/>
    <n v="4.5111238012018495E-2"/>
    <m/>
    <x v="341"/>
    <n v="11048605.67883426"/>
    <n v="8029724.9303178396"/>
    <n v="3018880.7485164199"/>
    <n v="5946618"/>
    <m/>
    <n v="48381.896551724101"/>
    <m/>
    <n v="16084"/>
    <m/>
    <n v="8369"/>
    <m/>
    <n v="168071"/>
    <m/>
    <n v="1704520"/>
    <m/>
    <n v="319874"/>
    <m/>
    <n v="110203"/>
    <m/>
    <n v="125518"/>
    <m/>
    <n v="27668.344827586199"/>
    <m/>
    <n v="947.41379310344803"/>
    <m/>
    <n v="0"/>
    <n v="0"/>
    <n v="-11048605.67883426"/>
    <n v="-1"/>
    <n v="0.14667852484588231"/>
    <e v="#DIV/0!"/>
    <n v="-1"/>
  </r>
  <r>
    <n v="58970219"/>
    <n v="8649664.7327586208"/>
    <n v="4.6034138939599796E-2"/>
    <m/>
    <x v="342"/>
    <n v="11274150.919565121"/>
    <n v="8223918.3371270504"/>
    <n v="3050232.5824380699"/>
    <n v="6085695"/>
    <m/>
    <n v="46312.931034482703"/>
    <m/>
    <n v="50291"/>
    <m/>
    <n v="6649"/>
    <m/>
    <n v="148217"/>
    <m/>
    <n v="1686373"/>
    <m/>
    <n v="385223"/>
    <m/>
    <n v="96804"/>
    <m/>
    <n v="119084"/>
    <m/>
    <n v="25015.801724137898"/>
    <m/>
    <n v="0"/>
    <m/>
    <n v="0"/>
    <n v="0"/>
    <n v="-11274150.919565121"/>
    <n v="-1"/>
    <n v="0.1220932438054229"/>
    <e v="#DIV/0!"/>
    <n v="-1"/>
  </r>
  <r>
    <n v="66302976"/>
    <n v="8095145.4137931028"/>
    <n v="4.3082947169440895E-2"/>
    <m/>
    <x v="343"/>
    <n v="10554981.21780456"/>
    <n v="7477135.9718751898"/>
    <n v="3077845.2459293702"/>
    <n v="5484191"/>
    <m/>
    <n v="52041.379310344797"/>
    <m/>
    <n v="112954"/>
    <m/>
    <n v="4560"/>
    <m/>
    <n v="107965"/>
    <m/>
    <n v="1680477"/>
    <m/>
    <n v="410059"/>
    <m/>
    <n v="100505"/>
    <m/>
    <n v="119493"/>
    <m/>
    <n v="22211.241379310399"/>
    <m/>
    <n v="688.79310344827604"/>
    <m/>
    <n v="0"/>
    <n v="0"/>
    <n v="-10554981.21780456"/>
    <n v="-1"/>
    <n v="0.12828590531200632"/>
    <e v="#DIV/0!"/>
    <n v="-1"/>
  </r>
  <r>
    <n v="68556369"/>
    <n v="8794815.8620689642"/>
    <n v="4.6806643708322909E-2"/>
    <m/>
    <x v="344"/>
    <n v="11461586.5777383"/>
    <n v="8469034.9160715099"/>
    <n v="2992551.66166679"/>
    <n v="6211860"/>
    <m/>
    <n v="49136.206896551703"/>
    <m/>
    <n v="53115"/>
    <m/>
    <n v="4450"/>
    <m/>
    <n v="207485"/>
    <m/>
    <n v="1665235"/>
    <m/>
    <n v="400482"/>
    <m/>
    <n v="84857"/>
    <m/>
    <n v="100371"/>
    <m/>
    <n v="17824.655172413801"/>
    <m/>
    <n v="0"/>
    <m/>
    <n v="0"/>
    <n v="0"/>
    <n v="-11461586.5777383"/>
    <n v="-1"/>
    <n v="8.346433843313196E-2"/>
    <e v="#DIV/0!"/>
    <n v="-1"/>
  </r>
  <r>
    <n v="77482550"/>
    <n v="6467029.7758620689"/>
    <n v="3.4417998434214128E-2"/>
    <m/>
    <x v="345"/>
    <n v="8442164.1292602494"/>
    <n v="5362171.2237663995"/>
    <n v="3079992.9054938499"/>
    <n v="3784370"/>
    <m/>
    <n v="54965.517241379297"/>
    <m/>
    <n v="67282"/>
    <m/>
    <n v="3570"/>
    <m/>
    <n v="221780"/>
    <m/>
    <n v="1763567"/>
    <m/>
    <n v="363270"/>
    <m/>
    <n v="90425"/>
    <m/>
    <n v="114050"/>
    <m/>
    <n v="3750.2586206896599"/>
    <m/>
    <n v="0"/>
    <m/>
    <n v="0"/>
    <n v="0"/>
    <n v="-8442164.1292602494"/>
    <n v="-1"/>
    <n v="5.5650374375691078E-2"/>
    <e v="#DIV/0!"/>
    <n v="-1"/>
  </r>
  <r>
    <n v="92327737"/>
    <n v="5138073.1293103453"/>
    <n v="2.7345195406326656E-2"/>
    <m/>
    <x v="346"/>
    <n v="6704338.5773267001"/>
    <n v="4442155.4196366798"/>
    <n v="2262183.1576900198"/>
    <n v="3236267"/>
    <m/>
    <n v="59461.206896551703"/>
    <m/>
    <n v="-5517"/>
    <m/>
    <n v="1235"/>
    <m/>
    <n v="131578"/>
    <m/>
    <n v="1165862"/>
    <m/>
    <n v="332613"/>
    <m/>
    <n v="91573"/>
    <m/>
    <n v="125582"/>
    <m/>
    <n v="-581.07758620689697"/>
    <m/>
    <n v="0"/>
    <m/>
    <n v="0"/>
    <n v="0"/>
    <n v="-6704338.5773267001"/>
    <n v="-1"/>
    <n v="4.8594738625632079E-2"/>
    <e v="#DIV/0!"/>
    <n v="-1"/>
  </r>
  <r>
    <n v="104292228"/>
    <n v="5068053.5603448274"/>
    <n v="2.6972546215191875E-2"/>
    <m/>
    <x v="347"/>
    <n v="6590839.4665274341"/>
    <n v="5730779.3602097398"/>
    <n v="860060.10631769395"/>
    <n v="4186498"/>
    <m/>
    <n v="63377.5862068965"/>
    <m/>
    <n v="-2176"/>
    <m/>
    <n v="4620"/>
    <m/>
    <n v="163689"/>
    <m/>
    <n v="3655"/>
    <m/>
    <n v="400332"/>
    <m/>
    <n v="101596"/>
    <m/>
    <n v="147093"/>
    <m/>
    <n v="-631.02586206896603"/>
    <m/>
    <n v="0"/>
    <m/>
    <n v="0"/>
    <n v="0"/>
    <n v="-6590839.4665274341"/>
    <n v="-1"/>
    <n v="0.14440148476815795"/>
    <e v="#DIV/0!"/>
    <n v="-1"/>
  </r>
  <r>
    <n v="65616616"/>
    <n v="9475136.7758620698"/>
    <n v="5.0427360630501128E-2"/>
    <m/>
    <x v="348"/>
    <n v="12364960.58185959"/>
    <n v="8102268.9720883202"/>
    <n v="4262691.6097712703"/>
    <n v="5911164"/>
    <m/>
    <n v="55170.689655172398"/>
    <m/>
    <n v="96597"/>
    <m/>
    <n v="5578"/>
    <m/>
    <n v="174915"/>
    <m/>
    <n v="2393939"/>
    <m/>
    <n v="492432"/>
    <m/>
    <n v="136733"/>
    <m/>
    <n v="186165"/>
    <m/>
    <n v="22443.086206896602"/>
    <m/>
    <n v="0"/>
    <m/>
    <n v="0"/>
    <n v="0"/>
    <n v="-12364960.58185959"/>
    <n v="-1"/>
    <n v="0.16264674791345135"/>
    <e v="#DIV/0!"/>
    <n v="-1"/>
  </r>
  <r>
    <n v="77580854"/>
    <n v="12618273.603448274"/>
    <n v="6.7155361298468066E-2"/>
    <m/>
    <x v="349"/>
    <n v="16491338.05188093"/>
    <n v="9289696.4170294795"/>
    <n v="7201641.6348514501"/>
    <n v="6852617"/>
    <m/>
    <n v="56310.344827586203"/>
    <m/>
    <n v="109047"/>
    <m/>
    <n v="2019"/>
    <m/>
    <n v="138436"/>
    <m/>
    <n v="4615472"/>
    <m/>
    <n v="570628"/>
    <m/>
    <n v="102615"/>
    <m/>
    <n v="148024"/>
    <m/>
    <n v="22071.6379310345"/>
    <m/>
    <n v="1033.6206896551701"/>
    <m/>
    <n v="0"/>
    <n v="0"/>
    <n v="-16491338.05188093"/>
    <n v="-1"/>
    <n v="0.11495336783884401"/>
    <e v="#DIV/0!"/>
    <n v="-1"/>
  </r>
  <r>
    <n v="80887423"/>
    <n v="9298281.6896551717"/>
    <n v="4.9486125118818267E-2"/>
    <m/>
    <x v="350"/>
    <n v="12140564.735394981"/>
    <n v="7561054.78128119"/>
    <n v="4579509.9541137898"/>
    <n v="5512521"/>
    <m/>
    <n v="51579.310344827602"/>
    <m/>
    <n v="78025"/>
    <m/>
    <n v="134"/>
    <m/>
    <n v="184118"/>
    <m/>
    <n v="2496155"/>
    <m/>
    <n v="626379"/>
    <m/>
    <n v="144053"/>
    <m/>
    <n v="183327"/>
    <m/>
    <n v="21990.379310344801"/>
    <m/>
    <n v="0"/>
    <m/>
    <n v="0"/>
    <n v="0"/>
    <n v="-12140564.735394981"/>
    <n v="-1"/>
    <n v="8.3796062506301991E-2"/>
    <e v="#DIV/0!"/>
    <n v="-1"/>
  </r>
  <r>
    <n v="89154537"/>
    <n v="7470799.1551724132"/>
    <n v="3.9760131395216343E-2"/>
    <m/>
    <x v="351"/>
    <n v="9743710.1453950405"/>
    <n v="6730248.0431377003"/>
    <n v="3013462.1022573402"/>
    <n v="4907692"/>
    <m/>
    <n v="57534.482758620703"/>
    <m/>
    <n v="25079"/>
    <m/>
    <n v="0"/>
    <m/>
    <n v="195871"/>
    <m/>
    <n v="1595724"/>
    <m/>
    <n v="465815"/>
    <m/>
    <n v="88159"/>
    <m/>
    <n v="123030"/>
    <m/>
    <n v="12842.0862068966"/>
    <m/>
    <n v="-947.41379310344803"/>
    <m/>
    <n v="0"/>
    <n v="0"/>
    <n v="-9743710.1453950405"/>
    <n v="-1"/>
    <n v="6.442840868649688E-2"/>
    <e v="#DIV/0!"/>
    <n v="-1"/>
  </r>
  <r>
    <n v="93901132"/>
    <n v="6049900.5086206896"/>
    <n v="3.2198006418657825E-2"/>
    <m/>
    <x v="352"/>
    <n v="7881734.6451879498"/>
    <n v="5985567.1027632495"/>
    <n v="1896167.5424247"/>
    <n v="4233630"/>
    <m/>
    <n v="55192.241379310297"/>
    <m/>
    <n v="61571"/>
    <m/>
    <n v="1807"/>
    <m/>
    <n v="260142"/>
    <m/>
    <n v="910724"/>
    <m/>
    <n v="311790"/>
    <m/>
    <n v="88213"/>
    <m/>
    <n v="121448"/>
    <m/>
    <n v="5383.2672413793098"/>
    <m/>
    <n v="0"/>
    <m/>
    <n v="0"/>
    <n v="0"/>
    <n v="-7881734.6451879498"/>
    <n v="-1"/>
    <n v="4.7993648997108257E-2"/>
    <e v="#DIV/0!"/>
    <n v="-1"/>
  </r>
  <r>
    <n v="109415421"/>
    <n v="5251245.3103448274"/>
    <n v="2.7947505908155475E-2"/>
    <m/>
    <x v="353"/>
    <n v="6854030.7340119798"/>
    <n v="4416810.0697513102"/>
    <n v="2437220.6642606701"/>
    <n v="3162185"/>
    <m/>
    <n v="56364.655172413797"/>
    <m/>
    <n v="11112"/>
    <m/>
    <n v="6379"/>
    <m/>
    <n v="167453"/>
    <m/>
    <n v="1460290"/>
    <m/>
    <n v="236261"/>
    <m/>
    <n v="60838"/>
    <m/>
    <n v="88123"/>
    <m/>
    <n v="2239.6551724137898"/>
    <m/>
    <n v="0"/>
    <m/>
    <n v="0"/>
    <n v="0"/>
    <n v="-6854030.7340119798"/>
    <n v="-1"/>
    <n v="3.6739346674946223E-2"/>
    <e v="#DIV/0!"/>
    <n v="-1"/>
  </r>
  <r>
    <n v="127581576"/>
    <n v="4687263.7499999991"/>
    <n v="2.4945955407595675E-2"/>
    <m/>
    <x v="354"/>
    <n v="6106597.1445624493"/>
    <n v="4632019.4705554498"/>
    <n v="1474577.6740069999"/>
    <n v="3267153"/>
    <m/>
    <n v="67824.137931034493"/>
    <m/>
    <n v="8034"/>
    <m/>
    <n v="4687"/>
    <m/>
    <n v="221631"/>
    <m/>
    <n v="682525"/>
    <m/>
    <n v="246073"/>
    <m/>
    <n v="84110"/>
    <m/>
    <n v="101881"/>
    <m/>
    <n v="2570.6120689655199"/>
    <m/>
    <n v="775"/>
    <m/>
    <n v="0"/>
    <n v="0"/>
    <n v="-6106597.1445624493"/>
    <n v="-1"/>
    <n v="5.8856925811919772E-2"/>
    <e v="#DIV/0!"/>
    <n v="-1"/>
  </r>
  <r>
    <n v="111476439"/>
    <n v="6561160.5"/>
    <n v="3.4918968930450774E-2"/>
    <m/>
    <x v="355"/>
    <n v="8574536.6079675406"/>
    <n v="4861628.01719655"/>
    <n v="3712908.5907709901"/>
    <n v="3485137"/>
    <m/>
    <n v="49748.275862069"/>
    <m/>
    <n v="47955"/>
    <m/>
    <n v="5639"/>
    <m/>
    <n v="157781"/>
    <m/>
    <n v="2394236"/>
    <m/>
    <n v="262249"/>
    <m/>
    <n v="63093"/>
    <m/>
    <n v="90524"/>
    <m/>
    <n v="4798.2241379310399"/>
    <m/>
    <n v="0"/>
    <m/>
    <n v="0"/>
    <n v="0"/>
    <n v="-8574536.6079675406"/>
    <n v="-1"/>
    <n v="3.6723276356476924E-2"/>
    <e v="#DIV/0!"/>
    <n v="-1"/>
  </r>
  <r>
    <n v="111875362"/>
    <n v="4108429.8362068967"/>
    <n v="2.1865359611831715E-2"/>
    <m/>
    <x v="356"/>
    <n v="5347551.7033749828"/>
    <n v="4360918.6119045001"/>
    <n v="986633.09147048299"/>
    <n v="3161304"/>
    <m/>
    <n v="49668.965517241399"/>
    <m/>
    <n v="40624"/>
    <m/>
    <n v="2572"/>
    <m/>
    <n v="106256"/>
    <m/>
    <n v="434393"/>
    <m/>
    <n v="198282"/>
    <m/>
    <n v="42615"/>
    <m/>
    <n v="57674"/>
    <m/>
    <n v="15040.870689655199"/>
    <m/>
    <n v="0"/>
    <m/>
    <n v="0"/>
    <n v="0"/>
    <n v="-5347551.7033749828"/>
    <n v="-1"/>
    <n v="4.149018268199136E-2"/>
    <e v="#DIV/0!"/>
    <n v="-1"/>
  </r>
  <r>
    <n v="53918132"/>
    <n v="2237073.1465517241"/>
    <n v="1.1905864473150047E-2"/>
    <m/>
    <x v="357"/>
    <n v="2911968.3938946808"/>
    <n v="2363376.4382297499"/>
    <n v="548591.95566493098"/>
    <n v="1627852"/>
    <m/>
    <n v="28223.275862069"/>
    <m/>
    <n v="5195"/>
    <m/>
    <n v="3081"/>
    <m/>
    <n v="156813"/>
    <m/>
    <n v="160817"/>
    <m/>
    <n v="185477"/>
    <m/>
    <n v="29110"/>
    <m/>
    <n v="38376"/>
    <m/>
    <n v="2128.8706896551698"/>
    <m/>
    <n v="0"/>
    <m/>
    <n v="0"/>
    <n v="0"/>
    <n v="-2911968.3938946808"/>
    <n v="-1"/>
    <n v="1.0154091726609291"/>
    <e v="#DIV/0!"/>
    <n v="-1"/>
  </r>
  <r>
    <n v="2799799"/>
    <n v="2842941.5862068967"/>
    <n v="1.5130339963463028E-2"/>
    <m/>
    <x v="358"/>
    <n v="3715710.5043031201"/>
    <n v="2083625.5491528299"/>
    <n v="1632084.9551502899"/>
    <n v="1583968"/>
    <m/>
    <n v="20177.586206896602"/>
    <m/>
    <n v="-301"/>
    <m/>
    <n v="875"/>
    <m/>
    <n v="875"/>
    <m/>
    <n v="937342"/>
    <m/>
    <n v="208467"/>
    <m/>
    <n v="42593"/>
    <m/>
    <n v="48945"/>
    <m/>
    <n v="0"/>
    <m/>
    <n v="0"/>
    <m/>
    <n v="0"/>
    <n v="0"/>
    <n v="-3715710.5043031201"/>
    <n v="-1"/>
    <n v="7.7717782168641808E-2"/>
    <e v="#DIV/0!"/>
    <n v="-1"/>
  </r>
  <r>
    <n v="53118932"/>
    <n v="4128285.5862068967"/>
    <n v="2.1971033343992481E-2"/>
    <m/>
    <x v="359"/>
    <n v="5383194.09358921"/>
    <n v="3784792.4418557999"/>
    <n v="1598401.6517334101"/>
    <n v="2721769"/>
    <m/>
    <n v="46586.206896551703"/>
    <m/>
    <n v="3089"/>
    <m/>
    <n v="3108"/>
    <m/>
    <n v="141923"/>
    <m/>
    <n v="871637"/>
    <m/>
    <n v="261080"/>
    <m/>
    <n v="31394"/>
    <m/>
    <n v="47183"/>
    <m/>
    <n v="516.37931034482801"/>
    <m/>
    <n v="0"/>
    <m/>
    <n v="0"/>
    <n v="0"/>
    <n v="-5383194.09358921"/>
    <n v="-1"/>
    <n v="5.7728269867496684E-2"/>
    <e v="#DIV/0!"/>
    <n v="-1"/>
  </r>
  <r>
    <n v="58987154"/>
    <n v="3405226.3448275863"/>
    <n v="1.8122859962987788E-2"/>
    <m/>
    <x v="360"/>
    <n v="4438762.4189326297"/>
    <n v="3218090.7775387201"/>
    <n v="1220671.6413939099"/>
    <n v="2337835"/>
    <m/>
    <n v="29682.758620689699"/>
    <m/>
    <n v="28710"/>
    <m/>
    <n v="1996"/>
    <m/>
    <n v="81564"/>
    <m/>
    <n v="580797"/>
    <m/>
    <n v="266643"/>
    <m/>
    <n v="33335"/>
    <m/>
    <n v="43286"/>
    <m/>
    <n v="1377.58620689655"/>
    <m/>
    <n v="0"/>
    <m/>
    <n v="0"/>
    <n v="0"/>
    <n v="-4438762.4189326297"/>
    <n v="-1"/>
    <n v="5.1796928950863928E-2"/>
    <e v="#DIV/0!"/>
    <n v="-1"/>
  </r>
  <r>
    <n v="66407159"/>
    <n v="3439686.8965517241"/>
    <n v="1.8306261502240084E-2"/>
    <m/>
    <x v="361"/>
    <n v="4484247.6234333599"/>
    <n v="3216197.5709312102"/>
    <n v="1268050.0525021499"/>
    <n v="2361733"/>
    <m/>
    <n v="46006.896551724101"/>
    <m/>
    <n v="-1939"/>
    <m/>
    <n v="5572"/>
    <m/>
    <n v="66956"/>
    <m/>
    <n v="557576"/>
    <m/>
    <n v="290065"/>
    <m/>
    <n v="51047"/>
    <m/>
    <n v="62670"/>
    <m/>
    <n v="0"/>
    <m/>
    <n v="0"/>
    <m/>
    <n v="0"/>
    <n v="0"/>
    <n v="-4484247.6234333599"/>
    <n v="-1"/>
    <n v="7.8772924398459912E-2"/>
    <e v="#DIV/0!"/>
    <n v="-1"/>
  </r>
  <r>
    <n v="64104194"/>
    <n v="5049674.8275862075"/>
    <n v="2.6874733275212843E-2"/>
    <m/>
    <x v="362"/>
    <n v="6590760.6626815703"/>
    <n v="4258011.2181180399"/>
    <n v="2332749.4445635299"/>
    <n v="3160262"/>
    <m/>
    <n v="41125.8620689655"/>
    <m/>
    <n v="-878"/>
    <m/>
    <n v="808"/>
    <m/>
    <n v="79809"/>
    <m/>
    <n v="1453361"/>
    <m/>
    <n v="198633"/>
    <m/>
    <n v="31565"/>
    <m/>
    <n v="46263"/>
    <m/>
    <n v="38725.965517241399"/>
    <m/>
    <n v="0"/>
    <m/>
    <n v="0"/>
    <n v="0"/>
    <n v="-6590760.6626815703"/>
    <n v="-1"/>
    <n v="5.4388240205066843E-2"/>
    <e v="#DIV/0!"/>
    <n v="-1"/>
  </r>
  <r>
    <n v="68127355"/>
    <n v="3705326.9482758618"/>
    <n v="1.9720016997603822E-2"/>
    <m/>
    <x v="363"/>
    <n v="4826005.1722127907"/>
    <n v="3742016.0053084302"/>
    <n v="1083989.1669043601"/>
    <n v="2661283"/>
    <m/>
    <n v="34689.655172413797"/>
    <m/>
    <n v="41930"/>
    <m/>
    <n v="1066"/>
    <m/>
    <n v="144544"/>
    <m/>
    <n v="638572"/>
    <m/>
    <n v="76225"/>
    <m/>
    <n v="34881"/>
    <m/>
    <n v="48503"/>
    <m/>
    <n v="23633.293103448301"/>
    <m/>
    <n v="0"/>
    <m/>
    <n v="0"/>
    <n v="0"/>
    <n v="-4826005.1722127907"/>
    <n v="-1"/>
    <n v="5.281232545210781E-2"/>
    <e v="#DIV/0!"/>
    <n v="-1"/>
  </r>
  <r>
    <n v="34102697"/>
    <n v="1801042.7327586208"/>
    <n v="9.5852791937664737E-3"/>
    <m/>
    <x v="364"/>
    <n v="2347533.6577677578"/>
    <n v="1711325.7336611201"/>
    <n v="636207.92410663795"/>
    <n v="1199966"/>
    <m/>
    <n v="21188.793103448301"/>
    <m/>
    <n v="9722"/>
    <m/>
    <n v="473"/>
    <m/>
    <n v="87359"/>
    <m/>
    <n v="353464"/>
    <m/>
    <n v="73566"/>
    <m/>
    <n v="22861"/>
    <m/>
    <n v="29946"/>
    <m/>
    <n v="2496.9396551724099"/>
    <m/>
    <n v="0"/>
    <m/>
    <n v="0"/>
    <n v="0"/>
    <n v="-2347533.6577677578"/>
    <e v="#DIV/0!"/>
    <e v="#DIV/0!"/>
    <e v="#DIV/0!"/>
    <e v="#DIV/0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2AC108-B080-433B-A1AC-D6083AAD17B1}" name="TablaDinámica2" cacheId="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3" firstHeaderRow="1" firstDataRow="1" firstDataCol="1"/>
  <pivotFields count="42">
    <pivotField axis="axisRow" numFmtId="168" showAll="0">
      <items count="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numFmtId="165" showAll="0"/>
    <pivotField numFmtId="165" showAll="0"/>
    <pivotField numFmtId="9" showAll="0"/>
    <pivotField numFmtId="165" showAll="0"/>
    <pivotField numFmtId="168" showAll="0">
      <items count="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9" showAll="0"/>
    <pivotField numFmtId="165" showAll="0"/>
    <pivotField numFmtId="9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39"/>
    <field x="38"/>
    <field x="0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de Afiliados 2025" fld="11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DCB04-9213-434A-99ED-2823C0974FFA}" name="TablaDinámica3" cacheId="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N5" firstHeaderRow="1" firstDataRow="2" firstDataCol="1"/>
  <pivotFields count="42">
    <pivotField numFmtId="168" showAll="0">
      <items count="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numFmtId="165" showAll="0"/>
    <pivotField numFmtId="165" showAll="0"/>
    <pivotField numFmtId="9" showAll="0"/>
    <pivotField numFmtId="165" showAll="0"/>
    <pivotField numFmtId="168" showAll="0">
      <items count="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9" showAll="0"/>
    <pivotField numFmtId="165" showAll="0"/>
    <pivotField numFmtId="9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39"/>
  </colFields>
  <col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a de Afiliados 2026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27768A-5A6D-4ECB-82AA-D6E3A06FFEB7}" name="TablaDinámica1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16" firstHeaderRow="0" firstDataRow="1" firstDataCol="1"/>
  <pivotFields count="42">
    <pivotField axis="axisRow" numFmtId="168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dataField="1" numFmtId="165" showAll="0"/>
    <pivotField numFmtId="165" showAll="0"/>
    <pivotField numFmtId="9" showAll="0"/>
    <pivotField showAll="0"/>
    <pivotField numFmtId="168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umFmtId="165" showAll="0"/>
    <pivotField numFmtId="165" showAll="0"/>
    <pivotField numFmtId="165" showAll="0"/>
    <pivotField dataField="1" numFmtId="165" showAll="0"/>
    <pivotField showAll="0"/>
    <pivotField numFmtId="165" showAll="0"/>
    <pivotField showAll="0"/>
    <pivotField dataField="1" numFmtId="165" showAll="0"/>
    <pivotField showAll="0"/>
    <pivotField dataField="1" numFmtId="165" showAll="0"/>
    <pivotField showAll="0"/>
    <pivotField dataField="1" numFmtId="165" showAll="0"/>
    <pivotField showAll="0"/>
    <pivotField dataField="1" numFmtId="165" showAll="0"/>
    <pivotField showAll="0"/>
    <pivotField dataField="1" numFmtId="165" showAll="0"/>
    <pivotField showAll="0"/>
    <pivotField dataField="1" numFmtId="165" showAll="0"/>
    <pivotField showAll="0"/>
    <pivotField dataField="1" numFmtId="165" showAll="0"/>
    <pivotField showAll="0"/>
    <pivotField dataField="1" showAll="0"/>
    <pivotField showAll="0"/>
    <pivotField dataField="1" numFmtId="165" showAll="0"/>
    <pivotField showAll="0"/>
    <pivotField numFmtId="165" showAll="0"/>
    <pivotField numFmtId="9" showAll="0"/>
    <pivotField numFmtId="165"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39"/>
    <field x="38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Suma de Web + APP 2025" fld="9" baseField="0" baseItem="0" numFmtId="165"/>
    <dataField name="Suma de TMK 2025" fld="13" baseField="0" baseItem="0" numFmtId="165"/>
    <dataField name="Suma de WA 2025" fld="15" baseField="0" baseItem="0" numFmtId="165"/>
    <dataField name="Suma de Ent. en Tienda 2025" fld="17" baseField="0" baseItem="0" numFmtId="165"/>
    <dataField name="Suma de Meli Drop 2025" fld="19" baseField="0" baseItem="0" numFmtId="165"/>
    <dataField name="Suma de Meli Full 2025" fld="21" baseField="0" baseItem="0" numFmtId="165"/>
    <dataField name="Suma de Amazon Drop 2025" fld="23" baseField="0" baseItem="0" numFmtId="165"/>
    <dataField name="Suma de Amazon Full 2025" fld="25" baseField="0" baseItem="0" numFmtId="165"/>
    <dataField name="Suma de TikTok 2025" fld="27" baseField="0" baseItem="0"/>
    <dataField name="Suma de Shein 2025" fld="29" baseField="0" baseItem="0" numFmtId="165"/>
    <dataField name="Suma de Global 2025" fld="1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7E9D1-4C77-4846-A039-B539F9A65305}" name="TablaDinámica2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9:E32" firstHeaderRow="0" firstDataRow="1" firstDataCol="1"/>
  <pivotFields count="42">
    <pivotField numFmtId="168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umFmtId="165" showAll="0"/>
    <pivotField numFmtId="165" showAll="0"/>
    <pivotField numFmtId="9" showAll="0"/>
    <pivotField showAll="0"/>
    <pivotField numFmtId="168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umFmtId="165" showAll="0"/>
    <pivotField numFmtId="165" showAll="0"/>
    <pivotField numFmtId="165" showAll="0"/>
    <pivotField numFmtId="165" showAll="0"/>
    <pivotField showAll="0"/>
    <pivotField numFmtId="165" showAll="0"/>
    <pivotField showAll="0"/>
    <pivotField numFmtId="165" showAll="0"/>
    <pivotField showAll="0"/>
    <pivotField numFmtId="165" showAll="0"/>
    <pivotField showAll="0"/>
    <pivotField numFmtId="165" showAll="0"/>
    <pivotField showAll="0"/>
    <pivotField dataField="1" numFmtId="165" showAll="0"/>
    <pivotField dataField="1" showAll="0"/>
    <pivotField dataField="1" numFmtId="165" showAll="0"/>
    <pivotField dataField="1" showAll="0"/>
    <pivotField numFmtId="165" showAll="0"/>
    <pivotField showAll="0"/>
    <pivotField numFmtId="165" showAll="0"/>
    <pivotField showAll="0"/>
    <pivotField showAll="0"/>
    <pivotField showAll="0"/>
    <pivotField numFmtId="165" showAll="0"/>
    <pivotField showAll="0"/>
    <pivotField numFmtId="165" showAll="0"/>
    <pivotField numFmtId="9" showAll="0"/>
    <pivotField numFmtId="165"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41"/>
    <field x="4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Meli Full 2025" fld="21" baseField="0" baseItem="0" numFmtId="165"/>
    <dataField name="Suma de Meli Drop 2025" fld="19" baseField="0" baseItem="0" numFmtId="165"/>
    <dataField name="Suma de Meli Drop 2026" fld="20" baseField="0" baseItem="0" numFmtId="165"/>
    <dataField name="Suma de Meli Full 2026" fld="22" baseField="0" baseItem="0" numFmtId="165"/>
  </dataFields>
  <formats count="1">
    <format dxfId="222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7E7D22-AECB-4B56-A529-EDBA60A876D2}" name="TablaDinámica1" cacheId="36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3:N131" firstHeaderRow="0" firstDataRow="1" firstDataCol="2"/>
  <pivotFields count="39">
    <pivotField compact="0" numFmtId="165" outline="0" showAll="0"/>
    <pivotField compact="0" numFmtId="165" outline="0" showAll="0"/>
    <pivotField compact="0" numFmtId="9" outline="0" showAll="0"/>
    <pivotField compact="0" outline="0" showAll="0"/>
    <pivotField compact="0" numFmtId="168" outline="0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dataField="1" compact="0" outline="0" showAll="0"/>
    <pivotField compact="0" numFmtId="165" outline="0" showAll="0"/>
    <pivotField dataField="1" compact="0" outline="0" showAll="0"/>
    <pivotField compact="0" numFmtId="165" outline="0" showAll="0"/>
    <pivotField dataField="1" compact="0" outline="0" showAll="0"/>
    <pivotField compact="0" numFmtId="165" outline="0" showAll="0"/>
    <pivotField dataField="1" compact="0" outline="0" showAll="0"/>
    <pivotField compact="0" numFmtId="165" outline="0" showAll="0"/>
    <pivotField dataField="1" compact="0" outline="0" showAll="0"/>
    <pivotField compact="0" numFmtId="165" outline="0" showAll="0"/>
    <pivotField dataField="1" compact="0" outline="0" showAll="0"/>
    <pivotField compact="0" numFmtId="165" outline="0" showAll="0"/>
    <pivotField dataField="1" compact="0" outline="0" showAll="0"/>
    <pivotField compact="0" numFmtId="165" outline="0" showAll="0"/>
    <pivotField dataField="1" compact="0" outline="0" showAll="0"/>
    <pivotField compact="0" numFmtId="165" outline="0" showAll="0"/>
    <pivotField dataField="1" compact="0" outline="0" showAll="0"/>
    <pivotField compact="0" outline="0" showAll="0"/>
    <pivotField dataField="1" compact="0" outline="0" showAll="0"/>
    <pivotField compact="0" numFmtId="165" outline="0" showAll="0"/>
    <pivotField dataField="1" compact="0" outline="0" showAll="0"/>
    <pivotField dataField="1" compact="0" numFmtId="165" outline="0" showAll="0"/>
    <pivotField compact="0" numFmtId="9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compact="0" outline="0" showAll="0">
      <items count="15">
        <item h="1" x="0"/>
        <item h="1" x="1"/>
        <item h="1" x="2"/>
        <item h="1" x="3"/>
        <item h="1" x="4"/>
        <item x="5"/>
        <item x="6"/>
        <item x="7"/>
        <item x="8"/>
        <item h="1" x="9"/>
        <item h="1" x="10"/>
        <item h="1" x="11"/>
        <item h="1" x="12"/>
        <item h="1" x="13"/>
        <item t="default"/>
      </items>
    </pivotField>
  </pivotFields>
  <rowFields count="2">
    <field x="38"/>
    <field x="37"/>
  </rowFields>
  <rowItems count="128">
    <i>
      <x v="5"/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t="default">
      <x v="5"/>
    </i>
    <i>
      <x v="6"/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t="default">
      <x v="6"/>
    </i>
    <i>
      <x v="7"/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t="default">
      <x v="7"/>
    </i>
    <i>
      <x v="8"/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t="default">
      <x v="8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 Web + APP 2026" fld="9" baseField="0" baseItem="0"/>
    <dataField name=" Afiliados 2026" fld="11" baseField="0" baseItem="0"/>
    <dataField name=" TMK 2026" fld="13" baseField="0" baseItem="0"/>
    <dataField name=" WA 2026" fld="15" baseField="0" baseItem="0"/>
    <dataField name=" Ent. en Tienda 2026" fld="17" baseField="0" baseItem="0"/>
    <dataField name=" Meli Drop 2026" fld="19" baseField="0" baseItem="0"/>
    <dataField name=" Meli Full 2026" fld="21" baseField="0" baseItem="0"/>
    <dataField name=" Amazon Drop 2026" fld="23" baseField="0" baseItem="0"/>
    <dataField name=" Amazon Full 2026" fld="25" baseField="0" baseItem="0"/>
    <dataField name=" TikTok 2026" fld="27" baseField="0" baseItem="0"/>
    <dataField name=" Shein 2026" fld="29" baseField="0" baseItem="0"/>
    <dataField name=" Venta Total 2026" fld="30" baseField="0" baseItem="0" numFmtId="165"/>
  </dataFields>
  <formats count="10">
    <format dxfId="221">
      <pivotArea outline="0" collapsedLevelsAreSubtotals="1" fieldPosition="0"/>
    </format>
    <format dxfId="220">
      <pivotArea outline="0" collapsedLevelsAreSubtotals="1" fieldPosition="0"/>
    </format>
    <format dxfId="219">
      <pivotArea outline="0" collapsedLevelsAreSubtotals="1" fieldPosition="0"/>
    </format>
    <format dxfId="218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17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16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1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14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213">
      <pivotArea outline="0" fieldPosition="0">
        <references count="1">
          <reference field="4294967294" count="1" selected="0">
            <x v="11"/>
          </reference>
        </references>
      </pivotArea>
    </format>
    <format dxfId="212">
      <pivotArea dataOnly="0" labelOnly="1" outline="0" fieldPosition="0">
        <references count="1">
          <reference field="4294967294" count="1"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92627C-0506-4357-B410-E8366C7CFF76}" name="TablaDinámica4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5:R18" firstHeaderRow="0" firstDataRow="1" firstDataCol="1"/>
  <pivotFields count="42">
    <pivotField axis="axisRow" numFmtId="168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umFmtId="165" showAll="0"/>
    <pivotField numFmtId="165" showAll="0"/>
    <pivotField numFmtId="9" showAll="0"/>
    <pivotField showAll="0"/>
    <pivotField numFmtId="168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umFmtId="165" showAll="0"/>
    <pivotField numFmtId="165" showAll="0"/>
    <pivotField numFmtId="165" showAll="0"/>
    <pivotField dataField="1" numFmtId="165" showAll="0"/>
    <pivotField showAll="0"/>
    <pivotField dataField="1" numFmtId="165" showAll="0"/>
    <pivotField showAll="0"/>
    <pivotField dataField="1" numFmtId="165" showAll="0"/>
    <pivotField showAll="0"/>
    <pivotField dataField="1" numFmtId="165" showAll="0"/>
    <pivotField showAll="0"/>
    <pivotField dataField="1" numFmtId="165" showAll="0"/>
    <pivotField showAll="0"/>
    <pivotField dataField="1" numFmtId="165" showAll="0"/>
    <pivotField showAll="0"/>
    <pivotField dataField="1" numFmtId="165" showAll="0"/>
    <pivotField showAll="0"/>
    <pivotField dataField="1" numFmtId="165" showAll="0"/>
    <pivotField showAll="0"/>
    <pivotField dataField="1" numFmtId="165" showAll="0"/>
    <pivotField showAll="0"/>
    <pivotField dataField="1" showAll="0"/>
    <pivotField showAll="0"/>
    <pivotField dataField="1" numFmtId="165" showAll="0"/>
    <pivotField showAll="0"/>
    <pivotField numFmtId="165" showAll="0"/>
    <pivotField numFmtId="9" showAll="0"/>
    <pivotField numFmtId="165" showAll="0"/>
    <pivotField showAll="0"/>
    <pivotField showAll="0"/>
    <pivotField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3">
    <field x="39"/>
    <field x="38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Suma de Web + APP 2025" fld="9" baseField="0" baseItem="0" numFmtId="165"/>
    <dataField name="Suma de Afiliados 2025" fld="11" baseField="0" baseItem="0" numFmtId="165"/>
    <dataField name="Suma de TMK 2025" fld="13" baseField="0" baseItem="0" numFmtId="165"/>
    <dataField name="Suma de WA 2025" fld="15" baseField="0" baseItem="0" numFmtId="165"/>
    <dataField name="Suma de Ent. en Tienda 2025" fld="17" baseField="0" baseItem="0" numFmtId="165"/>
    <dataField name="Suma de Meli Drop 2025" fld="19" baseField="0" baseItem="0" numFmtId="165"/>
    <dataField name="Suma de Meli Full 2025" fld="21" baseField="0" baseItem="0" numFmtId="165"/>
    <dataField name="Suma de Amazon Drop 2025" fld="23" baseField="0" baseItem="0" numFmtId="165"/>
    <dataField name="Suma de Amazon Full 2025" fld="25" baseField="0" baseItem="0" numFmtId="165"/>
    <dataField name="Suma de TikTok 2025" fld="27" baseField="0" baseItem="0"/>
    <dataField name="Suma de Shein 2025" fld="29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6F151A-65D6-41F5-A595-DB1A73BB13A5}" name="TablaDinámica2" cacheId="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B19" firstHeaderRow="1" firstDataRow="1" firstDataCol="1"/>
  <pivotFields count="39">
    <pivotField showAll="0"/>
    <pivotField showAll="0"/>
    <pivotField showAll="0"/>
    <pivotField showAll="0"/>
    <pivotField axis="axisRow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38"/>
    <field x="37"/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WA 2026" fld="15" baseField="0" baseItem="0" numFmtId="3"/>
  </dataFields>
  <formats count="1">
    <format dxfId="2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" displayName="Tabla2" ref="B3:AL368" totalsRowShown="0">
  <tableColumns count="37">
    <tableColumn id="1" xr3:uid="{00000000-0010-0000-0000-000001000000}" name="Global 2025"/>
    <tableColumn id="2" xr3:uid="{00000000-0010-0000-0000-000002000000}" name="Vta 2025"/>
    <tableColumn id="3" xr3:uid="{00000000-0010-0000-0000-000003000000}" name="Share diario"/>
    <tableColumn id="4" xr3:uid="{00000000-0010-0000-0000-000004000000}" name="Global 2026"/>
    <tableColumn id="5" xr3:uid="{00000000-0010-0000-0000-000005000000}" name="2026"/>
    <tableColumn id="6" xr3:uid="{00000000-0010-0000-0000-000006000000}" name="Venta Meta 2026"/>
    <tableColumn id="7" xr3:uid="{00000000-0010-0000-0000-000007000000}" name="Meta Digital"/>
    <tableColumn id="8" xr3:uid="{00000000-0010-0000-0000-000008000000}" name="Meta MKPlace"/>
    <tableColumn id="9" xr3:uid="{00000000-0010-0000-0000-000009000000}" name="Web + APP 2025"/>
    <tableColumn id="10" xr3:uid="{00000000-0010-0000-0000-00000A000000}" name="Web + APP 2026"/>
    <tableColumn id="11" xr3:uid="{00000000-0010-0000-0000-00000B000000}" name="Afiliados 2025"/>
    <tableColumn id="12" xr3:uid="{00000000-0010-0000-0000-00000C000000}" name="Afiliados 2026"/>
    <tableColumn id="13" xr3:uid="{00000000-0010-0000-0000-00000D000000}" name="TMK 2025"/>
    <tableColumn id="14" xr3:uid="{00000000-0010-0000-0000-00000E000000}" name="TMK 2026"/>
    <tableColumn id="15" xr3:uid="{00000000-0010-0000-0000-00000F000000}" name="WA 2025"/>
    <tableColumn id="16" xr3:uid="{00000000-0010-0000-0000-000010000000}" name="WA 2026"/>
    <tableColumn id="17" xr3:uid="{00000000-0010-0000-0000-000011000000}" name="Ent. en Tienda 2025"/>
    <tableColumn id="18" xr3:uid="{00000000-0010-0000-0000-000012000000}" name="Ent. en Tienda 2026"/>
    <tableColumn id="19" xr3:uid="{00000000-0010-0000-0000-000013000000}" name="Meli Drop 2025"/>
    <tableColumn id="20" xr3:uid="{00000000-0010-0000-0000-000014000000}" name="Meli Drop 2026"/>
    <tableColumn id="21" xr3:uid="{00000000-0010-0000-0000-000015000000}" name="Meli Full 2025"/>
    <tableColumn id="22" xr3:uid="{00000000-0010-0000-0000-000016000000}" name="Meli Full 2026"/>
    <tableColumn id="23" xr3:uid="{00000000-0010-0000-0000-000017000000}" name="Amazon Drop 2025"/>
    <tableColumn id="24" xr3:uid="{00000000-0010-0000-0000-000018000000}" name="Amazon Drop 2026"/>
    <tableColumn id="25" xr3:uid="{00000000-0010-0000-0000-000019000000}" name="Amazon Full 2025"/>
    <tableColumn id="26" xr3:uid="{00000000-0010-0000-0000-00001A000000}" name="Amazon Full 2026"/>
    <tableColumn id="27" xr3:uid="{00000000-0010-0000-0000-00001B000000}" name="TikTok 2025"/>
    <tableColumn id="28" xr3:uid="{00000000-0010-0000-0000-00001C000000}" name="TikTok 2026"/>
    <tableColumn id="29" xr3:uid="{00000000-0010-0000-0000-00001D000000}" name="Shein 2025"/>
    <tableColumn id="30" xr3:uid="{00000000-0010-0000-0000-00001E000000}" name="Shein 2026"/>
    <tableColumn id="31" xr3:uid="{00000000-0010-0000-0000-00001F000000}" name="Venta Total 2026"/>
    <tableColumn id="32" xr3:uid="{00000000-0010-0000-0000-000020000000}" name="Alcance vs Meta"/>
    <tableColumn id="33" xr3:uid="{00000000-0010-0000-0000-000021000000}" name="Deuda"/>
    <tableColumn id="34" xr3:uid="{00000000-0010-0000-0000-000022000000}" name="Crecimiento"/>
    <tableColumn id="35" xr3:uid="{00000000-0010-0000-0000-000023000000}" name="Share vs Global 2025"/>
    <tableColumn id="36" xr3:uid="{00000000-0010-0000-0000-000024000000}" name="Share vs Global 2026"/>
    <tableColumn id="37" xr3:uid="{00000000-0010-0000-0000-000025000000}" name="Global YoY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2" displayName="Tabla22" ref="B3:AL369" totalsRowCount="1">
  <autoFilter ref="B3:AL368" xr:uid="{00000000-000C-0000-FFFF-FFFF01000000}">
    <filterColumn colId="4">
      <filters>
        <dateGroupItem year="2026" month="9" dateTimeGrouping="month"/>
      </filters>
    </filterColumn>
  </autoFilter>
  <tableColumns count="37">
    <tableColumn id="1" xr3:uid="{00000000-0010-0000-0100-000001000000}" name="Global 2025" totalsRowDxfId="35"/>
    <tableColumn id="2" xr3:uid="{00000000-0010-0000-0100-000002000000}" name="Vta 2025" totalsRowDxfId="34"/>
    <tableColumn id="3" xr3:uid="{00000000-0010-0000-0100-000003000000}" name="Share diario" totalsRowDxfId="33"/>
    <tableColumn id="4" xr3:uid="{00000000-0010-0000-0100-000004000000}" name="Global 2026" totalsRowDxfId="32"/>
    <tableColumn id="5" xr3:uid="{00000000-0010-0000-0100-000005000000}" name="2026" totalsRowDxfId="31"/>
    <tableColumn id="6" xr3:uid="{00000000-0010-0000-0100-000006000000}" name="Venta Meta 2026" totalsRowDxfId="30"/>
    <tableColumn id="7" xr3:uid="{00000000-0010-0000-0100-000007000000}" name="Meta Digital" totalsRowDxfId="29"/>
    <tableColumn id="8" xr3:uid="{00000000-0010-0000-0100-000008000000}" name="Meta MKPlace" totalsRowDxfId="28"/>
    <tableColumn id="9" xr3:uid="{00000000-0010-0000-0100-000009000000}" name="Web + APP 2025" totalsRowDxfId="27"/>
    <tableColumn id="10" xr3:uid="{00000000-0010-0000-0100-00000A000000}" name="Web + APP 2026" totalsRowDxfId="26"/>
    <tableColumn id="11" xr3:uid="{00000000-0010-0000-0100-00000B000000}" name="Afiliados 2025" totalsRowDxfId="25"/>
    <tableColumn id="12" xr3:uid="{00000000-0010-0000-0100-00000C000000}" name="Afiliados 2026" totalsRowDxfId="24"/>
    <tableColumn id="13" xr3:uid="{00000000-0010-0000-0100-00000D000000}" name="TMK 2025" totalsRowDxfId="23"/>
    <tableColumn id="14" xr3:uid="{00000000-0010-0000-0100-00000E000000}" name="TMK 2026" totalsRowDxfId="22"/>
    <tableColumn id="15" xr3:uid="{00000000-0010-0000-0100-00000F000000}" name="WA 2025" totalsRowDxfId="21"/>
    <tableColumn id="16" xr3:uid="{00000000-0010-0000-0100-000010000000}" name="WA 2026" totalsRowDxfId="20"/>
    <tableColumn id="17" xr3:uid="{00000000-0010-0000-0100-000011000000}" name="Ent. en Tienda 2025" totalsRowDxfId="19"/>
    <tableColumn id="18" xr3:uid="{00000000-0010-0000-0100-000012000000}" name="Ent. en Tienda 2026" totalsRowDxfId="18"/>
    <tableColumn id="19" xr3:uid="{00000000-0010-0000-0100-000013000000}" name="Meli Drop 2025" totalsRowDxfId="17"/>
    <tableColumn id="20" xr3:uid="{00000000-0010-0000-0100-000014000000}" name="Meli Drop 2026" totalsRowDxfId="16"/>
    <tableColumn id="21" xr3:uid="{00000000-0010-0000-0100-000015000000}" name="Meli Full 2025" totalsRowDxfId="15"/>
    <tableColumn id="22" xr3:uid="{00000000-0010-0000-0100-000016000000}" name="Meli Full 2026" totalsRowDxfId="210"/>
    <tableColumn id="23" xr3:uid="{00000000-0010-0000-0100-000017000000}" name="Amazon Drop 2025" totalsRowDxfId="14"/>
    <tableColumn id="24" xr3:uid="{00000000-0010-0000-0100-000018000000}" name="Amazon Drop 2026" totalsRowDxfId="13"/>
    <tableColumn id="25" xr3:uid="{00000000-0010-0000-0100-000019000000}" name="Amazon Full 2025" totalsRowDxfId="12"/>
    <tableColumn id="26" xr3:uid="{00000000-0010-0000-0100-00001A000000}" name="Amazon Full 2026" totalsRowDxfId="11"/>
    <tableColumn id="27" xr3:uid="{00000000-0010-0000-0100-00001B000000}" name="TikTok 2025" totalsRowDxfId="10"/>
    <tableColumn id="28" xr3:uid="{00000000-0010-0000-0100-00001C000000}" name="TikTok 2026" totalsRowDxfId="9"/>
    <tableColumn id="29" xr3:uid="{00000000-0010-0000-0100-00001D000000}" name="Shein 2025" totalsRowDxfId="8"/>
    <tableColumn id="30" xr3:uid="{00000000-0010-0000-0100-00001E000000}" name="Shein 2026" totalsRowDxfId="7"/>
    <tableColumn id="31" xr3:uid="{00000000-0010-0000-0100-00001F000000}" name="Venta Total 2026" totalsRowDxfId="6"/>
    <tableColumn id="32" xr3:uid="{00000000-0010-0000-0100-000020000000}" name="Alcance vs Meta" totalsRowDxfId="5"/>
    <tableColumn id="33" xr3:uid="{00000000-0010-0000-0100-000021000000}" name="Deuda" totalsRowDxfId="4"/>
    <tableColumn id="34" xr3:uid="{00000000-0010-0000-0100-000022000000}" name="Crecimiento" totalsRowDxfId="3"/>
    <tableColumn id="35" xr3:uid="{00000000-0010-0000-0100-000023000000}" name="Share vs Global 2025" totalsRowDxfId="2"/>
    <tableColumn id="36" xr3:uid="{00000000-0010-0000-0100-000024000000}" name="Share vs Global 2026" totalsRowDxfId="1"/>
    <tableColumn id="37" xr3:uid="{00000000-0010-0000-0100-000025000000}" name="Global YoY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0C94-51BD-409D-B5D0-1204C61EBC1D}">
  <sheetPr filterMode="1"/>
  <dimension ref="A2:BE245"/>
  <sheetViews>
    <sheetView topLeftCell="AN1" zoomScale="60" zoomScaleNormal="60" workbookViewId="0"/>
  </sheetViews>
  <sheetFormatPr baseColWidth="10" defaultColWidth="11.453125" defaultRowHeight="14.5" x14ac:dyDescent="0.35"/>
  <cols>
    <col min="1" max="1" width="27.81640625" customWidth="1"/>
    <col min="2" max="2" width="13.1796875" bestFit="1" customWidth="1"/>
    <col min="3" max="3" width="13.1796875" customWidth="1"/>
    <col min="4" max="4" width="13" style="476" customWidth="1"/>
    <col min="5" max="5" width="14.81640625" style="476" bestFit="1" customWidth="1"/>
    <col min="6" max="9" width="14.81640625" style="476" customWidth="1"/>
    <col min="10" max="10" width="27.81640625" bestFit="1" customWidth="1"/>
    <col min="11" max="13" width="0" hidden="1" customWidth="1"/>
    <col min="14" max="15" width="14.453125" bestFit="1" customWidth="1"/>
    <col min="16" max="17" width="12.81640625" bestFit="1" customWidth="1"/>
    <col min="18" max="18" width="10.453125" bestFit="1" customWidth="1"/>
    <col min="19" max="21" width="9.453125" bestFit="1" customWidth="1"/>
    <col min="22" max="23" width="17.1796875" bestFit="1" customWidth="1"/>
    <col min="24" max="25" width="13.453125" bestFit="1" customWidth="1"/>
    <col min="26" max="27" width="12.453125" bestFit="1" customWidth="1"/>
    <col min="28" max="29" width="16.81640625" bestFit="1" customWidth="1"/>
    <col min="30" max="31" width="15.81640625" bestFit="1" customWidth="1"/>
    <col min="32" max="33" width="11" bestFit="1" customWidth="1"/>
    <col min="34" max="35" width="10.453125" bestFit="1" customWidth="1"/>
    <col min="36" max="39" width="10.453125" customWidth="1"/>
    <col min="40" max="40" width="29.453125" bestFit="1" customWidth="1"/>
    <col min="41" max="57" width="10.81640625" customWidth="1"/>
    <col min="58" max="195" width="13.1796875" bestFit="1" customWidth="1"/>
    <col min="196" max="196" width="21" bestFit="1" customWidth="1"/>
    <col min="197" max="197" width="27.453125" bestFit="1" customWidth="1"/>
    <col min="198" max="366" width="10.453125" bestFit="1" customWidth="1"/>
  </cols>
  <sheetData>
    <row r="2" spans="1:57" ht="29" x14ac:dyDescent="0.35">
      <c r="A2" s="11">
        <v>2025</v>
      </c>
      <c r="B2" s="12" t="s">
        <v>0</v>
      </c>
      <c r="C2" s="470" t="s">
        <v>1</v>
      </c>
      <c r="D2" s="13" t="s">
        <v>2</v>
      </c>
      <c r="E2" s="477" t="s">
        <v>3</v>
      </c>
      <c r="F2" s="478" t="s">
        <v>4</v>
      </c>
      <c r="G2" s="478" t="s">
        <v>5</v>
      </c>
      <c r="H2" s="479" t="s">
        <v>6</v>
      </c>
      <c r="I2" s="479" t="s">
        <v>7</v>
      </c>
      <c r="J2" s="470" t="s">
        <v>8</v>
      </c>
      <c r="K2" s="471" t="s">
        <v>9</v>
      </c>
      <c r="L2" s="471" t="s">
        <v>10</v>
      </c>
      <c r="M2" s="471" t="s">
        <v>11</v>
      </c>
      <c r="N2" s="13" t="s">
        <v>12</v>
      </c>
      <c r="O2" s="13" t="s">
        <v>13</v>
      </c>
      <c r="P2" s="13" t="s">
        <v>14</v>
      </c>
      <c r="Q2" s="13" t="s">
        <v>15</v>
      </c>
      <c r="R2" s="13" t="s">
        <v>16</v>
      </c>
      <c r="S2" s="13" t="s">
        <v>17</v>
      </c>
      <c r="T2" s="13" t="s">
        <v>18</v>
      </c>
      <c r="U2" s="13" t="s">
        <v>19</v>
      </c>
      <c r="V2" s="13" t="s">
        <v>20</v>
      </c>
      <c r="W2" s="13" t="s">
        <v>21</v>
      </c>
      <c r="X2" s="13" t="s">
        <v>22</v>
      </c>
      <c r="Y2" s="13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28</v>
      </c>
      <c r="AE2" s="13" t="s">
        <v>29</v>
      </c>
      <c r="AF2" s="13" t="s">
        <v>30</v>
      </c>
      <c r="AG2" s="13" t="s">
        <v>31</v>
      </c>
      <c r="AH2" s="13" t="s">
        <v>32</v>
      </c>
      <c r="AI2" s="13" t="s">
        <v>33</v>
      </c>
      <c r="AJ2" s="32" t="s">
        <v>34</v>
      </c>
      <c r="AK2" s="32" t="s">
        <v>35</v>
      </c>
      <c r="AL2" s="32" t="s">
        <v>36</v>
      </c>
      <c r="AM2" s="32" t="s">
        <v>37</v>
      </c>
      <c r="AN2" s="470" t="s">
        <v>8</v>
      </c>
      <c r="AO2" s="480" t="s">
        <v>38</v>
      </c>
      <c r="AP2" s="481" t="s">
        <v>39</v>
      </c>
      <c r="AQ2" s="481" t="s">
        <v>40</v>
      </c>
      <c r="AR2" s="481" t="s">
        <v>41</v>
      </c>
      <c r="AS2" s="482" t="s">
        <v>42</v>
      </c>
      <c r="AT2" s="482" t="s">
        <v>43</v>
      </c>
      <c r="AU2" s="482" t="s">
        <v>44</v>
      </c>
      <c r="AV2" s="482" t="s">
        <v>45</v>
      </c>
      <c r="AW2" s="482" t="s">
        <v>46</v>
      </c>
      <c r="AX2" s="482" t="s">
        <v>47</v>
      </c>
      <c r="AY2" s="482" t="s">
        <v>48</v>
      </c>
      <c r="AZ2" s="483" t="s">
        <v>49</v>
      </c>
      <c r="BA2" s="482" t="s">
        <v>50</v>
      </c>
      <c r="BB2" s="482" t="s">
        <v>51</v>
      </c>
      <c r="BC2" s="483" t="s">
        <v>52</v>
      </c>
      <c r="BD2" s="482" t="s">
        <v>53</v>
      </c>
      <c r="BE2" s="482" t="s">
        <v>54</v>
      </c>
    </row>
    <row r="3" spans="1:57" hidden="1" x14ac:dyDescent="0.35">
      <c r="A3" s="16">
        <v>45659</v>
      </c>
      <c r="B3" s="17">
        <v>35585285</v>
      </c>
      <c r="C3" s="17">
        <v>1767787</v>
      </c>
      <c r="D3" s="17">
        <v>3530236.3103448278</v>
      </c>
      <c r="E3" s="17">
        <v>1767692</v>
      </c>
      <c r="F3" s="484">
        <f t="shared" ref="F3:F66" si="0">SUM(N3,P3,R3,T3,V3)</f>
        <v>2657177.3103448278</v>
      </c>
      <c r="G3" s="484">
        <f t="shared" ref="G3:G66" si="1">SUM(O3,Q3,S3,U3,W3)</f>
        <v>1137078</v>
      </c>
      <c r="H3" s="484">
        <f t="shared" ref="H3:H66" si="2">SUM(X3,Z3,AB3,AD3,AF3,AH3)</f>
        <v>873059</v>
      </c>
      <c r="I3" s="484">
        <f t="shared" ref="I3:I66" si="3">SUM(Y3,AA3,AC3,AE3,AG3,AI3)</f>
        <v>630614</v>
      </c>
      <c r="J3" s="19">
        <v>46023</v>
      </c>
      <c r="K3" s="17">
        <v>-36578.827797188496</v>
      </c>
      <c r="L3" s="17">
        <v>-91461.011238662599</v>
      </c>
      <c r="M3" s="17">
        <v>54882.183441474102</v>
      </c>
      <c r="N3" s="17">
        <v>2533552</v>
      </c>
      <c r="O3" s="17">
        <v>1117875</v>
      </c>
      <c r="P3" s="17">
        <v>48254.310344827602</v>
      </c>
      <c r="Q3" s="17">
        <v>17319</v>
      </c>
      <c r="R3" s="17">
        <v>21696</v>
      </c>
      <c r="S3" s="17">
        <v>0</v>
      </c>
      <c r="T3" s="17">
        <v>5984</v>
      </c>
      <c r="U3" s="17">
        <v>1884</v>
      </c>
      <c r="V3" s="17">
        <v>47691</v>
      </c>
      <c r="W3" s="17">
        <v>0</v>
      </c>
      <c r="X3" s="17">
        <v>671816</v>
      </c>
      <c r="Y3" s="17">
        <v>511381</v>
      </c>
      <c r="Z3" s="17">
        <v>116771</v>
      </c>
      <c r="AA3" s="17">
        <v>78269</v>
      </c>
      <c r="AB3" s="17">
        <v>84472</v>
      </c>
      <c r="AC3" s="17">
        <v>31357</v>
      </c>
      <c r="AD3" s="17">
        <v>0</v>
      </c>
      <c r="AE3" s="17">
        <v>7591</v>
      </c>
      <c r="AF3" s="17">
        <v>0</v>
      </c>
      <c r="AG3" s="17">
        <v>2016</v>
      </c>
      <c r="AH3" s="17">
        <v>0</v>
      </c>
      <c r="AI3" s="17">
        <v>0</v>
      </c>
      <c r="AJ3" s="54">
        <f t="shared" ref="AJ3:AJ66" si="4">X3+Z3</f>
        <v>788587</v>
      </c>
      <c r="AK3" s="54">
        <f t="shared" ref="AK3:AK66" si="5">Y3+AA3</f>
        <v>589650</v>
      </c>
      <c r="AL3" s="54">
        <f t="shared" ref="AL3:AL66" si="6">AD3+AB3</f>
        <v>84472</v>
      </c>
      <c r="AM3" s="54">
        <f t="shared" ref="AM3:AM66" si="7">AE3+AC3</f>
        <v>38948</v>
      </c>
      <c r="AN3" s="19">
        <v>46023</v>
      </c>
      <c r="AO3" s="485">
        <f t="shared" ref="AO3:AO66" si="8">C3/B3-1</f>
        <v>-0.95032252797750527</v>
      </c>
      <c r="AP3" s="485">
        <f t="shared" ref="AP3:AP66" si="9">E3/D3-1</f>
        <v>-0.49927091429544146</v>
      </c>
      <c r="AQ3" s="486">
        <f t="shared" ref="AQ3:AQ66" si="10">G3/F3-1</f>
        <v>-0.57207296796748619</v>
      </c>
      <c r="AR3" s="486">
        <f t="shared" ref="AR3:AR66" si="11">I3/H3-1</f>
        <v>-0.27769600908987824</v>
      </c>
      <c r="AS3" s="472">
        <f t="shared" ref="AS3:AS66" si="12">O3/N3-1</f>
        <v>-0.55877163760601722</v>
      </c>
      <c r="AT3" s="472">
        <f t="shared" ref="AT3:AT66" si="13">Q3/P3-1</f>
        <v>-0.64108905761500679</v>
      </c>
      <c r="AU3" s="472">
        <f t="shared" ref="AU3:AU66" si="14">S3/R3-1</f>
        <v>-1</v>
      </c>
      <c r="AV3" s="472">
        <f t="shared" ref="AV3:AV66" si="15">U3/T3-1</f>
        <v>-0.68516042780748665</v>
      </c>
      <c r="AW3" s="472">
        <f t="shared" ref="AW3:AW66" si="16">W3/V3-1</f>
        <v>-1</v>
      </c>
      <c r="AX3" s="472">
        <f t="shared" ref="AX3:AX66" si="17">Y3/X3-1</f>
        <v>-0.23880794741417288</v>
      </c>
      <c r="AY3" s="472">
        <f t="shared" ref="AY3:AY66" si="18">AA3/Z3-1</f>
        <v>-0.32972227693519796</v>
      </c>
      <c r="AZ3" s="472">
        <f t="shared" ref="AZ3:AZ66" si="19">AK3/AJ3-1</f>
        <v>-0.25227019973699794</v>
      </c>
      <c r="BA3" s="472">
        <f t="shared" ref="BA3:BA66" si="20">AC3/AB3-1</f>
        <v>-0.62878823752249269</v>
      </c>
      <c r="BB3" s="472" t="e">
        <f t="shared" ref="BB3:BB66" si="21">AE3/AD3-1</f>
        <v>#DIV/0!</v>
      </c>
      <c r="BC3" s="472">
        <f t="shared" ref="BC3:BC66" si="22">AM3/AL3-1</f>
        <v>-0.53892414054361204</v>
      </c>
      <c r="BD3" s="472" t="e">
        <f t="shared" ref="BD3:BD34" si="23">AG3/AF3-1</f>
        <v>#DIV/0!</v>
      </c>
      <c r="BE3" s="472" t="e">
        <f t="shared" ref="BE3:BE34" si="24">AI3/AH3-1</f>
        <v>#DIV/0!</v>
      </c>
    </row>
    <row r="4" spans="1:57" hidden="1" x14ac:dyDescent="0.35">
      <c r="A4" s="19">
        <v>45660</v>
      </c>
      <c r="B4" s="17">
        <v>45059441</v>
      </c>
      <c r="C4" s="17">
        <v>37878399</v>
      </c>
      <c r="D4" s="17">
        <v>2122251.3448275863</v>
      </c>
      <c r="E4" s="17">
        <v>3057411</v>
      </c>
      <c r="F4" s="484">
        <f t="shared" si="0"/>
        <v>1350420.3448275863</v>
      </c>
      <c r="G4" s="484">
        <f t="shared" si="1"/>
        <v>1978374</v>
      </c>
      <c r="H4" s="484">
        <f t="shared" si="2"/>
        <v>771831</v>
      </c>
      <c r="I4" s="484">
        <f t="shared" si="3"/>
        <v>1079037</v>
      </c>
      <c r="J4" s="19">
        <v>46024</v>
      </c>
      <c r="K4" s="17">
        <v>4512263.3008681601</v>
      </c>
      <c r="L4" s="17">
        <v>3388095.96883546</v>
      </c>
      <c r="M4" s="17">
        <v>1124167.3320327001</v>
      </c>
      <c r="N4" s="17">
        <v>1249824</v>
      </c>
      <c r="O4" s="17">
        <v>1824628</v>
      </c>
      <c r="P4" s="17">
        <v>33610.344827586203</v>
      </c>
      <c r="Q4" s="17">
        <v>32072</v>
      </c>
      <c r="R4" s="17">
        <v>21922</v>
      </c>
      <c r="S4" s="17">
        <v>15461</v>
      </c>
      <c r="T4" s="17">
        <v>4267</v>
      </c>
      <c r="U4" s="17">
        <v>5339</v>
      </c>
      <c r="V4" s="17">
        <v>40797</v>
      </c>
      <c r="W4" s="17">
        <v>100874</v>
      </c>
      <c r="X4" s="17">
        <v>650641</v>
      </c>
      <c r="Y4" s="17">
        <v>906403</v>
      </c>
      <c r="Z4" s="17">
        <v>73651</v>
      </c>
      <c r="AA4" s="17">
        <v>134485</v>
      </c>
      <c r="AB4" s="17">
        <v>47539</v>
      </c>
      <c r="AC4" s="17">
        <v>28403</v>
      </c>
      <c r="AD4" s="17">
        <v>0</v>
      </c>
      <c r="AE4" s="17">
        <v>8334</v>
      </c>
      <c r="AF4" s="17">
        <v>0</v>
      </c>
      <c r="AG4" s="17">
        <v>1412</v>
      </c>
      <c r="AH4" s="17">
        <v>0</v>
      </c>
      <c r="AI4" s="17">
        <v>0</v>
      </c>
      <c r="AJ4" s="54">
        <f t="shared" si="4"/>
        <v>724292</v>
      </c>
      <c r="AK4" s="54">
        <f t="shared" si="5"/>
        <v>1040888</v>
      </c>
      <c r="AL4" s="54">
        <f t="shared" si="6"/>
        <v>47539</v>
      </c>
      <c r="AM4" s="54">
        <f t="shared" si="7"/>
        <v>36737</v>
      </c>
      <c r="AN4" s="19">
        <v>46024</v>
      </c>
      <c r="AO4" s="487">
        <f t="shared" si="8"/>
        <v>-0.15936819988512507</v>
      </c>
      <c r="AP4" s="487">
        <f t="shared" si="9"/>
        <v>0.44064509957862086</v>
      </c>
      <c r="AQ4" s="486">
        <f t="shared" si="10"/>
        <v>0.46500606835317426</v>
      </c>
      <c r="AR4" s="486">
        <f t="shared" si="11"/>
        <v>0.39802236499959198</v>
      </c>
      <c r="AS4" s="472">
        <f t="shared" si="12"/>
        <v>0.45990795504006954</v>
      </c>
      <c r="AT4" s="472">
        <f t="shared" si="13"/>
        <v>-4.5769980506822461E-2</v>
      </c>
      <c r="AU4" s="472">
        <f t="shared" si="14"/>
        <v>-0.29472675850743546</v>
      </c>
      <c r="AV4" s="472">
        <f t="shared" si="15"/>
        <v>0.25123037262713854</v>
      </c>
      <c r="AW4" s="472">
        <f t="shared" si="16"/>
        <v>1.4725837684143444</v>
      </c>
      <c r="AX4" s="472">
        <f t="shared" si="17"/>
        <v>0.39309235046669366</v>
      </c>
      <c r="AY4" s="472">
        <f t="shared" si="18"/>
        <v>0.82597656515186491</v>
      </c>
      <c r="AZ4" s="472">
        <f t="shared" si="19"/>
        <v>0.4371109994311686</v>
      </c>
      <c r="BA4" s="472">
        <f t="shared" si="20"/>
        <v>-0.40253265739708455</v>
      </c>
      <c r="BB4" s="472" t="e">
        <f t="shared" si="21"/>
        <v>#DIV/0!</v>
      </c>
      <c r="BC4" s="472">
        <f t="shared" si="22"/>
        <v>-0.22722396348261431</v>
      </c>
      <c r="BD4" s="472" t="e">
        <f t="shared" si="23"/>
        <v>#DIV/0!</v>
      </c>
      <c r="BE4" s="472" t="e">
        <f t="shared" si="24"/>
        <v>#DIV/0!</v>
      </c>
    </row>
    <row r="5" spans="1:57" hidden="1" x14ac:dyDescent="0.35">
      <c r="A5" s="16">
        <v>45661</v>
      </c>
      <c r="B5" s="17">
        <v>52763562</v>
      </c>
      <c r="C5" s="17">
        <v>45280774</v>
      </c>
      <c r="D5" s="17">
        <v>1311866.9655172415</v>
      </c>
      <c r="E5" s="17">
        <v>2619534</v>
      </c>
      <c r="F5" s="484">
        <f t="shared" si="0"/>
        <v>915080.96551724139</v>
      </c>
      <c r="G5" s="484">
        <f t="shared" si="1"/>
        <v>1941567</v>
      </c>
      <c r="H5" s="484">
        <f t="shared" si="2"/>
        <v>396786</v>
      </c>
      <c r="I5" s="484">
        <f t="shared" si="3"/>
        <v>677967</v>
      </c>
      <c r="J5" s="19">
        <v>46025</v>
      </c>
      <c r="K5" s="17">
        <v>2715709.2287748121</v>
      </c>
      <c r="L5" s="17">
        <v>1721884.99003478</v>
      </c>
      <c r="M5" s="17">
        <v>993824.23874003196</v>
      </c>
      <c r="N5" s="17">
        <v>805491</v>
      </c>
      <c r="O5" s="17">
        <v>1844500</v>
      </c>
      <c r="P5" s="17">
        <v>33443.965517241399</v>
      </c>
      <c r="Q5" s="17">
        <v>30385</v>
      </c>
      <c r="R5" s="17">
        <v>-972</v>
      </c>
      <c r="S5" s="17">
        <v>4998</v>
      </c>
      <c r="T5" s="17">
        <v>125</v>
      </c>
      <c r="U5" s="17">
        <v>903</v>
      </c>
      <c r="V5" s="17">
        <v>76993</v>
      </c>
      <c r="W5" s="17">
        <v>60781</v>
      </c>
      <c r="X5" s="17">
        <v>272764</v>
      </c>
      <c r="Y5" s="17">
        <v>517553</v>
      </c>
      <c r="Z5" s="17">
        <v>79911</v>
      </c>
      <c r="AA5" s="17">
        <v>118746</v>
      </c>
      <c r="AB5" s="17">
        <v>44111</v>
      </c>
      <c r="AC5" s="17">
        <v>27889</v>
      </c>
      <c r="AD5" s="17">
        <v>0</v>
      </c>
      <c r="AE5" s="17">
        <v>13091</v>
      </c>
      <c r="AF5" s="17">
        <v>0</v>
      </c>
      <c r="AG5" s="17">
        <v>688</v>
      </c>
      <c r="AH5" s="17">
        <v>0</v>
      </c>
      <c r="AI5" s="17">
        <v>0</v>
      </c>
      <c r="AJ5" s="54">
        <f t="shared" si="4"/>
        <v>352675</v>
      </c>
      <c r="AK5" s="54">
        <f t="shared" si="5"/>
        <v>636299</v>
      </c>
      <c r="AL5" s="54">
        <f t="shared" si="6"/>
        <v>44111</v>
      </c>
      <c r="AM5" s="54">
        <f t="shared" si="7"/>
        <v>40980</v>
      </c>
      <c r="AN5" s="19">
        <v>46025</v>
      </c>
      <c r="AO5" s="487">
        <f t="shared" si="8"/>
        <v>-0.1418173397770226</v>
      </c>
      <c r="AP5" s="487">
        <f t="shared" si="9"/>
        <v>0.99679850842739448</v>
      </c>
      <c r="AQ5" s="486">
        <f t="shared" si="10"/>
        <v>1.1217434010361549</v>
      </c>
      <c r="AR5" s="486">
        <f t="shared" si="11"/>
        <v>0.7086464744219807</v>
      </c>
      <c r="AS5" s="472">
        <f t="shared" si="12"/>
        <v>1.2899076463920762</v>
      </c>
      <c r="AT5" s="472">
        <f t="shared" si="13"/>
        <v>-9.1465395025132623E-2</v>
      </c>
      <c r="AU5" s="472">
        <f t="shared" si="14"/>
        <v>-6.1419753086419755</v>
      </c>
      <c r="AV5" s="472">
        <f t="shared" si="15"/>
        <v>6.2240000000000002</v>
      </c>
      <c r="AW5" s="472">
        <f t="shared" si="16"/>
        <v>-0.21056459678152561</v>
      </c>
      <c r="AX5" s="472">
        <f t="shared" si="17"/>
        <v>0.89743881157337468</v>
      </c>
      <c r="AY5" s="472">
        <f t="shared" si="18"/>
        <v>0.48597815069264549</v>
      </c>
      <c r="AZ5" s="472">
        <f t="shared" si="19"/>
        <v>0.80420784007939328</v>
      </c>
      <c r="BA5" s="472">
        <f t="shared" si="20"/>
        <v>-0.36775407494729206</v>
      </c>
      <c r="BB5" s="472" t="e">
        <f t="shared" si="21"/>
        <v>#DIV/0!</v>
      </c>
      <c r="BC5" s="472">
        <f t="shared" si="22"/>
        <v>-7.0980027657500444E-2</v>
      </c>
      <c r="BD5" s="472" t="e">
        <f t="shared" si="23"/>
        <v>#DIV/0!</v>
      </c>
      <c r="BE5" s="472" t="e">
        <f t="shared" si="24"/>
        <v>#DIV/0!</v>
      </c>
    </row>
    <row r="6" spans="1:57" hidden="1" x14ac:dyDescent="0.35">
      <c r="A6" s="19">
        <v>45662</v>
      </c>
      <c r="B6" s="17">
        <v>49768856</v>
      </c>
      <c r="C6" s="17">
        <v>49319936</v>
      </c>
      <c r="D6" s="17">
        <v>1824121.6896551724</v>
      </c>
      <c r="E6" s="17">
        <v>2295830</v>
      </c>
      <c r="F6" s="484">
        <f t="shared" si="0"/>
        <v>1383885.6896551724</v>
      </c>
      <c r="G6" s="484">
        <f t="shared" si="1"/>
        <v>1968323</v>
      </c>
      <c r="H6" s="484">
        <f t="shared" si="2"/>
        <v>440236</v>
      </c>
      <c r="I6" s="484">
        <f t="shared" si="3"/>
        <v>327507</v>
      </c>
      <c r="J6" s="19">
        <v>46026</v>
      </c>
      <c r="K6" s="17">
        <v>1677704.5316270911</v>
      </c>
      <c r="L6" s="17">
        <v>1166795.35022248</v>
      </c>
      <c r="M6" s="17">
        <v>510909.18140461098</v>
      </c>
      <c r="N6" s="17">
        <v>1228466</v>
      </c>
      <c r="O6" s="17">
        <v>1894237</v>
      </c>
      <c r="P6" s="17">
        <v>26220.689655172398</v>
      </c>
      <c r="Q6" s="17">
        <v>35794</v>
      </c>
      <c r="R6" s="17">
        <v>6650</v>
      </c>
      <c r="S6" s="17">
        <v>2820</v>
      </c>
      <c r="T6" s="17">
        <v>4220</v>
      </c>
      <c r="U6" s="17">
        <v>1256</v>
      </c>
      <c r="V6" s="17">
        <v>118329</v>
      </c>
      <c r="W6" s="17">
        <v>34216</v>
      </c>
      <c r="X6" s="17">
        <v>311434</v>
      </c>
      <c r="Y6" s="17">
        <v>181111</v>
      </c>
      <c r="Z6" s="17">
        <v>74826</v>
      </c>
      <c r="AA6" s="17">
        <v>111132</v>
      </c>
      <c r="AB6" s="17">
        <v>53976</v>
      </c>
      <c r="AC6" s="17">
        <v>24171</v>
      </c>
      <c r="AD6" s="17">
        <v>0</v>
      </c>
      <c r="AE6" s="17">
        <v>11093</v>
      </c>
      <c r="AF6" s="17">
        <v>0</v>
      </c>
      <c r="AG6" s="17">
        <v>0</v>
      </c>
      <c r="AH6" s="17">
        <v>0</v>
      </c>
      <c r="AI6" s="17">
        <v>0</v>
      </c>
      <c r="AJ6" s="54">
        <f t="shared" si="4"/>
        <v>386260</v>
      </c>
      <c r="AK6" s="54">
        <f t="shared" si="5"/>
        <v>292243</v>
      </c>
      <c r="AL6" s="54">
        <f t="shared" si="6"/>
        <v>53976</v>
      </c>
      <c r="AM6" s="54">
        <f t="shared" si="7"/>
        <v>35264</v>
      </c>
      <c r="AN6" s="19">
        <v>46026</v>
      </c>
      <c r="AO6" s="487">
        <f t="shared" si="8"/>
        <v>-9.0200988345000566E-3</v>
      </c>
      <c r="AP6" s="487">
        <f t="shared" si="9"/>
        <v>0.25859475988907188</v>
      </c>
      <c r="AQ6" s="486">
        <f t="shared" si="10"/>
        <v>0.42231617445979497</v>
      </c>
      <c r="AR6" s="486">
        <f t="shared" si="11"/>
        <v>-0.25606492881091047</v>
      </c>
      <c r="AS6" s="472">
        <f t="shared" si="12"/>
        <v>0.54195313504810061</v>
      </c>
      <c r="AT6" s="472">
        <f t="shared" si="13"/>
        <v>0.36510520778537692</v>
      </c>
      <c r="AU6" s="472">
        <f t="shared" si="14"/>
        <v>-0.5759398496240602</v>
      </c>
      <c r="AV6" s="472">
        <f t="shared" si="15"/>
        <v>-0.70236966824644553</v>
      </c>
      <c r="AW6" s="472">
        <f t="shared" si="16"/>
        <v>-0.71084011527182689</v>
      </c>
      <c r="AX6" s="472">
        <f t="shared" si="17"/>
        <v>-0.41846105434859393</v>
      </c>
      <c r="AY6" s="472">
        <f t="shared" si="18"/>
        <v>0.48520567717103691</v>
      </c>
      <c r="AZ6" s="472">
        <f t="shared" si="19"/>
        <v>-0.24340340703153318</v>
      </c>
      <c r="BA6" s="472">
        <f t="shared" si="20"/>
        <v>-0.55218986216096044</v>
      </c>
      <c r="BB6" s="472" t="e">
        <f t="shared" si="21"/>
        <v>#DIV/0!</v>
      </c>
      <c r="BC6" s="472">
        <f t="shared" si="22"/>
        <v>-0.34667259522750848</v>
      </c>
      <c r="BD6" s="472" t="e">
        <f t="shared" si="23"/>
        <v>#DIV/0!</v>
      </c>
      <c r="BE6" s="472" t="e">
        <f t="shared" si="24"/>
        <v>#DIV/0!</v>
      </c>
    </row>
    <row r="7" spans="1:57" hidden="1" x14ac:dyDescent="0.35">
      <c r="A7" s="16">
        <v>45663</v>
      </c>
      <c r="B7" s="17">
        <v>22835293</v>
      </c>
      <c r="C7" s="17">
        <v>42820052</v>
      </c>
      <c r="D7" s="17">
        <v>3136399</v>
      </c>
      <c r="E7" s="17">
        <v>3582433</v>
      </c>
      <c r="F7" s="484">
        <f t="shared" si="0"/>
        <v>2260858</v>
      </c>
      <c r="G7" s="484">
        <f t="shared" si="1"/>
        <v>2378747</v>
      </c>
      <c r="H7" s="484">
        <f t="shared" si="2"/>
        <v>875541</v>
      </c>
      <c r="I7" s="484">
        <f t="shared" si="3"/>
        <v>1203686</v>
      </c>
      <c r="J7" s="19">
        <v>46027</v>
      </c>
      <c r="K7" s="17">
        <v>2331411.9850357091</v>
      </c>
      <c r="L7" s="17">
        <v>1764555.7592998201</v>
      </c>
      <c r="M7" s="17">
        <v>566856.22573588905</v>
      </c>
      <c r="N7" s="17">
        <v>2147376</v>
      </c>
      <c r="O7" s="17">
        <v>2243868</v>
      </c>
      <c r="P7" s="17">
        <v>18700</v>
      </c>
      <c r="Q7" s="17">
        <v>29134</v>
      </c>
      <c r="R7" s="17">
        <v>36331</v>
      </c>
      <c r="S7" s="17">
        <v>10063</v>
      </c>
      <c r="T7" s="17">
        <v>-500</v>
      </c>
      <c r="U7" s="17">
        <v>4612</v>
      </c>
      <c r="V7" s="17">
        <v>58951</v>
      </c>
      <c r="W7" s="17">
        <v>91070</v>
      </c>
      <c r="X7" s="17">
        <v>714238</v>
      </c>
      <c r="Y7" s="17">
        <v>1061982</v>
      </c>
      <c r="Z7" s="17">
        <v>83712</v>
      </c>
      <c r="AA7" s="17">
        <v>81808</v>
      </c>
      <c r="AB7" s="17">
        <v>77591</v>
      </c>
      <c r="AC7" s="17">
        <v>39071</v>
      </c>
      <c r="AD7" s="17">
        <v>0</v>
      </c>
      <c r="AE7" s="17">
        <v>9717</v>
      </c>
      <c r="AF7" s="17">
        <v>0</v>
      </c>
      <c r="AG7" s="17">
        <v>11108</v>
      </c>
      <c r="AH7" s="17">
        <v>0</v>
      </c>
      <c r="AI7" s="17">
        <v>0</v>
      </c>
      <c r="AJ7" s="54">
        <f t="shared" si="4"/>
        <v>797950</v>
      </c>
      <c r="AK7" s="54">
        <f t="shared" si="5"/>
        <v>1143790</v>
      </c>
      <c r="AL7" s="54">
        <f t="shared" si="6"/>
        <v>77591</v>
      </c>
      <c r="AM7" s="54">
        <f t="shared" si="7"/>
        <v>48788</v>
      </c>
      <c r="AN7" s="19">
        <v>46027</v>
      </c>
      <c r="AO7" s="487">
        <f t="shared" si="8"/>
        <v>0.87516980841892411</v>
      </c>
      <c r="AP7" s="487">
        <f t="shared" si="9"/>
        <v>0.14221213563707935</v>
      </c>
      <c r="AQ7" s="486">
        <f t="shared" si="10"/>
        <v>5.2143478272408172E-2</v>
      </c>
      <c r="AR7" s="486">
        <f t="shared" si="11"/>
        <v>0.37479112914186774</v>
      </c>
      <c r="AS7" s="472">
        <f t="shared" si="12"/>
        <v>4.4934841406442105E-2</v>
      </c>
      <c r="AT7" s="472">
        <f t="shared" si="13"/>
        <v>0.55796791443850258</v>
      </c>
      <c r="AU7" s="472">
        <f t="shared" si="14"/>
        <v>-0.72301890947125047</v>
      </c>
      <c r="AV7" s="472">
        <f t="shared" si="15"/>
        <v>-10.224</v>
      </c>
      <c r="AW7" s="472">
        <f t="shared" si="16"/>
        <v>0.54484232667808863</v>
      </c>
      <c r="AX7" s="472">
        <f t="shared" si="17"/>
        <v>0.48687412319142909</v>
      </c>
      <c r="AY7" s="472">
        <f t="shared" si="18"/>
        <v>-2.2744648318042793E-2</v>
      </c>
      <c r="AZ7" s="472">
        <f t="shared" si="19"/>
        <v>0.43341061470016928</v>
      </c>
      <c r="BA7" s="472">
        <f t="shared" si="20"/>
        <v>-0.49644933046358475</v>
      </c>
      <c r="BB7" s="472" t="e">
        <f t="shared" si="21"/>
        <v>#DIV/0!</v>
      </c>
      <c r="BC7" s="472">
        <f t="shared" si="22"/>
        <v>-0.37121573378355732</v>
      </c>
      <c r="BD7" s="472" t="e">
        <f t="shared" si="23"/>
        <v>#DIV/0!</v>
      </c>
      <c r="BE7" s="472" t="e">
        <f t="shared" si="24"/>
        <v>#DIV/0!</v>
      </c>
    </row>
    <row r="8" spans="1:57" hidden="1" x14ac:dyDescent="0.35">
      <c r="A8" s="19">
        <v>45664</v>
      </c>
      <c r="B8" s="17">
        <v>23697613</v>
      </c>
      <c r="C8" s="17">
        <v>22329279</v>
      </c>
      <c r="D8" s="17">
        <v>2922246.1379310344</v>
      </c>
      <c r="E8" s="17">
        <v>3328582</v>
      </c>
      <c r="F8" s="484">
        <f t="shared" si="0"/>
        <v>2574526.1379310344</v>
      </c>
      <c r="G8" s="484">
        <f t="shared" si="1"/>
        <v>2530631</v>
      </c>
      <c r="H8" s="484">
        <f t="shared" si="2"/>
        <v>347720</v>
      </c>
      <c r="I8" s="484">
        <f t="shared" si="3"/>
        <v>797951</v>
      </c>
      <c r="J8" s="19">
        <v>46028</v>
      </c>
      <c r="K8" s="17">
        <v>4010122.98131203</v>
      </c>
      <c r="L8" s="17">
        <v>2882759.7789909402</v>
      </c>
      <c r="M8" s="17">
        <v>1127363.20232109</v>
      </c>
      <c r="N8" s="17">
        <v>2444768</v>
      </c>
      <c r="O8" s="17">
        <v>2374462</v>
      </c>
      <c r="P8" s="17">
        <v>20049.1379310345</v>
      </c>
      <c r="Q8" s="17">
        <v>21733</v>
      </c>
      <c r="R8" s="17">
        <v>54064</v>
      </c>
      <c r="S8" s="17">
        <v>67853</v>
      </c>
      <c r="T8" s="17">
        <v>-344</v>
      </c>
      <c r="U8" s="17">
        <v>-114</v>
      </c>
      <c r="V8" s="17">
        <v>55989</v>
      </c>
      <c r="W8" s="17">
        <v>66697</v>
      </c>
      <c r="X8" s="17">
        <v>209116</v>
      </c>
      <c r="Y8" s="17">
        <v>650825</v>
      </c>
      <c r="Z8" s="17">
        <v>80417</v>
      </c>
      <c r="AA8" s="17">
        <v>87785</v>
      </c>
      <c r="AB8" s="17">
        <v>58187</v>
      </c>
      <c r="AC8" s="17">
        <v>32894</v>
      </c>
      <c r="AD8" s="17">
        <v>0</v>
      </c>
      <c r="AE8" s="17">
        <v>14047</v>
      </c>
      <c r="AF8" s="17">
        <v>0</v>
      </c>
      <c r="AG8" s="17">
        <v>11280</v>
      </c>
      <c r="AH8" s="17">
        <v>0</v>
      </c>
      <c r="AI8" s="17">
        <v>1120</v>
      </c>
      <c r="AJ8" s="54">
        <f t="shared" si="4"/>
        <v>289533</v>
      </c>
      <c r="AK8" s="54">
        <f t="shared" si="5"/>
        <v>738610</v>
      </c>
      <c r="AL8" s="54">
        <f t="shared" si="6"/>
        <v>58187</v>
      </c>
      <c r="AM8" s="54">
        <f t="shared" si="7"/>
        <v>46941</v>
      </c>
      <c r="AN8" s="19">
        <v>46028</v>
      </c>
      <c r="AO8" s="487">
        <f t="shared" si="8"/>
        <v>-5.7741427374984999E-2</v>
      </c>
      <c r="AP8" s="487">
        <f t="shared" si="9"/>
        <v>0.13904915701476583</v>
      </c>
      <c r="AQ8" s="486">
        <f t="shared" si="10"/>
        <v>-1.7049793080100462E-2</v>
      </c>
      <c r="AR8" s="486">
        <f t="shared" si="11"/>
        <v>1.2948090417577363</v>
      </c>
      <c r="AS8" s="472">
        <f t="shared" si="12"/>
        <v>-2.8757738975641045E-2</v>
      </c>
      <c r="AT8" s="472">
        <f t="shared" si="13"/>
        <v>8.3986756675408669E-2</v>
      </c>
      <c r="AU8" s="472">
        <f t="shared" si="14"/>
        <v>0.25504957087895819</v>
      </c>
      <c r="AV8" s="472">
        <f t="shared" si="15"/>
        <v>-0.66860465116279078</v>
      </c>
      <c r="AW8" s="472">
        <f t="shared" si="16"/>
        <v>0.19125185304256198</v>
      </c>
      <c r="AX8" s="472">
        <f t="shared" si="17"/>
        <v>2.1122678322079613</v>
      </c>
      <c r="AY8" s="472">
        <f t="shared" si="18"/>
        <v>9.1622418145417051E-2</v>
      </c>
      <c r="AZ8" s="472">
        <f t="shared" si="19"/>
        <v>1.5510390870816106</v>
      </c>
      <c r="BA8" s="472">
        <f t="shared" si="20"/>
        <v>-0.43468472339182296</v>
      </c>
      <c r="BB8" s="472" t="e">
        <f t="shared" si="21"/>
        <v>#DIV/0!</v>
      </c>
      <c r="BC8" s="472">
        <f t="shared" si="22"/>
        <v>-0.19327341158678057</v>
      </c>
      <c r="BD8" s="472" t="e">
        <f t="shared" si="23"/>
        <v>#DIV/0!</v>
      </c>
      <c r="BE8" s="472" t="e">
        <f t="shared" si="24"/>
        <v>#DIV/0!</v>
      </c>
    </row>
    <row r="9" spans="1:57" hidden="1" x14ac:dyDescent="0.35">
      <c r="A9" s="16">
        <v>45665</v>
      </c>
      <c r="B9" s="17">
        <v>26871838</v>
      </c>
      <c r="C9" s="17">
        <v>23046004</v>
      </c>
      <c r="D9" s="17">
        <v>3244805</v>
      </c>
      <c r="E9" s="17">
        <v>3134032</v>
      </c>
      <c r="F9" s="484">
        <f t="shared" si="0"/>
        <v>2599511</v>
      </c>
      <c r="G9" s="484">
        <f t="shared" si="1"/>
        <v>2550948</v>
      </c>
      <c r="H9" s="484">
        <f t="shared" si="2"/>
        <v>645294</v>
      </c>
      <c r="I9" s="484">
        <f t="shared" si="3"/>
        <v>583084</v>
      </c>
      <c r="J9" s="19">
        <v>46029</v>
      </c>
      <c r="K9" s="17">
        <v>3730440.5306519461</v>
      </c>
      <c r="L9" s="17">
        <v>3282709.6617250899</v>
      </c>
      <c r="M9" s="17">
        <v>447730.86892685603</v>
      </c>
      <c r="N9" s="17">
        <v>2443314</v>
      </c>
      <c r="O9" s="17">
        <v>2461726</v>
      </c>
      <c r="P9" s="17">
        <v>26275</v>
      </c>
      <c r="Q9" s="17">
        <v>24949</v>
      </c>
      <c r="R9" s="17">
        <v>56169</v>
      </c>
      <c r="S9" s="17">
        <v>16759</v>
      </c>
      <c r="T9" s="17">
        <v>3661</v>
      </c>
      <c r="U9" s="17">
        <v>5667</v>
      </c>
      <c r="V9" s="17">
        <v>70092</v>
      </c>
      <c r="W9" s="17">
        <v>41847</v>
      </c>
      <c r="X9" s="17">
        <v>538812</v>
      </c>
      <c r="Y9" s="17">
        <v>438746</v>
      </c>
      <c r="Z9" s="17">
        <v>68361</v>
      </c>
      <c r="AA9" s="17">
        <v>113224</v>
      </c>
      <c r="AB9" s="17">
        <v>38121</v>
      </c>
      <c r="AC9" s="17">
        <v>5778</v>
      </c>
      <c r="AD9" s="17">
        <v>0</v>
      </c>
      <c r="AE9" s="17">
        <v>10555</v>
      </c>
      <c r="AF9" s="17">
        <v>0</v>
      </c>
      <c r="AG9" s="17">
        <v>14781</v>
      </c>
      <c r="AH9" s="17">
        <v>0</v>
      </c>
      <c r="AI9" s="17">
        <v>0</v>
      </c>
      <c r="AJ9" s="54">
        <f t="shared" si="4"/>
        <v>607173</v>
      </c>
      <c r="AK9" s="54">
        <f t="shared" si="5"/>
        <v>551970</v>
      </c>
      <c r="AL9" s="54">
        <f t="shared" si="6"/>
        <v>38121</v>
      </c>
      <c r="AM9" s="54">
        <f t="shared" si="7"/>
        <v>16333</v>
      </c>
      <c r="AN9" s="19">
        <v>46029</v>
      </c>
      <c r="AO9" s="487">
        <f t="shared" si="8"/>
        <v>-0.14237336500763365</v>
      </c>
      <c r="AP9" s="487">
        <f t="shared" si="9"/>
        <v>-3.413856918982805E-2</v>
      </c>
      <c r="AQ9" s="486">
        <f t="shared" si="10"/>
        <v>-1.8681590499136203E-2</v>
      </c>
      <c r="AR9" s="486">
        <f t="shared" si="11"/>
        <v>-9.6405669353813894E-2</v>
      </c>
      <c r="AS9" s="472">
        <f t="shared" si="12"/>
        <v>7.5356667215102924E-3</v>
      </c>
      <c r="AT9" s="472">
        <f t="shared" si="13"/>
        <v>-5.0466222645099923E-2</v>
      </c>
      <c r="AU9" s="472">
        <f t="shared" si="14"/>
        <v>-0.70163257312752592</v>
      </c>
      <c r="AV9" s="472">
        <f t="shared" si="15"/>
        <v>0.54793772193389789</v>
      </c>
      <c r="AW9" s="472">
        <f t="shared" si="16"/>
        <v>-0.40297038178394107</v>
      </c>
      <c r="AX9" s="472">
        <f t="shared" si="17"/>
        <v>-0.1857159825690593</v>
      </c>
      <c r="AY9" s="472">
        <f t="shared" si="18"/>
        <v>0.65626599961966625</v>
      </c>
      <c r="AZ9" s="472">
        <f t="shared" si="19"/>
        <v>-9.0918074420305306E-2</v>
      </c>
      <c r="BA9" s="472">
        <f t="shared" si="20"/>
        <v>-0.84842999921303219</v>
      </c>
      <c r="BB9" s="472" t="e">
        <f t="shared" si="21"/>
        <v>#DIV/0!</v>
      </c>
      <c r="BC9" s="472">
        <f t="shared" si="22"/>
        <v>-0.57154849033341204</v>
      </c>
      <c r="BD9" s="472" t="e">
        <f t="shared" si="23"/>
        <v>#DIV/0!</v>
      </c>
      <c r="BE9" s="472" t="e">
        <f t="shared" si="24"/>
        <v>#DIV/0!</v>
      </c>
    </row>
    <row r="10" spans="1:57" hidden="1" x14ac:dyDescent="0.35">
      <c r="A10" s="19">
        <v>45666</v>
      </c>
      <c r="B10" s="17">
        <v>28051817</v>
      </c>
      <c r="C10" s="17">
        <v>26562197</v>
      </c>
      <c r="D10" s="17">
        <v>2520450.3103448278</v>
      </c>
      <c r="E10" s="17">
        <v>3334996</v>
      </c>
      <c r="F10" s="484">
        <f t="shared" si="0"/>
        <v>2303447.3103448278</v>
      </c>
      <c r="G10" s="484">
        <f t="shared" si="1"/>
        <v>2731509</v>
      </c>
      <c r="H10" s="484">
        <f t="shared" si="2"/>
        <v>217003</v>
      </c>
      <c r="I10" s="484">
        <f t="shared" si="3"/>
        <v>603487</v>
      </c>
      <c r="J10" s="19">
        <v>46030</v>
      </c>
      <c r="K10" s="17">
        <v>4145459.9903342789</v>
      </c>
      <c r="L10" s="17">
        <v>3314567.1934480299</v>
      </c>
      <c r="M10" s="17">
        <v>830892.79688624898</v>
      </c>
      <c r="N10" s="17">
        <v>2184366</v>
      </c>
      <c r="O10" s="17">
        <v>2651325</v>
      </c>
      <c r="P10" s="17">
        <v>24654.310344827602</v>
      </c>
      <c r="Q10" s="17">
        <v>23867</v>
      </c>
      <c r="R10" s="17">
        <v>59780</v>
      </c>
      <c r="S10" s="17">
        <v>32696</v>
      </c>
      <c r="T10" s="17">
        <v>2734</v>
      </c>
      <c r="U10" s="17">
        <v>1757</v>
      </c>
      <c r="V10" s="17">
        <v>31913</v>
      </c>
      <c r="W10" s="17">
        <v>21864</v>
      </c>
      <c r="X10" s="17">
        <v>73729</v>
      </c>
      <c r="Y10" s="17">
        <v>443664</v>
      </c>
      <c r="Z10" s="17">
        <v>68117</v>
      </c>
      <c r="AA10" s="17">
        <v>108455</v>
      </c>
      <c r="AB10" s="17">
        <v>75157</v>
      </c>
      <c r="AC10" s="17">
        <v>25645</v>
      </c>
      <c r="AD10" s="17">
        <v>0</v>
      </c>
      <c r="AE10" s="17">
        <v>3530</v>
      </c>
      <c r="AF10" s="17">
        <v>0</v>
      </c>
      <c r="AG10" s="17">
        <v>21246</v>
      </c>
      <c r="AH10" s="17">
        <v>0</v>
      </c>
      <c r="AI10" s="17">
        <v>947</v>
      </c>
      <c r="AJ10" s="54">
        <f t="shared" si="4"/>
        <v>141846</v>
      </c>
      <c r="AK10" s="54">
        <f t="shared" si="5"/>
        <v>552119</v>
      </c>
      <c r="AL10" s="54">
        <f t="shared" si="6"/>
        <v>75157</v>
      </c>
      <c r="AM10" s="54">
        <f t="shared" si="7"/>
        <v>29175</v>
      </c>
      <c r="AN10" s="19">
        <v>46030</v>
      </c>
      <c r="AO10" s="487">
        <f t="shared" si="8"/>
        <v>-5.3102442526272053E-2</v>
      </c>
      <c r="AP10" s="487">
        <f t="shared" si="9"/>
        <v>0.32317466696803576</v>
      </c>
      <c r="AQ10" s="486">
        <f t="shared" si="10"/>
        <v>0.18583524256567041</v>
      </c>
      <c r="AR10" s="486">
        <f t="shared" si="11"/>
        <v>1.7810076358391358</v>
      </c>
      <c r="AS10" s="472">
        <f t="shared" si="12"/>
        <v>0.21377324129747488</v>
      </c>
      <c r="AT10" s="472">
        <f t="shared" si="13"/>
        <v>-3.1933983705724533E-2</v>
      </c>
      <c r="AU10" s="472">
        <f t="shared" si="14"/>
        <v>-0.45306122448979591</v>
      </c>
      <c r="AV10" s="472">
        <f t="shared" si="15"/>
        <v>-0.35735186539868324</v>
      </c>
      <c r="AW10" s="472">
        <f t="shared" si="16"/>
        <v>-0.31488734998276569</v>
      </c>
      <c r="AX10" s="472">
        <f t="shared" si="17"/>
        <v>5.0174965074800957</v>
      </c>
      <c r="AY10" s="472">
        <f t="shared" si="18"/>
        <v>0.5921869724151092</v>
      </c>
      <c r="AZ10" s="472">
        <f t="shared" si="19"/>
        <v>2.8923832889189685</v>
      </c>
      <c r="BA10" s="472">
        <f t="shared" si="20"/>
        <v>-0.65878095187407693</v>
      </c>
      <c r="BB10" s="472" t="e">
        <f t="shared" si="21"/>
        <v>#DIV/0!</v>
      </c>
      <c r="BC10" s="472">
        <f t="shared" si="22"/>
        <v>-0.6118126056122517</v>
      </c>
      <c r="BD10" s="472" t="e">
        <f t="shared" si="23"/>
        <v>#DIV/0!</v>
      </c>
      <c r="BE10" s="472" t="e">
        <f t="shared" si="24"/>
        <v>#DIV/0!</v>
      </c>
    </row>
    <row r="11" spans="1:57" hidden="1" x14ac:dyDescent="0.35">
      <c r="A11" s="16">
        <v>45667</v>
      </c>
      <c r="B11" s="17">
        <v>28699623</v>
      </c>
      <c r="C11" s="17">
        <v>26952477</v>
      </c>
      <c r="D11" s="17">
        <v>2278857.5862068962</v>
      </c>
      <c r="E11" s="17">
        <v>2577374</v>
      </c>
      <c r="F11" s="484">
        <f t="shared" si="0"/>
        <v>2150898.5862068962</v>
      </c>
      <c r="G11" s="484">
        <f t="shared" si="1"/>
        <v>2081802</v>
      </c>
      <c r="H11" s="484">
        <f t="shared" si="2"/>
        <v>127959</v>
      </c>
      <c r="I11" s="484">
        <f t="shared" si="3"/>
        <v>495572</v>
      </c>
      <c r="J11" s="19">
        <v>46031</v>
      </c>
      <c r="K11" s="17">
        <v>3216481.4532837071</v>
      </c>
      <c r="L11" s="17">
        <v>2937064.2735133902</v>
      </c>
      <c r="M11" s="17">
        <v>279417.17977031699</v>
      </c>
      <c r="N11" s="17">
        <v>2007643</v>
      </c>
      <c r="O11" s="17">
        <v>1967914</v>
      </c>
      <c r="P11" s="17">
        <v>26027.5862068965</v>
      </c>
      <c r="Q11" s="17">
        <v>27977</v>
      </c>
      <c r="R11" s="17">
        <v>69118</v>
      </c>
      <c r="S11" s="17">
        <v>732</v>
      </c>
      <c r="T11" s="17">
        <v>2178</v>
      </c>
      <c r="U11" s="17">
        <v>3382</v>
      </c>
      <c r="V11" s="17">
        <v>45932</v>
      </c>
      <c r="W11" s="17">
        <v>81797</v>
      </c>
      <c r="X11" s="17">
        <v>27229</v>
      </c>
      <c r="Y11" s="17">
        <v>357183</v>
      </c>
      <c r="Z11" s="17">
        <v>63746</v>
      </c>
      <c r="AA11" s="17">
        <v>88348</v>
      </c>
      <c r="AB11" s="17">
        <v>36984</v>
      </c>
      <c r="AC11" s="17">
        <v>22372</v>
      </c>
      <c r="AD11" s="17">
        <v>0</v>
      </c>
      <c r="AE11" s="17">
        <v>11805</v>
      </c>
      <c r="AF11" s="17">
        <v>0</v>
      </c>
      <c r="AG11" s="17">
        <v>15175</v>
      </c>
      <c r="AH11" s="17">
        <v>0</v>
      </c>
      <c r="AI11" s="17">
        <v>689</v>
      </c>
      <c r="AJ11" s="54">
        <f t="shared" si="4"/>
        <v>90975</v>
      </c>
      <c r="AK11" s="54">
        <f t="shared" si="5"/>
        <v>445531</v>
      </c>
      <c r="AL11" s="54">
        <f t="shared" si="6"/>
        <v>36984</v>
      </c>
      <c r="AM11" s="54">
        <f t="shared" si="7"/>
        <v>34177</v>
      </c>
      <c r="AN11" s="19">
        <v>46031</v>
      </c>
      <c r="AO11" s="487">
        <f t="shared" si="8"/>
        <v>-6.0876966920436537E-2</v>
      </c>
      <c r="AP11" s="487">
        <f t="shared" si="9"/>
        <v>0.13099388728805006</v>
      </c>
      <c r="AQ11" s="486">
        <f t="shared" si="10"/>
        <v>-3.2124520723567862E-2</v>
      </c>
      <c r="AR11" s="486">
        <f t="shared" si="11"/>
        <v>2.8728967872521669</v>
      </c>
      <c r="AS11" s="472">
        <f t="shared" si="12"/>
        <v>-1.9788876807281031E-2</v>
      </c>
      <c r="AT11" s="472">
        <f t="shared" si="13"/>
        <v>7.4897986221517776E-2</v>
      </c>
      <c r="AU11" s="472">
        <f t="shared" si="14"/>
        <v>-0.9894094157817066</v>
      </c>
      <c r="AV11" s="472">
        <f t="shared" si="15"/>
        <v>0.55280073461891654</v>
      </c>
      <c r="AW11" s="472">
        <f t="shared" si="16"/>
        <v>0.78082818078899252</v>
      </c>
      <c r="AX11" s="472">
        <f t="shared" si="17"/>
        <v>12.117742113188145</v>
      </c>
      <c r="AY11" s="472">
        <f t="shared" si="18"/>
        <v>0.38593794120415392</v>
      </c>
      <c r="AZ11" s="472">
        <f t="shared" si="19"/>
        <v>3.8972904644133006</v>
      </c>
      <c r="BA11" s="472">
        <f t="shared" si="20"/>
        <v>-0.39508976854856159</v>
      </c>
      <c r="BB11" s="472" t="e">
        <f t="shared" si="21"/>
        <v>#DIV/0!</v>
      </c>
      <c r="BC11" s="472">
        <f t="shared" si="22"/>
        <v>-7.5897685485615374E-2</v>
      </c>
      <c r="BD11" s="472" t="e">
        <f t="shared" si="23"/>
        <v>#DIV/0!</v>
      </c>
      <c r="BE11" s="472" t="e">
        <f t="shared" si="24"/>
        <v>#DIV/0!</v>
      </c>
    </row>
    <row r="12" spans="1:57" hidden="1" x14ac:dyDescent="0.35">
      <c r="A12" s="19">
        <v>45668</v>
      </c>
      <c r="B12" s="17">
        <v>40105570</v>
      </c>
      <c r="C12" s="17">
        <v>35436338</v>
      </c>
      <c r="D12" s="17">
        <v>2287848.7931034481</v>
      </c>
      <c r="E12" s="17">
        <v>2342887</v>
      </c>
      <c r="F12" s="484">
        <f t="shared" si="0"/>
        <v>1735933.7931034483</v>
      </c>
      <c r="G12" s="484">
        <f t="shared" si="1"/>
        <v>1705005</v>
      </c>
      <c r="H12" s="484">
        <f t="shared" si="2"/>
        <v>551915</v>
      </c>
      <c r="I12" s="484">
        <f t="shared" si="3"/>
        <v>637882</v>
      </c>
      <c r="J12" s="19">
        <v>46032</v>
      </c>
      <c r="K12" s="17">
        <v>2907315.8971540579</v>
      </c>
      <c r="L12" s="17">
        <v>2742553.4611221598</v>
      </c>
      <c r="M12" s="17">
        <v>164762.43603189799</v>
      </c>
      <c r="N12" s="17">
        <v>1623013</v>
      </c>
      <c r="O12" s="17">
        <v>1571666</v>
      </c>
      <c r="P12" s="17">
        <v>27638.793103448301</v>
      </c>
      <c r="Q12" s="17">
        <v>27994</v>
      </c>
      <c r="R12" s="17">
        <v>37575</v>
      </c>
      <c r="S12" s="17">
        <v>71315</v>
      </c>
      <c r="T12" s="17">
        <v>943</v>
      </c>
      <c r="U12" s="17">
        <v>-96</v>
      </c>
      <c r="V12" s="17">
        <v>46764</v>
      </c>
      <c r="W12" s="17">
        <v>34126</v>
      </c>
      <c r="X12" s="17">
        <v>466722</v>
      </c>
      <c r="Y12" s="17">
        <v>488987</v>
      </c>
      <c r="Z12" s="17">
        <v>44669</v>
      </c>
      <c r="AA12" s="17">
        <v>120073</v>
      </c>
      <c r="AB12" s="17">
        <v>40524</v>
      </c>
      <c r="AC12" s="17">
        <v>23228</v>
      </c>
      <c r="AD12" s="17">
        <v>0</v>
      </c>
      <c r="AE12" s="17">
        <v>6392</v>
      </c>
      <c r="AF12" s="17">
        <v>0</v>
      </c>
      <c r="AG12" s="17">
        <v>-1487</v>
      </c>
      <c r="AH12" s="17">
        <v>0</v>
      </c>
      <c r="AI12" s="17">
        <v>689</v>
      </c>
      <c r="AJ12" s="54">
        <f t="shared" si="4"/>
        <v>511391</v>
      </c>
      <c r="AK12" s="54">
        <f t="shared" si="5"/>
        <v>609060</v>
      </c>
      <c r="AL12" s="54">
        <f t="shared" si="6"/>
        <v>40524</v>
      </c>
      <c r="AM12" s="54">
        <f t="shared" si="7"/>
        <v>29620</v>
      </c>
      <c r="AN12" s="19">
        <v>46032</v>
      </c>
      <c r="AO12" s="487">
        <f t="shared" si="8"/>
        <v>-0.11642352920055743</v>
      </c>
      <c r="AP12" s="487">
        <f t="shared" si="9"/>
        <v>2.4056750193658161E-2</v>
      </c>
      <c r="AQ12" s="486">
        <f t="shared" si="10"/>
        <v>-1.7816804549990795E-2</v>
      </c>
      <c r="AR12" s="486">
        <f t="shared" si="11"/>
        <v>0.15576130382395847</v>
      </c>
      <c r="AS12" s="472">
        <f t="shared" si="12"/>
        <v>-3.1636838398706568E-2</v>
      </c>
      <c r="AT12" s="472">
        <f t="shared" si="13"/>
        <v>1.2851751348990081E-2</v>
      </c>
      <c r="AU12" s="472">
        <f t="shared" si="14"/>
        <v>0.8979374584165003</v>
      </c>
      <c r="AV12" s="472">
        <f t="shared" si="15"/>
        <v>-1.1018027571580065</v>
      </c>
      <c r="AW12" s="472">
        <f t="shared" si="16"/>
        <v>-0.27025062013514667</v>
      </c>
      <c r="AX12" s="472">
        <f t="shared" si="17"/>
        <v>4.7705057828857367E-2</v>
      </c>
      <c r="AY12" s="472">
        <f t="shared" si="18"/>
        <v>1.6880610714365667</v>
      </c>
      <c r="AZ12" s="472">
        <f t="shared" si="19"/>
        <v>0.19098693563242208</v>
      </c>
      <c r="BA12" s="472">
        <f t="shared" si="20"/>
        <v>-0.42680880465896753</v>
      </c>
      <c r="BB12" s="472" t="e">
        <f t="shared" si="21"/>
        <v>#DIV/0!</v>
      </c>
      <c r="BC12" s="472">
        <f t="shared" si="22"/>
        <v>-0.26907511598065348</v>
      </c>
      <c r="BD12" s="472" t="e">
        <f t="shared" si="23"/>
        <v>#DIV/0!</v>
      </c>
      <c r="BE12" s="472" t="e">
        <f t="shared" si="24"/>
        <v>#DIV/0!</v>
      </c>
    </row>
    <row r="13" spans="1:57" hidden="1" x14ac:dyDescent="0.35">
      <c r="A13" s="16">
        <v>45669</v>
      </c>
      <c r="B13" s="17">
        <v>41530429</v>
      </c>
      <c r="C13" s="17">
        <v>37766104</v>
      </c>
      <c r="D13" s="17">
        <v>2885246.068965517</v>
      </c>
      <c r="E13" s="17">
        <v>2278577</v>
      </c>
      <c r="F13" s="484">
        <f t="shared" si="0"/>
        <v>2172982.068965517</v>
      </c>
      <c r="G13" s="484">
        <f t="shared" si="1"/>
        <v>1942100</v>
      </c>
      <c r="H13" s="484">
        <f t="shared" si="2"/>
        <v>712264</v>
      </c>
      <c r="I13" s="484">
        <f t="shared" si="3"/>
        <v>336477</v>
      </c>
      <c r="J13" s="19">
        <v>46033</v>
      </c>
      <c r="K13" s="17">
        <v>2924099.1380594317</v>
      </c>
      <c r="L13" s="17">
        <v>2213442.91315501</v>
      </c>
      <c r="M13" s="17">
        <v>710656.22490442195</v>
      </c>
      <c r="N13" s="17">
        <v>2046304</v>
      </c>
      <c r="O13" s="17">
        <v>1877762</v>
      </c>
      <c r="P13" s="17">
        <v>27737.068965517199</v>
      </c>
      <c r="Q13" s="17">
        <v>29948</v>
      </c>
      <c r="R13" s="17">
        <v>14675</v>
      </c>
      <c r="S13" s="17">
        <v>-1145</v>
      </c>
      <c r="T13" s="17">
        <v>-1465</v>
      </c>
      <c r="U13" s="17">
        <v>2935</v>
      </c>
      <c r="V13" s="17">
        <v>85731</v>
      </c>
      <c r="W13" s="17">
        <v>32600</v>
      </c>
      <c r="X13" s="17">
        <v>581035</v>
      </c>
      <c r="Y13" s="17">
        <v>182133</v>
      </c>
      <c r="Z13" s="17">
        <v>51721</v>
      </c>
      <c r="AA13" s="17">
        <v>111049</v>
      </c>
      <c r="AB13" s="17">
        <v>79508</v>
      </c>
      <c r="AC13" s="17">
        <v>31695</v>
      </c>
      <c r="AD13" s="17">
        <v>0</v>
      </c>
      <c r="AE13" s="17">
        <v>9041</v>
      </c>
      <c r="AF13" s="17">
        <v>0</v>
      </c>
      <c r="AG13" s="17">
        <v>1612</v>
      </c>
      <c r="AH13" s="17">
        <v>0</v>
      </c>
      <c r="AI13" s="17">
        <v>947</v>
      </c>
      <c r="AJ13" s="54">
        <f t="shared" si="4"/>
        <v>632756</v>
      </c>
      <c r="AK13" s="54">
        <f t="shared" si="5"/>
        <v>293182</v>
      </c>
      <c r="AL13" s="54">
        <f t="shared" si="6"/>
        <v>79508</v>
      </c>
      <c r="AM13" s="54">
        <f t="shared" si="7"/>
        <v>40736</v>
      </c>
      <c r="AN13" s="19">
        <v>46033</v>
      </c>
      <c r="AO13" s="487">
        <f t="shared" si="8"/>
        <v>-9.0640166515014831E-2</v>
      </c>
      <c r="AP13" s="487">
        <f t="shared" si="9"/>
        <v>-0.21026597193598584</v>
      </c>
      <c r="AQ13" s="486">
        <f t="shared" si="10"/>
        <v>-0.10625125364031751</v>
      </c>
      <c r="AR13" s="486">
        <f t="shared" si="11"/>
        <v>-0.52759510518571773</v>
      </c>
      <c r="AS13" s="472">
        <f t="shared" si="12"/>
        <v>-8.2364106212957644E-2</v>
      </c>
      <c r="AT13" s="472">
        <f t="shared" si="13"/>
        <v>7.971033411033579E-2</v>
      </c>
      <c r="AU13" s="472">
        <f t="shared" si="14"/>
        <v>-1.0780238500851789</v>
      </c>
      <c r="AV13" s="472">
        <f t="shared" si="15"/>
        <v>-3.0034129692832763</v>
      </c>
      <c r="AW13" s="472">
        <f t="shared" si="16"/>
        <v>-0.61974081720731122</v>
      </c>
      <c r="AX13" s="472">
        <f t="shared" si="17"/>
        <v>-0.68653695560508399</v>
      </c>
      <c r="AY13" s="472">
        <f t="shared" si="18"/>
        <v>1.1470775893737555</v>
      </c>
      <c r="AZ13" s="472">
        <f t="shared" si="19"/>
        <v>-0.53665868043922149</v>
      </c>
      <c r="BA13" s="472">
        <f t="shared" si="20"/>
        <v>-0.60136086934648092</v>
      </c>
      <c r="BB13" s="472" t="e">
        <f t="shared" si="21"/>
        <v>#DIV/0!</v>
      </c>
      <c r="BC13" s="472">
        <f t="shared" si="22"/>
        <v>-0.48764904160587619</v>
      </c>
      <c r="BD13" s="472" t="e">
        <f t="shared" si="23"/>
        <v>#DIV/0!</v>
      </c>
      <c r="BE13" s="472" t="e">
        <f t="shared" si="24"/>
        <v>#DIV/0!</v>
      </c>
    </row>
    <row r="14" spans="1:57" hidden="1" x14ac:dyDescent="0.35">
      <c r="A14" s="19">
        <v>45670</v>
      </c>
      <c r="B14" s="17">
        <v>25137619</v>
      </c>
      <c r="C14" s="17">
        <v>22002628</v>
      </c>
      <c r="D14" s="17">
        <v>4228309.2413793104</v>
      </c>
      <c r="E14" s="17">
        <v>4170572</v>
      </c>
      <c r="F14" s="484">
        <f t="shared" si="0"/>
        <v>2947735.2413793104</v>
      </c>
      <c r="G14" s="484">
        <f t="shared" si="1"/>
        <v>2948303</v>
      </c>
      <c r="H14" s="484">
        <f t="shared" si="2"/>
        <v>1280574</v>
      </c>
      <c r="I14" s="484">
        <f t="shared" si="3"/>
        <v>1222269</v>
      </c>
      <c r="J14" s="19">
        <v>46034</v>
      </c>
      <c r="K14" s="17">
        <v>3687836.1608523969</v>
      </c>
      <c r="L14" s="17">
        <v>2770711.5214145798</v>
      </c>
      <c r="M14" s="17">
        <v>917124.63943781704</v>
      </c>
      <c r="N14" s="17">
        <v>2797894</v>
      </c>
      <c r="O14" s="17">
        <v>2815225</v>
      </c>
      <c r="P14" s="17">
        <v>21892.241379310301</v>
      </c>
      <c r="Q14" s="17">
        <v>28391</v>
      </c>
      <c r="R14" s="17">
        <v>62339</v>
      </c>
      <c r="S14" s="17">
        <v>25098</v>
      </c>
      <c r="T14" s="17">
        <v>7660</v>
      </c>
      <c r="U14" s="17">
        <v>689</v>
      </c>
      <c r="V14" s="17">
        <v>57950</v>
      </c>
      <c r="W14" s="17">
        <v>78900</v>
      </c>
      <c r="X14" s="17">
        <v>1124689</v>
      </c>
      <c r="Y14" s="17">
        <v>1028542</v>
      </c>
      <c r="Z14" s="17">
        <v>34111</v>
      </c>
      <c r="AA14" s="17">
        <v>130772</v>
      </c>
      <c r="AB14" s="17">
        <v>121774</v>
      </c>
      <c r="AC14" s="17">
        <v>38266</v>
      </c>
      <c r="AD14" s="17">
        <v>0</v>
      </c>
      <c r="AE14" s="17">
        <v>9160</v>
      </c>
      <c r="AF14" s="17">
        <v>0</v>
      </c>
      <c r="AG14" s="17">
        <v>15529</v>
      </c>
      <c r="AH14" s="17">
        <v>0</v>
      </c>
      <c r="AI14" s="17">
        <v>0</v>
      </c>
      <c r="AJ14" s="54">
        <f t="shared" si="4"/>
        <v>1158800</v>
      </c>
      <c r="AK14" s="54">
        <f t="shared" si="5"/>
        <v>1159314</v>
      </c>
      <c r="AL14" s="54">
        <f t="shared" si="6"/>
        <v>121774</v>
      </c>
      <c r="AM14" s="54">
        <f t="shared" si="7"/>
        <v>47426</v>
      </c>
      <c r="AN14" s="19">
        <v>46034</v>
      </c>
      <c r="AO14" s="487">
        <f t="shared" si="8"/>
        <v>-0.124713124182525</v>
      </c>
      <c r="AP14" s="487">
        <f t="shared" si="9"/>
        <v>-1.3654924009407599E-2</v>
      </c>
      <c r="AQ14" s="486">
        <f t="shared" si="10"/>
        <v>1.9260841771662207E-4</v>
      </c>
      <c r="AR14" s="486">
        <f t="shared" si="11"/>
        <v>-4.5530363727515955E-2</v>
      </c>
      <c r="AS14" s="472">
        <f t="shared" si="12"/>
        <v>6.1943018570396191E-3</v>
      </c>
      <c r="AT14" s="472">
        <f t="shared" si="13"/>
        <v>0.29685213624729534</v>
      </c>
      <c r="AU14" s="472">
        <f t="shared" si="14"/>
        <v>-0.59739488923466855</v>
      </c>
      <c r="AV14" s="472">
        <f t="shared" si="15"/>
        <v>-0.91005221932114888</v>
      </c>
      <c r="AW14" s="472">
        <f t="shared" si="16"/>
        <v>0.36151855047454706</v>
      </c>
      <c r="AX14" s="472">
        <f t="shared" si="17"/>
        <v>-8.5487632581095707E-2</v>
      </c>
      <c r="AY14" s="472">
        <f t="shared" si="18"/>
        <v>2.8337193280759871</v>
      </c>
      <c r="AZ14" s="472">
        <f t="shared" si="19"/>
        <v>4.4356230583364464E-4</v>
      </c>
      <c r="BA14" s="472">
        <f t="shared" si="20"/>
        <v>-0.68576214955573445</v>
      </c>
      <c r="BB14" s="472" t="e">
        <f t="shared" si="21"/>
        <v>#DIV/0!</v>
      </c>
      <c r="BC14" s="472">
        <f t="shared" si="22"/>
        <v>-0.61054083794570269</v>
      </c>
      <c r="BD14" s="472" t="e">
        <f t="shared" si="23"/>
        <v>#DIV/0!</v>
      </c>
      <c r="BE14" s="472" t="e">
        <f t="shared" si="24"/>
        <v>#DIV/0!</v>
      </c>
    </row>
    <row r="15" spans="1:57" hidden="1" x14ac:dyDescent="0.35">
      <c r="A15" s="16">
        <v>45671</v>
      </c>
      <c r="B15" s="17">
        <v>26929672</v>
      </c>
      <c r="C15" s="17">
        <v>24135120</v>
      </c>
      <c r="D15" s="17">
        <v>4051721.7586206896</v>
      </c>
      <c r="E15" s="17">
        <v>4115733</v>
      </c>
      <c r="F15" s="484">
        <f t="shared" si="0"/>
        <v>3205263.7586206896</v>
      </c>
      <c r="G15" s="484">
        <f t="shared" si="1"/>
        <v>3409460</v>
      </c>
      <c r="H15" s="484">
        <f t="shared" si="2"/>
        <v>846458</v>
      </c>
      <c r="I15" s="484">
        <f t="shared" si="3"/>
        <v>706273</v>
      </c>
      <c r="J15" s="19">
        <v>46035</v>
      </c>
      <c r="K15" s="17">
        <v>5407470.0200807396</v>
      </c>
      <c r="L15" s="17">
        <v>3758578.6426933599</v>
      </c>
      <c r="M15" s="17">
        <v>1648891.37738738</v>
      </c>
      <c r="N15" s="17">
        <v>3014987</v>
      </c>
      <c r="O15" s="17">
        <v>3308864</v>
      </c>
      <c r="P15" s="17">
        <v>25132.758620689601</v>
      </c>
      <c r="Q15" s="17">
        <v>29276</v>
      </c>
      <c r="R15" s="17">
        <v>88823</v>
      </c>
      <c r="S15" s="17">
        <v>24647</v>
      </c>
      <c r="T15" s="17">
        <v>264</v>
      </c>
      <c r="U15" s="17">
        <v>3108</v>
      </c>
      <c r="V15" s="17">
        <v>76057</v>
      </c>
      <c r="W15" s="17">
        <v>43565</v>
      </c>
      <c r="X15" s="17">
        <v>657218</v>
      </c>
      <c r="Y15" s="17">
        <v>536006</v>
      </c>
      <c r="Z15" s="17">
        <v>100302</v>
      </c>
      <c r="AA15" s="17">
        <v>110255</v>
      </c>
      <c r="AB15" s="17">
        <v>88938</v>
      </c>
      <c r="AC15" s="17">
        <v>39605</v>
      </c>
      <c r="AD15" s="17">
        <v>0</v>
      </c>
      <c r="AE15" s="17">
        <v>8501</v>
      </c>
      <c r="AF15" s="17">
        <v>0</v>
      </c>
      <c r="AG15" s="17">
        <v>11906</v>
      </c>
      <c r="AH15" s="17">
        <v>0</v>
      </c>
      <c r="AI15" s="17">
        <v>0</v>
      </c>
      <c r="AJ15" s="54">
        <f t="shared" si="4"/>
        <v>757520</v>
      </c>
      <c r="AK15" s="54">
        <f t="shared" si="5"/>
        <v>646261</v>
      </c>
      <c r="AL15" s="54">
        <f t="shared" si="6"/>
        <v>88938</v>
      </c>
      <c r="AM15" s="54">
        <f t="shared" si="7"/>
        <v>48106</v>
      </c>
      <c r="AN15" s="19">
        <v>46035</v>
      </c>
      <c r="AO15" s="487">
        <f t="shared" si="8"/>
        <v>-0.10377222566988564</v>
      </c>
      <c r="AP15" s="487">
        <f t="shared" si="9"/>
        <v>1.5798528426369973E-2</v>
      </c>
      <c r="AQ15" s="486">
        <f t="shared" si="10"/>
        <v>6.370653298971618E-2</v>
      </c>
      <c r="AR15" s="486">
        <f t="shared" si="11"/>
        <v>-0.16561365123845484</v>
      </c>
      <c r="AS15" s="472">
        <f t="shared" si="12"/>
        <v>9.7472062068592713E-2</v>
      </c>
      <c r="AT15" s="472">
        <f t="shared" si="13"/>
        <v>0.16485422240516123</v>
      </c>
      <c r="AU15" s="472">
        <f t="shared" si="14"/>
        <v>-0.72251556466230593</v>
      </c>
      <c r="AV15" s="472">
        <f t="shared" si="15"/>
        <v>10.772727272727273</v>
      </c>
      <c r="AW15" s="472">
        <f t="shared" si="16"/>
        <v>-0.42720591135595676</v>
      </c>
      <c r="AX15" s="472">
        <f t="shared" si="17"/>
        <v>-0.18443195408525026</v>
      </c>
      <c r="AY15" s="472">
        <f t="shared" si="18"/>
        <v>9.9230324420250815E-2</v>
      </c>
      <c r="AZ15" s="472">
        <f t="shared" si="19"/>
        <v>-0.14687268982997148</v>
      </c>
      <c r="BA15" s="472">
        <f t="shared" si="20"/>
        <v>-0.55468978389439827</v>
      </c>
      <c r="BB15" s="472" t="e">
        <f t="shared" si="21"/>
        <v>#DIV/0!</v>
      </c>
      <c r="BC15" s="472">
        <f t="shared" si="22"/>
        <v>-0.45910634374508086</v>
      </c>
      <c r="BD15" s="472" t="e">
        <f t="shared" si="23"/>
        <v>#DIV/0!</v>
      </c>
      <c r="BE15" s="472" t="e">
        <f t="shared" si="24"/>
        <v>#DIV/0!</v>
      </c>
    </row>
    <row r="16" spans="1:57" hidden="1" x14ac:dyDescent="0.35">
      <c r="A16" s="19">
        <v>45672</v>
      </c>
      <c r="B16" s="17">
        <v>30377124</v>
      </c>
      <c r="C16" s="17">
        <v>26317522</v>
      </c>
      <c r="D16" s="17">
        <v>4027205.8620689656</v>
      </c>
      <c r="E16" s="17">
        <v>4019360</v>
      </c>
      <c r="F16" s="484">
        <f t="shared" si="0"/>
        <v>3311878.8620689656</v>
      </c>
      <c r="G16" s="484">
        <f t="shared" si="1"/>
        <v>3323312</v>
      </c>
      <c r="H16" s="484">
        <f t="shared" si="2"/>
        <v>715327</v>
      </c>
      <c r="I16" s="484">
        <f t="shared" si="3"/>
        <v>696048</v>
      </c>
      <c r="J16" s="19">
        <v>46036</v>
      </c>
      <c r="K16" s="17">
        <v>5176861.7710896097</v>
      </c>
      <c r="L16" s="17">
        <v>4086946.3913297802</v>
      </c>
      <c r="M16" s="17">
        <v>1089915.37975983</v>
      </c>
      <c r="N16" s="17">
        <v>3145541</v>
      </c>
      <c r="O16" s="17">
        <v>3212173</v>
      </c>
      <c r="P16" s="17">
        <v>28275.8620689655</v>
      </c>
      <c r="Q16" s="17">
        <v>27929</v>
      </c>
      <c r="R16" s="17">
        <v>68859</v>
      </c>
      <c r="S16" s="17">
        <v>49002</v>
      </c>
      <c r="T16" s="17">
        <v>5179</v>
      </c>
      <c r="U16" s="17">
        <v>2343</v>
      </c>
      <c r="V16" s="17">
        <v>64024</v>
      </c>
      <c r="W16" s="17">
        <v>31865</v>
      </c>
      <c r="X16" s="17">
        <v>635340</v>
      </c>
      <c r="Y16" s="17">
        <v>514044</v>
      </c>
      <c r="Z16" s="17">
        <v>1022</v>
      </c>
      <c r="AA16" s="17">
        <v>119118</v>
      </c>
      <c r="AB16" s="17">
        <v>78965</v>
      </c>
      <c r="AC16" s="17">
        <v>41245</v>
      </c>
      <c r="AD16" s="17">
        <v>0</v>
      </c>
      <c r="AE16" s="17">
        <v>5948</v>
      </c>
      <c r="AF16" s="17">
        <v>0</v>
      </c>
      <c r="AG16" s="17">
        <v>15693</v>
      </c>
      <c r="AH16" s="17">
        <v>0</v>
      </c>
      <c r="AI16" s="17">
        <v>0</v>
      </c>
      <c r="AJ16" s="54">
        <f t="shared" si="4"/>
        <v>636362</v>
      </c>
      <c r="AK16" s="54">
        <f t="shared" si="5"/>
        <v>633162</v>
      </c>
      <c r="AL16" s="54">
        <f t="shared" si="6"/>
        <v>78965</v>
      </c>
      <c r="AM16" s="54">
        <f t="shared" si="7"/>
        <v>47193</v>
      </c>
      <c r="AN16" s="19">
        <v>46036</v>
      </c>
      <c r="AO16" s="487">
        <f t="shared" si="8"/>
        <v>-0.13364010365168211</v>
      </c>
      <c r="AP16" s="487">
        <f t="shared" si="9"/>
        <v>-1.9482148014491329E-3</v>
      </c>
      <c r="AQ16" s="486">
        <f t="shared" si="10"/>
        <v>3.4521606638391322E-3</v>
      </c>
      <c r="AR16" s="486">
        <f t="shared" si="11"/>
        <v>-2.6951310379728421E-2</v>
      </c>
      <c r="AS16" s="472">
        <f t="shared" si="12"/>
        <v>2.1183001588597872E-2</v>
      </c>
      <c r="AT16" s="472">
        <f t="shared" si="13"/>
        <v>-1.2267073170731058E-2</v>
      </c>
      <c r="AU16" s="472">
        <f t="shared" si="14"/>
        <v>-0.28837189038469913</v>
      </c>
      <c r="AV16" s="472">
        <f t="shared" si="15"/>
        <v>-0.54759606101564007</v>
      </c>
      <c r="AW16" s="472">
        <f t="shared" si="16"/>
        <v>-0.50229601399475199</v>
      </c>
      <c r="AX16" s="472">
        <f t="shared" si="17"/>
        <v>-0.19091510057606953</v>
      </c>
      <c r="AY16" s="472">
        <f t="shared" si="18"/>
        <v>115.55381604696673</v>
      </c>
      <c r="AZ16" s="472">
        <f t="shared" si="19"/>
        <v>-5.0285843592169366E-3</v>
      </c>
      <c r="BA16" s="472">
        <f t="shared" si="20"/>
        <v>-0.47767998480339391</v>
      </c>
      <c r="BB16" s="472" t="e">
        <f t="shared" si="21"/>
        <v>#DIV/0!</v>
      </c>
      <c r="BC16" s="472">
        <f t="shared" si="22"/>
        <v>-0.4023554739441525</v>
      </c>
      <c r="BD16" s="472" t="e">
        <f t="shared" si="23"/>
        <v>#DIV/0!</v>
      </c>
      <c r="BE16" s="472" t="e">
        <f t="shared" si="24"/>
        <v>#DIV/0!</v>
      </c>
    </row>
    <row r="17" spans="1:57" hidden="1" x14ac:dyDescent="0.35">
      <c r="A17" s="16">
        <v>45673</v>
      </c>
      <c r="B17" s="17">
        <v>34401698</v>
      </c>
      <c r="C17" s="17">
        <v>30903967</v>
      </c>
      <c r="D17" s="17">
        <v>3965940.8275862071</v>
      </c>
      <c r="E17" s="17">
        <v>3651237</v>
      </c>
      <c r="F17" s="484">
        <f t="shared" si="0"/>
        <v>2837028.8275862071</v>
      </c>
      <c r="G17" s="484">
        <f t="shared" si="1"/>
        <v>2959550</v>
      </c>
      <c r="H17" s="484">
        <f t="shared" si="2"/>
        <v>1128912</v>
      </c>
      <c r="I17" s="484">
        <f t="shared" si="3"/>
        <v>691687</v>
      </c>
      <c r="J17" s="19">
        <v>46037</v>
      </c>
      <c r="K17" s="17">
        <v>5143957.0845599538</v>
      </c>
      <c r="L17" s="17">
        <v>4222888.4682110501</v>
      </c>
      <c r="M17" s="17">
        <v>921068.61634890398</v>
      </c>
      <c r="N17" s="17">
        <v>2652789</v>
      </c>
      <c r="O17" s="17">
        <v>2833552</v>
      </c>
      <c r="P17" s="17">
        <v>24219.827586206899</v>
      </c>
      <c r="Q17" s="17">
        <v>36431</v>
      </c>
      <c r="R17" s="17">
        <v>86898</v>
      </c>
      <c r="S17" s="17">
        <v>39316</v>
      </c>
      <c r="T17" s="17">
        <v>9752</v>
      </c>
      <c r="U17" s="17">
        <v>1033</v>
      </c>
      <c r="V17" s="17">
        <v>63370</v>
      </c>
      <c r="W17" s="17">
        <v>49218</v>
      </c>
      <c r="X17" s="17">
        <v>467016</v>
      </c>
      <c r="Y17" s="17">
        <v>512619</v>
      </c>
      <c r="Z17" s="17">
        <v>578857</v>
      </c>
      <c r="AA17" s="17">
        <v>120851</v>
      </c>
      <c r="AB17" s="17">
        <v>83039</v>
      </c>
      <c r="AC17" s="17">
        <v>38749</v>
      </c>
      <c r="AD17" s="17">
        <v>0</v>
      </c>
      <c r="AE17" s="17">
        <v>11568</v>
      </c>
      <c r="AF17" s="17">
        <v>0</v>
      </c>
      <c r="AG17" s="17">
        <v>6953</v>
      </c>
      <c r="AH17" s="17">
        <v>0</v>
      </c>
      <c r="AI17" s="17">
        <v>947</v>
      </c>
      <c r="AJ17" s="54">
        <f t="shared" si="4"/>
        <v>1045873</v>
      </c>
      <c r="AK17" s="54">
        <f t="shared" si="5"/>
        <v>633470</v>
      </c>
      <c r="AL17" s="54">
        <f t="shared" si="6"/>
        <v>83039</v>
      </c>
      <c r="AM17" s="54">
        <f t="shared" si="7"/>
        <v>50317</v>
      </c>
      <c r="AN17" s="19">
        <v>46037</v>
      </c>
      <c r="AO17" s="487">
        <f t="shared" si="8"/>
        <v>-0.10167320810734404</v>
      </c>
      <c r="AP17" s="487">
        <f t="shared" si="9"/>
        <v>-7.9351619519181127E-2</v>
      </c>
      <c r="AQ17" s="486">
        <f t="shared" si="10"/>
        <v>4.318643900352459E-2</v>
      </c>
      <c r="AR17" s="486">
        <f t="shared" si="11"/>
        <v>-0.38729768130731179</v>
      </c>
      <c r="AS17" s="472">
        <f t="shared" si="12"/>
        <v>6.8140737917716132E-2</v>
      </c>
      <c r="AT17" s="472">
        <f t="shared" si="13"/>
        <v>0.50418081509165313</v>
      </c>
      <c r="AU17" s="472">
        <f t="shared" si="14"/>
        <v>-0.5475615088954866</v>
      </c>
      <c r="AV17" s="472">
        <f t="shared" si="15"/>
        <v>-0.89407301066447908</v>
      </c>
      <c r="AW17" s="472">
        <f t="shared" si="16"/>
        <v>-0.22332333911945712</v>
      </c>
      <c r="AX17" s="472">
        <f t="shared" si="17"/>
        <v>9.7647618068759989E-2</v>
      </c>
      <c r="AY17" s="472">
        <f t="shared" si="18"/>
        <v>-0.79122477572181038</v>
      </c>
      <c r="AZ17" s="472">
        <f t="shared" si="19"/>
        <v>-0.39431460607549862</v>
      </c>
      <c r="BA17" s="472">
        <f t="shared" si="20"/>
        <v>-0.5333638410867183</v>
      </c>
      <c r="BB17" s="472" t="e">
        <f t="shared" si="21"/>
        <v>#DIV/0!</v>
      </c>
      <c r="BC17" s="472">
        <f t="shared" si="22"/>
        <v>-0.39405580510362603</v>
      </c>
      <c r="BD17" s="472" t="e">
        <f t="shared" si="23"/>
        <v>#DIV/0!</v>
      </c>
      <c r="BE17" s="472" t="e">
        <f t="shared" si="24"/>
        <v>#DIV/0!</v>
      </c>
    </row>
    <row r="18" spans="1:57" hidden="1" x14ac:dyDescent="0.35">
      <c r="A18" s="19">
        <v>45674</v>
      </c>
      <c r="B18" s="17">
        <v>33022574</v>
      </c>
      <c r="C18" s="17">
        <v>32703579</v>
      </c>
      <c r="D18" s="17">
        <v>2433095.3103448274</v>
      </c>
      <c r="E18" s="17">
        <v>3380522</v>
      </c>
      <c r="F18" s="484">
        <f t="shared" si="0"/>
        <v>1880958.3103448276</v>
      </c>
      <c r="G18" s="484">
        <f t="shared" si="1"/>
        <v>2724727</v>
      </c>
      <c r="H18" s="484">
        <f t="shared" si="2"/>
        <v>552137</v>
      </c>
      <c r="I18" s="484">
        <f t="shared" si="3"/>
        <v>655795</v>
      </c>
      <c r="J18" s="19">
        <v>46038</v>
      </c>
      <c r="K18" s="17">
        <v>5071028.3538970798</v>
      </c>
      <c r="L18" s="17">
        <v>3617419.8450337602</v>
      </c>
      <c r="M18" s="17">
        <v>1453608.5088633201</v>
      </c>
      <c r="N18" s="17">
        <v>1736223</v>
      </c>
      <c r="O18" s="17">
        <v>2640237</v>
      </c>
      <c r="P18" s="17">
        <v>19429.310344827602</v>
      </c>
      <c r="Q18" s="17">
        <v>35873</v>
      </c>
      <c r="R18" s="17">
        <v>37364</v>
      </c>
      <c r="S18" s="17">
        <v>-6459</v>
      </c>
      <c r="T18" s="17">
        <v>4728</v>
      </c>
      <c r="U18" s="17">
        <v>3002</v>
      </c>
      <c r="V18" s="17">
        <v>83214</v>
      </c>
      <c r="W18" s="17">
        <v>52074</v>
      </c>
      <c r="X18" s="17">
        <v>307736</v>
      </c>
      <c r="Y18" s="17">
        <v>435351</v>
      </c>
      <c r="Z18" s="17">
        <v>197102</v>
      </c>
      <c r="AA18" s="17">
        <v>150561</v>
      </c>
      <c r="AB18" s="17">
        <v>47299</v>
      </c>
      <c r="AC18" s="17">
        <v>53754</v>
      </c>
      <c r="AD18" s="17">
        <v>0</v>
      </c>
      <c r="AE18" s="17">
        <v>6324</v>
      </c>
      <c r="AF18" s="17">
        <v>0</v>
      </c>
      <c r="AG18" s="17">
        <v>8858</v>
      </c>
      <c r="AH18" s="17">
        <v>0</v>
      </c>
      <c r="AI18" s="17">
        <v>947</v>
      </c>
      <c r="AJ18" s="54">
        <f t="shared" si="4"/>
        <v>504838</v>
      </c>
      <c r="AK18" s="54">
        <f t="shared" si="5"/>
        <v>585912</v>
      </c>
      <c r="AL18" s="54">
        <f t="shared" si="6"/>
        <v>47299</v>
      </c>
      <c r="AM18" s="54">
        <f t="shared" si="7"/>
        <v>60078</v>
      </c>
      <c r="AN18" s="19">
        <v>46038</v>
      </c>
      <c r="AO18" s="487">
        <f t="shared" si="8"/>
        <v>-9.6599071895485666E-3</v>
      </c>
      <c r="AP18" s="487">
        <f t="shared" si="9"/>
        <v>0.38939152347505024</v>
      </c>
      <c r="AQ18" s="486">
        <f t="shared" si="10"/>
        <v>0.44858447155082781</v>
      </c>
      <c r="AR18" s="486">
        <f t="shared" si="11"/>
        <v>0.18773963708282548</v>
      </c>
      <c r="AS18" s="472">
        <f t="shared" si="12"/>
        <v>0.52067850731156073</v>
      </c>
      <c r="AT18" s="472">
        <f t="shared" si="13"/>
        <v>0.84633419114384445</v>
      </c>
      <c r="AU18" s="472">
        <f t="shared" si="14"/>
        <v>-1.1728669307354673</v>
      </c>
      <c r="AV18" s="472">
        <f t="shared" si="15"/>
        <v>-0.36505922165820648</v>
      </c>
      <c r="AW18" s="472">
        <f t="shared" si="16"/>
        <v>-0.37421587713605886</v>
      </c>
      <c r="AX18" s="472">
        <f t="shared" si="17"/>
        <v>0.41468986403930641</v>
      </c>
      <c r="AY18" s="472">
        <f t="shared" si="18"/>
        <v>-0.23612647258779718</v>
      </c>
      <c r="AZ18" s="472">
        <f t="shared" si="19"/>
        <v>0.16059409156996907</v>
      </c>
      <c r="BA18" s="472">
        <f t="shared" si="20"/>
        <v>0.13647222985686791</v>
      </c>
      <c r="BB18" s="472" t="e">
        <f t="shared" si="21"/>
        <v>#DIV/0!</v>
      </c>
      <c r="BC18" s="472">
        <f t="shared" si="22"/>
        <v>0.27017484513414658</v>
      </c>
      <c r="BD18" s="472" t="e">
        <f t="shared" si="23"/>
        <v>#DIV/0!</v>
      </c>
      <c r="BE18" s="472" t="e">
        <f t="shared" si="24"/>
        <v>#DIV/0!</v>
      </c>
    </row>
    <row r="19" spans="1:57" hidden="1" x14ac:dyDescent="0.35">
      <c r="A19" s="16">
        <v>45675</v>
      </c>
      <c r="B19" s="17">
        <v>45210881</v>
      </c>
      <c r="C19" s="17">
        <v>45086574</v>
      </c>
      <c r="D19" s="17">
        <v>3363106</v>
      </c>
      <c r="E19" s="17">
        <v>2892010</v>
      </c>
      <c r="F19" s="484">
        <f t="shared" si="0"/>
        <v>2696183</v>
      </c>
      <c r="G19" s="484">
        <f t="shared" si="1"/>
        <v>2271545</v>
      </c>
      <c r="H19" s="484">
        <f t="shared" si="2"/>
        <v>666923</v>
      </c>
      <c r="I19" s="484">
        <f t="shared" si="3"/>
        <v>620465</v>
      </c>
      <c r="J19" s="19">
        <v>46039</v>
      </c>
      <c r="K19" s="17">
        <v>3109301.8861852051</v>
      </c>
      <c r="L19" s="17">
        <v>2398359.80986901</v>
      </c>
      <c r="M19" s="17">
        <v>710942.07631619496</v>
      </c>
      <c r="N19" s="17">
        <v>2580220</v>
      </c>
      <c r="O19" s="17">
        <v>2128824</v>
      </c>
      <c r="P19" s="17">
        <v>28300</v>
      </c>
      <c r="Q19" s="17">
        <v>41848</v>
      </c>
      <c r="R19" s="17">
        <v>17517</v>
      </c>
      <c r="S19" s="17">
        <v>39673</v>
      </c>
      <c r="T19" s="17">
        <v>6155</v>
      </c>
      <c r="U19" s="17">
        <v>3597</v>
      </c>
      <c r="V19" s="17">
        <v>63991</v>
      </c>
      <c r="W19" s="17">
        <v>57603</v>
      </c>
      <c r="X19" s="17">
        <v>488099</v>
      </c>
      <c r="Y19" s="17">
        <v>457229</v>
      </c>
      <c r="Z19" s="17">
        <v>140441</v>
      </c>
      <c r="AA19" s="17">
        <v>118233</v>
      </c>
      <c r="AB19" s="17">
        <v>38383</v>
      </c>
      <c r="AC19" s="17">
        <v>37402</v>
      </c>
      <c r="AD19" s="17">
        <v>0</v>
      </c>
      <c r="AE19" s="17">
        <v>6671</v>
      </c>
      <c r="AF19" s="17">
        <v>0</v>
      </c>
      <c r="AG19" s="17">
        <v>930</v>
      </c>
      <c r="AH19" s="17">
        <v>0</v>
      </c>
      <c r="AI19" s="17">
        <v>0</v>
      </c>
      <c r="AJ19" s="54">
        <f t="shared" si="4"/>
        <v>628540</v>
      </c>
      <c r="AK19" s="54">
        <f t="shared" si="5"/>
        <v>575462</v>
      </c>
      <c r="AL19" s="54">
        <f t="shared" si="6"/>
        <v>38383</v>
      </c>
      <c r="AM19" s="54">
        <f t="shared" si="7"/>
        <v>44073</v>
      </c>
      <c r="AN19" s="19">
        <v>46039</v>
      </c>
      <c r="AO19" s="487">
        <f t="shared" si="8"/>
        <v>-2.7494929815679026E-3</v>
      </c>
      <c r="AP19" s="487">
        <f t="shared" si="9"/>
        <v>-0.14007765440637321</v>
      </c>
      <c r="AQ19" s="486">
        <f t="shared" si="10"/>
        <v>-0.15749598599204873</v>
      </c>
      <c r="AR19" s="486">
        <f t="shared" si="11"/>
        <v>-6.966021564708369E-2</v>
      </c>
      <c r="AS19" s="472">
        <f t="shared" si="12"/>
        <v>-0.17494477215121196</v>
      </c>
      <c r="AT19" s="472">
        <f t="shared" si="13"/>
        <v>0.47872791519434621</v>
      </c>
      <c r="AU19" s="472">
        <f t="shared" si="14"/>
        <v>1.2648284523605642</v>
      </c>
      <c r="AV19" s="472">
        <f t="shared" si="15"/>
        <v>-0.41559707554833469</v>
      </c>
      <c r="AW19" s="472">
        <f t="shared" si="16"/>
        <v>-9.9826538106921325E-2</v>
      </c>
      <c r="AX19" s="472">
        <f t="shared" si="17"/>
        <v>-6.324536620644583E-2</v>
      </c>
      <c r="AY19" s="472">
        <f t="shared" si="18"/>
        <v>-0.15813046047806556</v>
      </c>
      <c r="AZ19" s="472">
        <f t="shared" si="19"/>
        <v>-8.4446495052025283E-2</v>
      </c>
      <c r="BA19" s="472">
        <f t="shared" si="20"/>
        <v>-2.5558189823619792E-2</v>
      </c>
      <c r="BB19" s="472" t="e">
        <f t="shared" si="21"/>
        <v>#DIV/0!</v>
      </c>
      <c r="BC19" s="472">
        <f t="shared" si="22"/>
        <v>0.1482427116171221</v>
      </c>
      <c r="BD19" s="472" t="e">
        <f t="shared" si="23"/>
        <v>#DIV/0!</v>
      </c>
      <c r="BE19" s="472" t="e">
        <f t="shared" si="24"/>
        <v>#DIV/0!</v>
      </c>
    </row>
    <row r="20" spans="1:57" hidden="1" x14ac:dyDescent="0.35">
      <c r="A20" s="19">
        <v>45676</v>
      </c>
      <c r="B20" s="17">
        <v>42397530</v>
      </c>
      <c r="C20" s="17">
        <v>44463837</v>
      </c>
      <c r="D20" s="17">
        <v>2564263.8275862066</v>
      </c>
      <c r="E20" s="17">
        <v>2973206</v>
      </c>
      <c r="F20" s="484">
        <f t="shared" si="0"/>
        <v>2150926.8275862066</v>
      </c>
      <c r="G20" s="484">
        <f t="shared" si="1"/>
        <v>2634816</v>
      </c>
      <c r="H20" s="484">
        <f t="shared" si="2"/>
        <v>413337</v>
      </c>
      <c r="I20" s="484">
        <f t="shared" si="3"/>
        <v>338390</v>
      </c>
      <c r="J20" s="19">
        <v>46040</v>
      </c>
      <c r="K20" s="17">
        <v>4296573.7917584404</v>
      </c>
      <c r="L20" s="17">
        <v>3437831.0841278601</v>
      </c>
      <c r="M20" s="17">
        <v>858742.70763057994</v>
      </c>
      <c r="N20" s="17">
        <v>2028149</v>
      </c>
      <c r="O20" s="17">
        <v>2552466</v>
      </c>
      <c r="P20" s="17">
        <v>25069.827586206899</v>
      </c>
      <c r="Q20" s="17">
        <v>37032</v>
      </c>
      <c r="R20" s="17">
        <v>22533</v>
      </c>
      <c r="S20" s="17">
        <v>-1059</v>
      </c>
      <c r="T20" s="17">
        <v>9941</v>
      </c>
      <c r="U20" s="17">
        <v>2557</v>
      </c>
      <c r="V20" s="17">
        <v>65234</v>
      </c>
      <c r="W20" s="17">
        <v>43820</v>
      </c>
      <c r="X20" s="17">
        <v>193047</v>
      </c>
      <c r="Y20" s="17">
        <v>167676</v>
      </c>
      <c r="Z20" s="17">
        <v>170098</v>
      </c>
      <c r="AA20" s="17">
        <v>113618</v>
      </c>
      <c r="AB20" s="17">
        <v>50192</v>
      </c>
      <c r="AC20" s="17">
        <v>53156</v>
      </c>
      <c r="AD20" s="17">
        <v>0</v>
      </c>
      <c r="AE20" s="17">
        <v>3354</v>
      </c>
      <c r="AF20" s="17">
        <v>0</v>
      </c>
      <c r="AG20" s="17">
        <v>586</v>
      </c>
      <c r="AH20" s="17">
        <v>0</v>
      </c>
      <c r="AI20" s="17">
        <v>0</v>
      </c>
      <c r="AJ20" s="54">
        <f t="shared" si="4"/>
        <v>363145</v>
      </c>
      <c r="AK20" s="54">
        <f t="shared" si="5"/>
        <v>281294</v>
      </c>
      <c r="AL20" s="54">
        <f t="shared" si="6"/>
        <v>50192</v>
      </c>
      <c r="AM20" s="54">
        <f t="shared" si="7"/>
        <v>56510</v>
      </c>
      <c r="AN20" s="19">
        <v>46040</v>
      </c>
      <c r="AO20" s="487">
        <f t="shared" si="8"/>
        <v>4.8736494791087992E-2</v>
      </c>
      <c r="AP20" s="487">
        <f t="shared" si="9"/>
        <v>0.15947741726666975</v>
      </c>
      <c r="AQ20" s="486">
        <f t="shared" si="10"/>
        <v>0.22496775167234251</v>
      </c>
      <c r="AR20" s="486">
        <f t="shared" si="11"/>
        <v>-0.18132177859712539</v>
      </c>
      <c r="AS20" s="472">
        <f t="shared" si="12"/>
        <v>0.25851996081155781</v>
      </c>
      <c r="AT20" s="472">
        <f t="shared" si="13"/>
        <v>0.47715415563426289</v>
      </c>
      <c r="AU20" s="472">
        <f t="shared" si="14"/>
        <v>-1.0469977366529091</v>
      </c>
      <c r="AV20" s="472">
        <f t="shared" si="15"/>
        <v>-0.74278241625590979</v>
      </c>
      <c r="AW20" s="472">
        <f t="shared" si="16"/>
        <v>-0.32826440199895757</v>
      </c>
      <c r="AX20" s="472">
        <f t="shared" si="17"/>
        <v>-0.13142395375219507</v>
      </c>
      <c r="AY20" s="472">
        <f t="shared" si="18"/>
        <v>-0.33204388058648548</v>
      </c>
      <c r="AZ20" s="472">
        <f t="shared" si="19"/>
        <v>-0.22539481474342205</v>
      </c>
      <c r="BA20" s="472">
        <f t="shared" si="20"/>
        <v>5.905323557539055E-2</v>
      </c>
      <c r="BB20" s="472" t="e">
        <f t="shared" si="21"/>
        <v>#DIV/0!</v>
      </c>
      <c r="BC20" s="472">
        <f t="shared" si="22"/>
        <v>0.12587663372649027</v>
      </c>
      <c r="BD20" s="472" t="e">
        <f t="shared" si="23"/>
        <v>#DIV/0!</v>
      </c>
      <c r="BE20" s="472" t="e">
        <f t="shared" si="24"/>
        <v>#DIV/0!</v>
      </c>
    </row>
    <row r="21" spans="1:57" hidden="1" x14ac:dyDescent="0.35">
      <c r="A21" s="16">
        <v>45677</v>
      </c>
      <c r="B21" s="17">
        <v>24310022</v>
      </c>
      <c r="C21" s="17">
        <v>25877600</v>
      </c>
      <c r="D21" s="17">
        <v>3939989.6896551722</v>
      </c>
      <c r="E21" s="17">
        <v>4800463</v>
      </c>
      <c r="F21" s="484">
        <f t="shared" si="0"/>
        <v>3164882.6896551722</v>
      </c>
      <c r="G21" s="484">
        <f t="shared" si="1"/>
        <v>3787718</v>
      </c>
      <c r="H21" s="484">
        <f t="shared" si="2"/>
        <v>775107</v>
      </c>
      <c r="I21" s="484">
        <f t="shared" si="3"/>
        <v>1012745</v>
      </c>
      <c r="J21" s="19">
        <v>46041</v>
      </c>
      <c r="K21" s="17">
        <v>3274810.033961595</v>
      </c>
      <c r="L21" s="17">
        <v>2742589.4709522198</v>
      </c>
      <c r="M21" s="17">
        <v>532220.56300937501</v>
      </c>
      <c r="N21" s="17">
        <v>3051836</v>
      </c>
      <c r="O21" s="17">
        <v>3650682</v>
      </c>
      <c r="P21" s="17">
        <v>24870.689655172398</v>
      </c>
      <c r="Q21" s="17">
        <v>29279</v>
      </c>
      <c r="R21" s="17">
        <v>62489</v>
      </c>
      <c r="S21" s="17">
        <v>39416</v>
      </c>
      <c r="T21" s="17">
        <v>2112</v>
      </c>
      <c r="U21" s="17">
        <v>1876</v>
      </c>
      <c r="V21" s="17">
        <v>23575</v>
      </c>
      <c r="W21" s="17">
        <v>66465</v>
      </c>
      <c r="X21" s="17">
        <v>601975</v>
      </c>
      <c r="Y21" s="17">
        <v>827888</v>
      </c>
      <c r="Z21" s="17">
        <v>119622</v>
      </c>
      <c r="AA21" s="17">
        <v>129619</v>
      </c>
      <c r="AB21" s="17">
        <v>47661</v>
      </c>
      <c r="AC21" s="17">
        <v>40872</v>
      </c>
      <c r="AD21" s="17">
        <v>5849</v>
      </c>
      <c r="AE21" s="17">
        <v>7344</v>
      </c>
      <c r="AF21" s="17">
        <v>0</v>
      </c>
      <c r="AG21" s="17">
        <v>6161</v>
      </c>
      <c r="AH21" s="17">
        <v>0</v>
      </c>
      <c r="AI21" s="17">
        <v>861</v>
      </c>
      <c r="AJ21" s="54">
        <f t="shared" si="4"/>
        <v>721597</v>
      </c>
      <c r="AK21" s="54">
        <f t="shared" si="5"/>
        <v>957507</v>
      </c>
      <c r="AL21" s="54">
        <f t="shared" si="6"/>
        <v>53510</v>
      </c>
      <c r="AM21" s="54">
        <f t="shared" si="7"/>
        <v>48216</v>
      </c>
      <c r="AN21" s="19">
        <v>46041</v>
      </c>
      <c r="AO21" s="487">
        <f t="shared" si="8"/>
        <v>6.4482788209734965E-2</v>
      </c>
      <c r="AP21" s="487">
        <f t="shared" si="9"/>
        <v>0.2183948127082882</v>
      </c>
      <c r="AQ21" s="486">
        <f t="shared" si="10"/>
        <v>0.19679570190094098</v>
      </c>
      <c r="AR21" s="486">
        <f t="shared" si="11"/>
        <v>0.30658734858542114</v>
      </c>
      <c r="AS21" s="472">
        <f t="shared" si="12"/>
        <v>0.19622482990566992</v>
      </c>
      <c r="AT21" s="472">
        <f t="shared" si="13"/>
        <v>0.1772492201039868</v>
      </c>
      <c r="AU21" s="472">
        <f t="shared" si="14"/>
        <v>-0.36923298500536095</v>
      </c>
      <c r="AV21" s="472">
        <f t="shared" si="15"/>
        <v>-0.1117424242424242</v>
      </c>
      <c r="AW21" s="472">
        <f t="shared" si="16"/>
        <v>1.8193001060445386</v>
      </c>
      <c r="AX21" s="472">
        <f t="shared" si="17"/>
        <v>0.37528634910087622</v>
      </c>
      <c r="AY21" s="472">
        <f t="shared" si="18"/>
        <v>8.3571583822373841E-2</v>
      </c>
      <c r="AZ21" s="472">
        <f t="shared" si="19"/>
        <v>0.32692763412264747</v>
      </c>
      <c r="BA21" s="472">
        <f t="shared" si="20"/>
        <v>-0.14244350727009503</v>
      </c>
      <c r="BB21" s="472">
        <f t="shared" si="21"/>
        <v>0.25559924773465559</v>
      </c>
      <c r="BC21" s="472">
        <f t="shared" si="22"/>
        <v>-9.8934778546066138E-2</v>
      </c>
      <c r="BD21" s="472" t="e">
        <f t="shared" si="23"/>
        <v>#DIV/0!</v>
      </c>
      <c r="BE21" s="472" t="e">
        <f t="shared" si="24"/>
        <v>#DIV/0!</v>
      </c>
    </row>
    <row r="22" spans="1:57" hidden="1" x14ac:dyDescent="0.35">
      <c r="A22" s="19">
        <v>45678</v>
      </c>
      <c r="B22" s="17">
        <v>25280575</v>
      </c>
      <c r="C22" s="17">
        <v>26671750</v>
      </c>
      <c r="D22" s="17">
        <v>4126281</v>
      </c>
      <c r="E22" s="17">
        <v>4426749</v>
      </c>
      <c r="F22" s="484">
        <f t="shared" si="0"/>
        <v>3094766</v>
      </c>
      <c r="G22" s="484">
        <f t="shared" si="1"/>
        <v>3708846</v>
      </c>
      <c r="H22" s="484">
        <f t="shared" si="2"/>
        <v>1031515</v>
      </c>
      <c r="I22" s="484">
        <f t="shared" si="3"/>
        <v>717903</v>
      </c>
      <c r="J22" s="19">
        <v>46042</v>
      </c>
      <c r="K22" s="17">
        <v>5033500.0450277738</v>
      </c>
      <c r="L22" s="17">
        <v>4035457.5665356298</v>
      </c>
      <c r="M22" s="17">
        <v>998042.47849214403</v>
      </c>
      <c r="N22" s="17">
        <v>2969811</v>
      </c>
      <c r="O22" s="17">
        <v>3539014</v>
      </c>
      <c r="P22" s="17">
        <v>20875</v>
      </c>
      <c r="Q22" s="17">
        <v>35261</v>
      </c>
      <c r="R22" s="17">
        <v>56684</v>
      </c>
      <c r="S22" s="17">
        <v>50393</v>
      </c>
      <c r="T22" s="17">
        <v>6612</v>
      </c>
      <c r="U22" s="17">
        <v>1403</v>
      </c>
      <c r="V22" s="17">
        <v>40784</v>
      </c>
      <c r="W22" s="17">
        <v>82775</v>
      </c>
      <c r="X22" s="17">
        <v>884541</v>
      </c>
      <c r="Y22" s="17">
        <v>541048</v>
      </c>
      <c r="Z22" s="17">
        <v>85285</v>
      </c>
      <c r="AA22" s="17">
        <v>103829</v>
      </c>
      <c r="AB22" s="17">
        <v>44091</v>
      </c>
      <c r="AC22" s="17">
        <v>59350</v>
      </c>
      <c r="AD22" s="17">
        <v>17598</v>
      </c>
      <c r="AE22" s="17">
        <v>5233</v>
      </c>
      <c r="AF22" s="17">
        <v>0</v>
      </c>
      <c r="AG22" s="17">
        <v>8443</v>
      </c>
      <c r="AH22" s="17">
        <v>0</v>
      </c>
      <c r="AI22" s="17">
        <v>0</v>
      </c>
      <c r="AJ22" s="54">
        <f t="shared" si="4"/>
        <v>969826</v>
      </c>
      <c r="AK22" s="54">
        <f t="shared" si="5"/>
        <v>644877</v>
      </c>
      <c r="AL22" s="54">
        <f t="shared" si="6"/>
        <v>61689</v>
      </c>
      <c r="AM22" s="54">
        <f t="shared" si="7"/>
        <v>64583</v>
      </c>
      <c r="AN22" s="19">
        <v>46042</v>
      </c>
      <c r="AO22" s="487">
        <f t="shared" si="8"/>
        <v>5.5029404987821717E-2</v>
      </c>
      <c r="AP22" s="487">
        <f t="shared" si="9"/>
        <v>7.2818113938435181E-2</v>
      </c>
      <c r="AQ22" s="486">
        <f t="shared" si="10"/>
        <v>0.19842534136668166</v>
      </c>
      <c r="AR22" s="486">
        <f t="shared" si="11"/>
        <v>-0.30403047944043471</v>
      </c>
      <c r="AS22" s="472">
        <f t="shared" si="12"/>
        <v>0.19166303848965471</v>
      </c>
      <c r="AT22" s="472">
        <f t="shared" si="13"/>
        <v>0.68914970059880232</v>
      </c>
      <c r="AU22" s="472">
        <f t="shared" si="14"/>
        <v>-0.11098369910380357</v>
      </c>
      <c r="AV22" s="472">
        <f t="shared" si="15"/>
        <v>-0.78781004234724739</v>
      </c>
      <c r="AW22" s="472">
        <f t="shared" si="16"/>
        <v>1.0295949391918398</v>
      </c>
      <c r="AX22" s="472">
        <f t="shared" si="17"/>
        <v>-0.38832908819376377</v>
      </c>
      <c r="AY22" s="472">
        <f t="shared" si="18"/>
        <v>0.21743565691504951</v>
      </c>
      <c r="AZ22" s="472">
        <f t="shared" si="19"/>
        <v>-0.33505907245217181</v>
      </c>
      <c r="BA22" s="472">
        <f t="shared" si="20"/>
        <v>0.34607969880474476</v>
      </c>
      <c r="BB22" s="472">
        <f t="shared" si="21"/>
        <v>-0.70263666325718832</v>
      </c>
      <c r="BC22" s="472">
        <f t="shared" si="22"/>
        <v>4.6912739710483153E-2</v>
      </c>
      <c r="BD22" s="472" t="e">
        <f t="shared" si="23"/>
        <v>#DIV/0!</v>
      </c>
      <c r="BE22" s="472" t="e">
        <f t="shared" si="24"/>
        <v>#DIV/0!</v>
      </c>
    </row>
    <row r="23" spans="1:57" hidden="1" x14ac:dyDescent="0.35">
      <c r="A23" s="16">
        <v>45679</v>
      </c>
      <c r="B23" s="17">
        <v>27320349</v>
      </c>
      <c r="C23" s="17">
        <v>28758026</v>
      </c>
      <c r="D23" s="17">
        <v>3467828.068965517</v>
      </c>
      <c r="E23" s="17">
        <v>4279740</v>
      </c>
      <c r="F23" s="484">
        <f t="shared" si="0"/>
        <v>2953101.068965517</v>
      </c>
      <c r="G23" s="484">
        <f t="shared" si="1"/>
        <v>3620982</v>
      </c>
      <c r="H23" s="484">
        <f t="shared" si="2"/>
        <v>514727</v>
      </c>
      <c r="I23" s="484">
        <f t="shared" si="3"/>
        <v>658758</v>
      </c>
      <c r="J23" s="19">
        <v>46043</v>
      </c>
      <c r="K23" s="17">
        <v>5274251.9281716105</v>
      </c>
      <c r="L23" s="17">
        <v>3946053.64431941</v>
      </c>
      <c r="M23" s="17">
        <v>1328198.2838522</v>
      </c>
      <c r="N23" s="17">
        <v>2805417</v>
      </c>
      <c r="O23" s="17">
        <v>3499850</v>
      </c>
      <c r="P23" s="17">
        <v>19287.068965517199</v>
      </c>
      <c r="Q23" s="17">
        <v>30801</v>
      </c>
      <c r="R23" s="17">
        <v>90551</v>
      </c>
      <c r="S23" s="17">
        <v>35803</v>
      </c>
      <c r="T23" s="17">
        <v>1592</v>
      </c>
      <c r="U23" s="17">
        <v>5841</v>
      </c>
      <c r="V23" s="17">
        <v>36254</v>
      </c>
      <c r="W23" s="17">
        <v>48687</v>
      </c>
      <c r="X23" s="17">
        <v>374553</v>
      </c>
      <c r="Y23" s="17">
        <v>482866</v>
      </c>
      <c r="Z23" s="17">
        <v>69855</v>
      </c>
      <c r="AA23" s="17">
        <v>118197</v>
      </c>
      <c r="AB23" s="17">
        <v>52088</v>
      </c>
      <c r="AC23" s="17">
        <v>45226</v>
      </c>
      <c r="AD23" s="17">
        <v>18231</v>
      </c>
      <c r="AE23" s="17">
        <v>2767</v>
      </c>
      <c r="AF23" s="17">
        <v>0</v>
      </c>
      <c r="AG23" s="17">
        <v>9702</v>
      </c>
      <c r="AH23" s="17">
        <v>0</v>
      </c>
      <c r="AI23" s="17">
        <v>0</v>
      </c>
      <c r="AJ23" s="54">
        <f t="shared" si="4"/>
        <v>444408</v>
      </c>
      <c r="AK23" s="54">
        <f t="shared" si="5"/>
        <v>601063</v>
      </c>
      <c r="AL23" s="54">
        <f t="shared" si="6"/>
        <v>70319</v>
      </c>
      <c r="AM23" s="54">
        <f t="shared" si="7"/>
        <v>47993</v>
      </c>
      <c r="AN23" s="19">
        <v>46043</v>
      </c>
      <c r="AO23" s="487">
        <f t="shared" si="8"/>
        <v>5.2622936844620938E-2</v>
      </c>
      <c r="AP23" s="487">
        <f t="shared" si="9"/>
        <v>0.23412692754306108</v>
      </c>
      <c r="AQ23" s="486">
        <f t="shared" si="10"/>
        <v>0.22616257128932071</v>
      </c>
      <c r="AR23" s="486">
        <f t="shared" si="11"/>
        <v>0.27982017652075752</v>
      </c>
      <c r="AS23" s="472">
        <f t="shared" si="12"/>
        <v>0.24753289796133693</v>
      </c>
      <c r="AT23" s="472">
        <f t="shared" si="13"/>
        <v>0.59697671300228294</v>
      </c>
      <c r="AU23" s="472">
        <f t="shared" si="14"/>
        <v>-0.60460955704520103</v>
      </c>
      <c r="AV23" s="472">
        <f t="shared" si="15"/>
        <v>2.6689698492462313</v>
      </c>
      <c r="AW23" s="472">
        <f t="shared" si="16"/>
        <v>0.34294146852761065</v>
      </c>
      <c r="AX23" s="472">
        <f t="shared" si="17"/>
        <v>0.28917936847388748</v>
      </c>
      <c r="AY23" s="472">
        <f t="shared" si="18"/>
        <v>0.6920334979600602</v>
      </c>
      <c r="AZ23" s="472">
        <f t="shared" si="19"/>
        <v>0.35250265521772794</v>
      </c>
      <c r="BA23" s="472">
        <f t="shared" si="20"/>
        <v>-0.13173859622177853</v>
      </c>
      <c r="BB23" s="472">
        <f t="shared" si="21"/>
        <v>-0.84822554988755416</v>
      </c>
      <c r="BC23" s="472">
        <f t="shared" si="22"/>
        <v>-0.31749598259360912</v>
      </c>
      <c r="BD23" s="472" t="e">
        <f t="shared" si="23"/>
        <v>#DIV/0!</v>
      </c>
      <c r="BE23" s="472" t="e">
        <f t="shared" si="24"/>
        <v>#DIV/0!</v>
      </c>
    </row>
    <row r="24" spans="1:57" hidden="1" x14ac:dyDescent="0.35">
      <c r="A24" s="19">
        <v>45680</v>
      </c>
      <c r="B24" s="17">
        <v>28863545</v>
      </c>
      <c r="C24" s="17">
        <v>30590251</v>
      </c>
      <c r="D24" s="17">
        <v>2314941.4137931033</v>
      </c>
      <c r="E24" s="17">
        <v>3391256</v>
      </c>
      <c r="F24" s="484">
        <f t="shared" si="0"/>
        <v>1922553.4137931033</v>
      </c>
      <c r="G24" s="484">
        <f t="shared" si="1"/>
        <v>2819412</v>
      </c>
      <c r="H24" s="484">
        <f t="shared" si="2"/>
        <v>392388</v>
      </c>
      <c r="I24" s="484">
        <f t="shared" si="3"/>
        <v>571844</v>
      </c>
      <c r="J24" s="19">
        <v>46044</v>
      </c>
      <c r="K24" s="17">
        <v>4428192.7170130024</v>
      </c>
      <c r="L24" s="17">
        <v>3765420.4664375</v>
      </c>
      <c r="M24" s="17">
        <v>662772.25057550205</v>
      </c>
      <c r="N24" s="17">
        <v>1788443</v>
      </c>
      <c r="O24" s="17">
        <v>2626517</v>
      </c>
      <c r="P24" s="17">
        <v>22197.413793103398</v>
      </c>
      <c r="Q24" s="17">
        <v>29293</v>
      </c>
      <c r="R24" s="17">
        <v>61174</v>
      </c>
      <c r="S24" s="17">
        <v>89330</v>
      </c>
      <c r="T24" s="17">
        <v>1316</v>
      </c>
      <c r="U24" s="17">
        <v>878</v>
      </c>
      <c r="V24" s="17">
        <v>49423</v>
      </c>
      <c r="W24" s="17">
        <v>73394</v>
      </c>
      <c r="X24" s="17">
        <v>276672</v>
      </c>
      <c r="Y24" s="17">
        <v>421869</v>
      </c>
      <c r="Z24" s="17">
        <v>49661</v>
      </c>
      <c r="AA24" s="17">
        <v>87416</v>
      </c>
      <c r="AB24" s="17">
        <v>52812</v>
      </c>
      <c r="AC24" s="17">
        <v>44135</v>
      </c>
      <c r="AD24" s="17">
        <v>13243</v>
      </c>
      <c r="AE24" s="17">
        <v>5521</v>
      </c>
      <c r="AF24" s="17">
        <v>0</v>
      </c>
      <c r="AG24" s="17">
        <v>12903</v>
      </c>
      <c r="AH24" s="17">
        <v>0</v>
      </c>
      <c r="AI24" s="17">
        <v>0</v>
      </c>
      <c r="AJ24" s="54">
        <f t="shared" si="4"/>
        <v>326333</v>
      </c>
      <c r="AK24" s="54">
        <f t="shared" si="5"/>
        <v>509285</v>
      </c>
      <c r="AL24" s="54">
        <f t="shared" si="6"/>
        <v>66055</v>
      </c>
      <c r="AM24" s="54">
        <f t="shared" si="7"/>
        <v>49656</v>
      </c>
      <c r="AN24" s="19">
        <v>46044</v>
      </c>
      <c r="AO24" s="487">
        <f t="shared" si="8"/>
        <v>5.9823074400597642E-2</v>
      </c>
      <c r="AP24" s="487">
        <f t="shared" si="9"/>
        <v>0.46494247318480597</v>
      </c>
      <c r="AQ24" s="486">
        <f t="shared" si="10"/>
        <v>0.46649345592819635</v>
      </c>
      <c r="AR24" s="486">
        <f t="shared" si="11"/>
        <v>0.45734324189322817</v>
      </c>
      <c r="AS24" s="472">
        <f t="shared" si="12"/>
        <v>0.46860537350086084</v>
      </c>
      <c r="AT24" s="472">
        <f t="shared" si="13"/>
        <v>0.31965823915492164</v>
      </c>
      <c r="AU24" s="472">
        <f t="shared" si="14"/>
        <v>0.46026089515153501</v>
      </c>
      <c r="AV24" s="472">
        <f t="shared" si="15"/>
        <v>-0.33282674772036469</v>
      </c>
      <c r="AW24" s="472">
        <f t="shared" si="16"/>
        <v>0.48501709730287512</v>
      </c>
      <c r="AX24" s="472">
        <f t="shared" si="17"/>
        <v>0.52479831714087433</v>
      </c>
      <c r="AY24" s="472">
        <f t="shared" si="18"/>
        <v>0.76025452568413843</v>
      </c>
      <c r="AZ24" s="472">
        <f t="shared" si="19"/>
        <v>0.56062978613869885</v>
      </c>
      <c r="BA24" s="472">
        <f t="shared" si="20"/>
        <v>-0.16429978035295012</v>
      </c>
      <c r="BB24" s="472">
        <f t="shared" si="21"/>
        <v>-0.58310050592765994</v>
      </c>
      <c r="BC24" s="472">
        <f t="shared" si="22"/>
        <v>-0.24826281129361893</v>
      </c>
      <c r="BD24" s="472" t="e">
        <f t="shared" si="23"/>
        <v>#DIV/0!</v>
      </c>
      <c r="BE24" s="472" t="e">
        <f t="shared" si="24"/>
        <v>#DIV/0!</v>
      </c>
    </row>
    <row r="25" spans="1:57" hidden="1" x14ac:dyDescent="0.35">
      <c r="A25" s="16">
        <v>45681</v>
      </c>
      <c r="B25" s="17">
        <v>31893984</v>
      </c>
      <c r="C25" s="17">
        <v>31338795</v>
      </c>
      <c r="D25" s="17">
        <v>1982979.2068965517</v>
      </c>
      <c r="E25" s="17">
        <v>2866754</v>
      </c>
      <c r="F25" s="484">
        <f t="shared" si="0"/>
        <v>1607505.2068965517</v>
      </c>
      <c r="G25" s="484">
        <f t="shared" si="1"/>
        <v>2349242</v>
      </c>
      <c r="H25" s="484">
        <f t="shared" si="2"/>
        <v>375474</v>
      </c>
      <c r="I25" s="484">
        <f t="shared" si="3"/>
        <v>517512</v>
      </c>
      <c r="J25" s="19">
        <v>46045</v>
      </c>
      <c r="K25" s="17">
        <v>2956642.8508414202</v>
      </c>
      <c r="L25" s="17">
        <v>2451396.6176754502</v>
      </c>
      <c r="M25" s="17">
        <v>505246.23316597001</v>
      </c>
      <c r="N25" s="17">
        <v>1462778</v>
      </c>
      <c r="O25" s="17">
        <v>2207677</v>
      </c>
      <c r="P25" s="17">
        <v>19311.206896551699</v>
      </c>
      <c r="Q25" s="17">
        <v>27000</v>
      </c>
      <c r="R25" s="17">
        <v>70610</v>
      </c>
      <c r="S25" s="17">
        <v>50125</v>
      </c>
      <c r="T25" s="17">
        <v>2246</v>
      </c>
      <c r="U25" s="17">
        <v>1962</v>
      </c>
      <c r="V25" s="17">
        <v>52560</v>
      </c>
      <c r="W25" s="17">
        <v>62478</v>
      </c>
      <c r="X25" s="17">
        <v>296224</v>
      </c>
      <c r="Y25" s="17">
        <v>395456</v>
      </c>
      <c r="Z25" s="17">
        <v>49215</v>
      </c>
      <c r="AA25" s="17">
        <v>87113</v>
      </c>
      <c r="AB25" s="17">
        <v>15576</v>
      </c>
      <c r="AC25" s="17">
        <v>29785</v>
      </c>
      <c r="AD25" s="17">
        <v>14459</v>
      </c>
      <c r="AE25" s="17">
        <v>3177</v>
      </c>
      <c r="AF25" s="17">
        <v>0</v>
      </c>
      <c r="AG25" s="17">
        <v>1034</v>
      </c>
      <c r="AH25" s="17">
        <v>0</v>
      </c>
      <c r="AI25" s="17">
        <v>947</v>
      </c>
      <c r="AJ25" s="54">
        <f t="shared" si="4"/>
        <v>345439</v>
      </c>
      <c r="AK25" s="54">
        <f t="shared" si="5"/>
        <v>482569</v>
      </c>
      <c r="AL25" s="54">
        <f t="shared" si="6"/>
        <v>30035</v>
      </c>
      <c r="AM25" s="54">
        <f t="shared" si="7"/>
        <v>32962</v>
      </c>
      <c r="AN25" s="19">
        <v>46045</v>
      </c>
      <c r="AO25" s="487">
        <f t="shared" si="8"/>
        <v>-1.7407326723434702E-2</v>
      </c>
      <c r="AP25" s="487">
        <f t="shared" si="9"/>
        <v>0.4456803127485105</v>
      </c>
      <c r="AQ25" s="486">
        <f t="shared" si="10"/>
        <v>0.46142108275682969</v>
      </c>
      <c r="AR25" s="486">
        <f t="shared" si="11"/>
        <v>0.37828984164016677</v>
      </c>
      <c r="AS25" s="472">
        <f t="shared" si="12"/>
        <v>0.50923585123648296</v>
      </c>
      <c r="AT25" s="472">
        <f t="shared" si="13"/>
        <v>0.39815186822017057</v>
      </c>
      <c r="AU25" s="472">
        <f t="shared" si="14"/>
        <v>-0.29011471462965588</v>
      </c>
      <c r="AV25" s="472">
        <f t="shared" si="15"/>
        <v>-0.12644701691896709</v>
      </c>
      <c r="AW25" s="472">
        <f t="shared" si="16"/>
        <v>0.1886986301369864</v>
      </c>
      <c r="AX25" s="472">
        <f t="shared" si="17"/>
        <v>0.33498973749594896</v>
      </c>
      <c r="AY25" s="472">
        <f t="shared" si="18"/>
        <v>0.77004978157065929</v>
      </c>
      <c r="AZ25" s="472">
        <f t="shared" si="19"/>
        <v>0.39697312694860742</v>
      </c>
      <c r="BA25" s="472">
        <f t="shared" si="20"/>
        <v>0.91223677452491003</v>
      </c>
      <c r="BB25" s="472">
        <f t="shared" si="21"/>
        <v>-0.78027526108306244</v>
      </c>
      <c r="BC25" s="472">
        <f t="shared" si="22"/>
        <v>9.7452971533211308E-2</v>
      </c>
      <c r="BD25" s="472" t="e">
        <f t="shared" si="23"/>
        <v>#DIV/0!</v>
      </c>
      <c r="BE25" s="472" t="e">
        <f t="shared" si="24"/>
        <v>#DIV/0!</v>
      </c>
    </row>
    <row r="26" spans="1:57" hidden="1" x14ac:dyDescent="0.35">
      <c r="A26" s="19">
        <v>45682</v>
      </c>
      <c r="B26" s="17">
        <v>39679161</v>
      </c>
      <c r="C26" s="17">
        <v>40446079</v>
      </c>
      <c r="D26" s="17">
        <v>1581235.4827586208</v>
      </c>
      <c r="E26" s="17">
        <v>2589002</v>
      </c>
      <c r="F26" s="484">
        <f t="shared" si="0"/>
        <v>1193415.4827586208</v>
      </c>
      <c r="G26" s="484">
        <f t="shared" si="1"/>
        <v>2076103</v>
      </c>
      <c r="H26" s="484">
        <f t="shared" si="2"/>
        <v>387820</v>
      </c>
      <c r="I26" s="484">
        <f t="shared" si="3"/>
        <v>512899</v>
      </c>
      <c r="J26" s="19">
        <v>46046</v>
      </c>
      <c r="K26" s="17">
        <v>2533154.491659618</v>
      </c>
      <c r="L26" s="17">
        <v>2049687.0457852299</v>
      </c>
      <c r="M26" s="17">
        <v>483467.44587438798</v>
      </c>
      <c r="N26" s="17">
        <v>1103959</v>
      </c>
      <c r="O26" s="17">
        <v>1954073</v>
      </c>
      <c r="P26" s="17">
        <v>21284.482758620699</v>
      </c>
      <c r="Q26" s="17">
        <v>30833</v>
      </c>
      <c r="R26" s="17">
        <v>11116</v>
      </c>
      <c r="S26" s="17">
        <v>29064</v>
      </c>
      <c r="T26" s="17">
        <v>430</v>
      </c>
      <c r="U26" s="17">
        <v>1720</v>
      </c>
      <c r="V26" s="17">
        <v>56626</v>
      </c>
      <c r="W26" s="17">
        <v>60413</v>
      </c>
      <c r="X26" s="17">
        <v>295266</v>
      </c>
      <c r="Y26" s="17">
        <v>400858</v>
      </c>
      <c r="Z26" s="17">
        <v>41484</v>
      </c>
      <c r="AA26" s="17">
        <v>71989</v>
      </c>
      <c r="AB26" s="17">
        <v>39494</v>
      </c>
      <c r="AC26" s="17">
        <v>36844</v>
      </c>
      <c r="AD26" s="17">
        <v>11576</v>
      </c>
      <c r="AE26" s="17">
        <v>3208</v>
      </c>
      <c r="AF26" s="17">
        <v>0</v>
      </c>
      <c r="AG26" s="17">
        <v>0</v>
      </c>
      <c r="AH26" s="17">
        <v>0</v>
      </c>
      <c r="AI26" s="17">
        <v>0</v>
      </c>
      <c r="AJ26" s="54">
        <f t="shared" si="4"/>
        <v>336750</v>
      </c>
      <c r="AK26" s="54">
        <f t="shared" si="5"/>
        <v>472847</v>
      </c>
      <c r="AL26" s="54">
        <f t="shared" si="6"/>
        <v>51070</v>
      </c>
      <c r="AM26" s="54">
        <f t="shared" si="7"/>
        <v>40052</v>
      </c>
      <c r="AN26" s="19">
        <v>46046</v>
      </c>
      <c r="AO26" s="487">
        <f t="shared" si="8"/>
        <v>1.9327979238270787E-2</v>
      </c>
      <c r="AP26" s="487">
        <f t="shared" si="9"/>
        <v>0.63732854987748655</v>
      </c>
      <c r="AQ26" s="486">
        <f t="shared" si="10"/>
        <v>0.73963136057277956</v>
      </c>
      <c r="AR26" s="486">
        <f t="shared" si="11"/>
        <v>0.32251817853643439</v>
      </c>
      <c r="AS26" s="472">
        <f t="shared" si="12"/>
        <v>0.7700593953217465</v>
      </c>
      <c r="AT26" s="472">
        <f t="shared" si="13"/>
        <v>0.44861401377075683</v>
      </c>
      <c r="AU26" s="472">
        <f t="shared" si="14"/>
        <v>1.6146095717884132</v>
      </c>
      <c r="AV26" s="472">
        <f t="shared" si="15"/>
        <v>3</v>
      </c>
      <c r="AW26" s="472">
        <f t="shared" si="16"/>
        <v>6.6877406138522888E-2</v>
      </c>
      <c r="AX26" s="472">
        <f t="shared" si="17"/>
        <v>0.35761652205130279</v>
      </c>
      <c r="AY26" s="472">
        <f t="shared" si="18"/>
        <v>0.73534374698679006</v>
      </c>
      <c r="AZ26" s="472">
        <f t="shared" si="19"/>
        <v>0.4041484780994804</v>
      </c>
      <c r="BA26" s="472">
        <f t="shared" si="20"/>
        <v>-6.7098799817693844E-2</v>
      </c>
      <c r="BB26" s="472">
        <f t="shared" si="21"/>
        <v>-0.72287491361437461</v>
      </c>
      <c r="BC26" s="472">
        <f t="shared" si="22"/>
        <v>-0.21574309770902678</v>
      </c>
      <c r="BD26" s="472" t="e">
        <f t="shared" si="23"/>
        <v>#DIV/0!</v>
      </c>
      <c r="BE26" s="472" t="e">
        <f t="shared" si="24"/>
        <v>#DIV/0!</v>
      </c>
    </row>
    <row r="27" spans="1:57" hidden="1" x14ac:dyDescent="0.35">
      <c r="A27" s="16">
        <v>45683</v>
      </c>
      <c r="B27" s="17">
        <v>37710035</v>
      </c>
      <c r="C27" s="17">
        <v>40762958</v>
      </c>
      <c r="D27" s="17">
        <v>1989044.2068965517</v>
      </c>
      <c r="E27" s="17">
        <v>2769605</v>
      </c>
      <c r="F27" s="484">
        <f t="shared" si="0"/>
        <v>1728777.2068965517</v>
      </c>
      <c r="G27" s="484">
        <f t="shared" si="1"/>
        <v>2312841</v>
      </c>
      <c r="H27" s="484">
        <f t="shared" si="2"/>
        <v>260267</v>
      </c>
      <c r="I27" s="484">
        <f t="shared" si="3"/>
        <v>456764</v>
      </c>
      <c r="J27" s="19">
        <v>46047</v>
      </c>
      <c r="K27" s="17">
        <v>2021056.664635597</v>
      </c>
      <c r="L27" s="17">
        <v>1521692.2749335</v>
      </c>
      <c r="M27" s="17">
        <v>499364.38970209699</v>
      </c>
      <c r="N27" s="17">
        <v>1640079</v>
      </c>
      <c r="O27" s="17">
        <v>2194390</v>
      </c>
      <c r="P27" s="17">
        <v>18636.206896551699</v>
      </c>
      <c r="Q27" s="17">
        <v>31112</v>
      </c>
      <c r="R27" s="17">
        <v>20959</v>
      </c>
      <c r="S27" s="17">
        <v>5527</v>
      </c>
      <c r="T27" s="17">
        <v>6107</v>
      </c>
      <c r="U27" s="17">
        <v>1670</v>
      </c>
      <c r="V27" s="17">
        <v>42996</v>
      </c>
      <c r="W27" s="17">
        <v>80142</v>
      </c>
      <c r="X27" s="17">
        <v>181222</v>
      </c>
      <c r="Y27" s="17">
        <v>329347</v>
      </c>
      <c r="Z27" s="17">
        <v>38455</v>
      </c>
      <c r="AA27" s="17">
        <v>91250</v>
      </c>
      <c r="AB27" s="17">
        <v>33258</v>
      </c>
      <c r="AC27" s="17">
        <v>31562</v>
      </c>
      <c r="AD27" s="17">
        <v>7332</v>
      </c>
      <c r="AE27" s="17">
        <v>3487</v>
      </c>
      <c r="AF27" s="17">
        <v>0</v>
      </c>
      <c r="AG27" s="17">
        <v>1118</v>
      </c>
      <c r="AH27" s="17">
        <v>0</v>
      </c>
      <c r="AI27" s="17">
        <v>0</v>
      </c>
      <c r="AJ27" s="54">
        <f t="shared" si="4"/>
        <v>219677</v>
      </c>
      <c r="AK27" s="54">
        <f t="shared" si="5"/>
        <v>420597</v>
      </c>
      <c r="AL27" s="54">
        <f t="shared" si="6"/>
        <v>40590</v>
      </c>
      <c r="AM27" s="54">
        <f t="shared" si="7"/>
        <v>35049</v>
      </c>
      <c r="AN27" s="19">
        <v>46047</v>
      </c>
      <c r="AO27" s="487">
        <f t="shared" si="8"/>
        <v>8.0957840532367653E-2</v>
      </c>
      <c r="AP27" s="487">
        <f t="shared" si="9"/>
        <v>0.39243008797744872</v>
      </c>
      <c r="AQ27" s="486">
        <f t="shared" si="10"/>
        <v>0.33784792555886467</v>
      </c>
      <c r="AR27" s="486">
        <f t="shared" si="11"/>
        <v>0.75498238347543101</v>
      </c>
      <c r="AS27" s="472">
        <f t="shared" si="12"/>
        <v>0.33797823153640771</v>
      </c>
      <c r="AT27" s="472">
        <f t="shared" si="13"/>
        <v>0.66943843093718414</v>
      </c>
      <c r="AU27" s="472">
        <f t="shared" si="14"/>
        <v>-0.73629467054725894</v>
      </c>
      <c r="AV27" s="472">
        <f t="shared" si="15"/>
        <v>-0.7265433109546422</v>
      </c>
      <c r="AW27" s="472">
        <f t="shared" si="16"/>
        <v>0.8639408317052748</v>
      </c>
      <c r="AX27" s="472">
        <f t="shared" si="17"/>
        <v>0.81736764851949539</v>
      </c>
      <c r="AY27" s="472">
        <f t="shared" si="18"/>
        <v>1.3729033935769079</v>
      </c>
      <c r="AZ27" s="472">
        <f t="shared" si="19"/>
        <v>0.9146155491926784</v>
      </c>
      <c r="BA27" s="472">
        <f t="shared" si="20"/>
        <v>-5.0995249263335096E-2</v>
      </c>
      <c r="BB27" s="472">
        <f t="shared" si="21"/>
        <v>-0.52441352973267863</v>
      </c>
      <c r="BC27" s="472">
        <f t="shared" si="22"/>
        <v>-0.13651145602365111</v>
      </c>
      <c r="BD27" s="472" t="e">
        <f t="shared" si="23"/>
        <v>#DIV/0!</v>
      </c>
      <c r="BE27" s="472" t="e">
        <f t="shared" si="24"/>
        <v>#DIV/0!</v>
      </c>
    </row>
    <row r="28" spans="1:57" hidden="1" x14ac:dyDescent="0.35">
      <c r="A28" s="19">
        <v>45684</v>
      </c>
      <c r="B28" s="17">
        <v>22777244</v>
      </c>
      <c r="C28" s="17">
        <v>22718693</v>
      </c>
      <c r="D28" s="17">
        <v>3133160.5517241377</v>
      </c>
      <c r="E28" s="17">
        <v>3849866</v>
      </c>
      <c r="F28" s="484">
        <f t="shared" si="0"/>
        <v>2401221.5517241377</v>
      </c>
      <c r="G28" s="484">
        <f t="shared" si="1"/>
        <v>3190291</v>
      </c>
      <c r="H28" s="484">
        <f t="shared" si="2"/>
        <v>731939</v>
      </c>
      <c r="I28" s="484">
        <f t="shared" si="3"/>
        <v>659575</v>
      </c>
      <c r="J28" s="19">
        <v>46048</v>
      </c>
      <c r="K28" s="17">
        <v>2539442.467794071</v>
      </c>
      <c r="L28" s="17">
        <v>2204317.74082126</v>
      </c>
      <c r="M28" s="17">
        <v>335124.72697281098</v>
      </c>
      <c r="N28" s="17">
        <v>2287434</v>
      </c>
      <c r="O28" s="17">
        <v>3117837</v>
      </c>
      <c r="P28" s="17">
        <v>20571.551724137898</v>
      </c>
      <c r="Q28" s="17">
        <v>23290</v>
      </c>
      <c r="R28" s="17">
        <v>48184</v>
      </c>
      <c r="S28" s="17">
        <v>4291</v>
      </c>
      <c r="T28" s="17">
        <v>6325</v>
      </c>
      <c r="U28" s="17">
        <v>1531</v>
      </c>
      <c r="V28" s="17">
        <v>38707</v>
      </c>
      <c r="W28" s="17">
        <v>43342</v>
      </c>
      <c r="X28" s="17">
        <v>428538</v>
      </c>
      <c r="Y28" s="17">
        <v>517922</v>
      </c>
      <c r="Z28" s="17">
        <v>34661</v>
      </c>
      <c r="AA28" s="17">
        <v>78533</v>
      </c>
      <c r="AB28" s="17">
        <v>41258</v>
      </c>
      <c r="AC28" s="17">
        <v>42966</v>
      </c>
      <c r="AD28" s="17">
        <v>227482</v>
      </c>
      <c r="AE28" s="17">
        <v>8314</v>
      </c>
      <c r="AF28" s="17">
        <v>0</v>
      </c>
      <c r="AG28" s="17">
        <v>10462</v>
      </c>
      <c r="AH28" s="17">
        <v>0</v>
      </c>
      <c r="AI28" s="17">
        <v>1378</v>
      </c>
      <c r="AJ28" s="54">
        <f t="shared" si="4"/>
        <v>463199</v>
      </c>
      <c r="AK28" s="54">
        <f t="shared" si="5"/>
        <v>596455</v>
      </c>
      <c r="AL28" s="54">
        <f t="shared" si="6"/>
        <v>268740</v>
      </c>
      <c r="AM28" s="54">
        <f t="shared" si="7"/>
        <v>51280</v>
      </c>
      <c r="AN28" s="19">
        <v>46048</v>
      </c>
      <c r="AO28" s="487">
        <f t="shared" si="8"/>
        <v>-2.5705919469449778E-3</v>
      </c>
      <c r="AP28" s="487">
        <f t="shared" si="9"/>
        <v>0.22874839525266855</v>
      </c>
      <c r="AQ28" s="486">
        <f t="shared" si="10"/>
        <v>0.32861168004647068</v>
      </c>
      <c r="AR28" s="486">
        <f t="shared" si="11"/>
        <v>-9.8866162344129815E-2</v>
      </c>
      <c r="AS28" s="472">
        <f t="shared" si="12"/>
        <v>0.36302817917369423</v>
      </c>
      <c r="AT28" s="472">
        <f t="shared" si="13"/>
        <v>0.1321460000838135</v>
      </c>
      <c r="AU28" s="472">
        <f t="shared" si="14"/>
        <v>-0.91094554208866008</v>
      </c>
      <c r="AV28" s="472">
        <f t="shared" si="15"/>
        <v>-0.75794466403162053</v>
      </c>
      <c r="AW28" s="472">
        <f t="shared" si="16"/>
        <v>0.11974578241661704</v>
      </c>
      <c r="AX28" s="472">
        <f t="shared" si="17"/>
        <v>0.20857893582366094</v>
      </c>
      <c r="AY28" s="472">
        <f t="shared" si="18"/>
        <v>1.2657453622226709</v>
      </c>
      <c r="AZ28" s="472">
        <f t="shared" si="19"/>
        <v>0.28768628602393354</v>
      </c>
      <c r="BA28" s="472">
        <f t="shared" si="20"/>
        <v>4.1398031896844323E-2</v>
      </c>
      <c r="BB28" s="472">
        <f t="shared" si="21"/>
        <v>-0.96345205334927597</v>
      </c>
      <c r="BC28" s="472">
        <f t="shared" si="22"/>
        <v>-0.80918359752921043</v>
      </c>
      <c r="BD28" s="472" t="e">
        <f t="shared" si="23"/>
        <v>#DIV/0!</v>
      </c>
      <c r="BE28" s="472" t="e">
        <f t="shared" si="24"/>
        <v>#DIV/0!</v>
      </c>
    </row>
    <row r="29" spans="1:57" hidden="1" x14ac:dyDescent="0.35">
      <c r="A29" s="16">
        <v>45685</v>
      </c>
      <c r="B29" s="17">
        <v>24302957</v>
      </c>
      <c r="C29" s="17">
        <v>24708209</v>
      </c>
      <c r="D29" s="17">
        <v>3137849.8620689656</v>
      </c>
      <c r="E29" s="17">
        <v>4107714</v>
      </c>
      <c r="F29" s="484">
        <f t="shared" si="0"/>
        <v>2799118.8620689656</v>
      </c>
      <c r="G29" s="484">
        <f t="shared" si="1"/>
        <v>3569519</v>
      </c>
      <c r="H29" s="484">
        <f t="shared" si="2"/>
        <v>338731</v>
      </c>
      <c r="I29" s="484">
        <f t="shared" si="3"/>
        <v>538195</v>
      </c>
      <c r="J29" s="19">
        <v>46049</v>
      </c>
      <c r="K29" s="17">
        <v>4004192.1455097869</v>
      </c>
      <c r="L29" s="17">
        <v>3061733.6027988298</v>
      </c>
      <c r="M29" s="17">
        <v>942458.542710957</v>
      </c>
      <c r="N29" s="17">
        <v>2625912</v>
      </c>
      <c r="O29" s="17">
        <v>3426615</v>
      </c>
      <c r="P29" s="17">
        <v>24700.8620689655</v>
      </c>
      <c r="Q29" s="17">
        <v>27817</v>
      </c>
      <c r="R29" s="17">
        <v>92321</v>
      </c>
      <c r="S29" s="17">
        <v>57382</v>
      </c>
      <c r="T29" s="17">
        <v>6877</v>
      </c>
      <c r="U29" s="17">
        <v>5403</v>
      </c>
      <c r="V29" s="17">
        <v>49308</v>
      </c>
      <c r="W29" s="17">
        <v>52302</v>
      </c>
      <c r="X29" s="17">
        <v>276028</v>
      </c>
      <c r="Y29" s="17">
        <v>411232</v>
      </c>
      <c r="Z29" s="17">
        <v>43571</v>
      </c>
      <c r="AA29" s="17">
        <v>82440</v>
      </c>
      <c r="AB29" s="17">
        <v>14912</v>
      </c>
      <c r="AC29" s="17">
        <v>37763</v>
      </c>
      <c r="AD29" s="17">
        <v>4220</v>
      </c>
      <c r="AE29" s="17">
        <v>5270</v>
      </c>
      <c r="AF29" s="17">
        <v>0</v>
      </c>
      <c r="AG29" s="17">
        <v>1490</v>
      </c>
      <c r="AH29" s="17">
        <v>0</v>
      </c>
      <c r="AI29" s="17">
        <v>0</v>
      </c>
      <c r="AJ29" s="54">
        <f t="shared" si="4"/>
        <v>319599</v>
      </c>
      <c r="AK29" s="54">
        <f t="shared" si="5"/>
        <v>493672</v>
      </c>
      <c r="AL29" s="54">
        <f t="shared" si="6"/>
        <v>19132</v>
      </c>
      <c r="AM29" s="54">
        <f t="shared" si="7"/>
        <v>43033</v>
      </c>
      <c r="AN29" s="19">
        <v>46049</v>
      </c>
      <c r="AO29" s="487">
        <f t="shared" si="8"/>
        <v>1.667500790130183E-2</v>
      </c>
      <c r="AP29" s="487">
        <f t="shared" si="9"/>
        <v>0.30908557788406954</v>
      </c>
      <c r="AQ29" s="486">
        <f t="shared" si="10"/>
        <v>0.27522951896426218</v>
      </c>
      <c r="AR29" s="486">
        <f t="shared" si="11"/>
        <v>0.58885664435791241</v>
      </c>
      <c r="AS29" s="472">
        <f t="shared" si="12"/>
        <v>0.30492377505415269</v>
      </c>
      <c r="AT29" s="472">
        <f t="shared" si="13"/>
        <v>0.12615502739678308</v>
      </c>
      <c r="AU29" s="472">
        <f t="shared" si="14"/>
        <v>-0.37845127327476957</v>
      </c>
      <c r="AV29" s="472">
        <f t="shared" si="15"/>
        <v>-0.21433764722989679</v>
      </c>
      <c r="AW29" s="472">
        <f t="shared" si="16"/>
        <v>6.0720369919688544E-2</v>
      </c>
      <c r="AX29" s="472">
        <f t="shared" si="17"/>
        <v>0.48981987334618227</v>
      </c>
      <c r="AY29" s="472">
        <f t="shared" si="18"/>
        <v>0.89208418443460102</v>
      </c>
      <c r="AZ29" s="472">
        <f t="shared" si="19"/>
        <v>0.54466065288064103</v>
      </c>
      <c r="BA29" s="472">
        <f t="shared" si="20"/>
        <v>1.5323900214592276</v>
      </c>
      <c r="BB29" s="472">
        <f t="shared" si="21"/>
        <v>0.24881516587677721</v>
      </c>
      <c r="BC29" s="472">
        <f t="shared" si="22"/>
        <v>1.2492682416893164</v>
      </c>
      <c r="BD29" s="472" t="e">
        <f t="shared" si="23"/>
        <v>#DIV/0!</v>
      </c>
      <c r="BE29" s="472" t="e">
        <f t="shared" si="24"/>
        <v>#DIV/0!</v>
      </c>
    </row>
    <row r="30" spans="1:57" hidden="1" x14ac:dyDescent="0.35">
      <c r="A30" s="19">
        <v>45686</v>
      </c>
      <c r="B30" s="17">
        <v>26923427</v>
      </c>
      <c r="C30" s="17">
        <v>25710859</v>
      </c>
      <c r="D30" s="17">
        <v>2877999.6206896552</v>
      </c>
      <c r="E30" s="17">
        <v>3426862</v>
      </c>
      <c r="F30" s="484">
        <f t="shared" si="0"/>
        <v>2582815.6206896552</v>
      </c>
      <c r="G30" s="484">
        <f t="shared" si="1"/>
        <v>2909281</v>
      </c>
      <c r="H30" s="484">
        <f t="shared" si="2"/>
        <v>295184</v>
      </c>
      <c r="I30" s="484">
        <f t="shared" si="3"/>
        <v>517581</v>
      </c>
      <c r="J30" s="19">
        <v>46050</v>
      </c>
      <c r="K30" s="17">
        <v>4005238.3203741871</v>
      </c>
      <c r="L30" s="17">
        <v>3569081.8583861999</v>
      </c>
      <c r="M30" s="17">
        <v>436156.46198798699</v>
      </c>
      <c r="N30" s="17">
        <v>2418581</v>
      </c>
      <c r="O30" s="17">
        <v>2794957</v>
      </c>
      <c r="P30" s="17">
        <v>20333.620689655199</v>
      </c>
      <c r="Q30" s="17">
        <v>1396</v>
      </c>
      <c r="R30" s="17">
        <v>55131</v>
      </c>
      <c r="S30" s="17">
        <v>24203</v>
      </c>
      <c r="T30" s="17">
        <v>6277</v>
      </c>
      <c r="U30" s="17">
        <v>1791</v>
      </c>
      <c r="V30" s="17">
        <v>82493</v>
      </c>
      <c r="W30" s="17">
        <v>86934</v>
      </c>
      <c r="X30" s="17">
        <v>224454</v>
      </c>
      <c r="Y30" s="17">
        <v>411456</v>
      </c>
      <c r="Z30" s="17">
        <v>43095</v>
      </c>
      <c r="AA30" s="17">
        <v>58025</v>
      </c>
      <c r="AB30" s="17">
        <v>21531</v>
      </c>
      <c r="AC30" s="17">
        <v>39072</v>
      </c>
      <c r="AD30" s="17">
        <v>6104</v>
      </c>
      <c r="AE30" s="17">
        <v>4163</v>
      </c>
      <c r="AF30" s="17">
        <v>0</v>
      </c>
      <c r="AG30" s="17">
        <v>4865</v>
      </c>
      <c r="AH30" s="17">
        <v>0</v>
      </c>
      <c r="AI30" s="17">
        <v>0</v>
      </c>
      <c r="AJ30" s="54">
        <f t="shared" si="4"/>
        <v>267549</v>
      </c>
      <c r="AK30" s="54">
        <f t="shared" si="5"/>
        <v>469481</v>
      </c>
      <c r="AL30" s="54">
        <f t="shared" si="6"/>
        <v>27635</v>
      </c>
      <c r="AM30" s="54">
        <f t="shared" si="7"/>
        <v>43235</v>
      </c>
      <c r="AN30" s="19">
        <v>46050</v>
      </c>
      <c r="AO30" s="487">
        <f t="shared" si="8"/>
        <v>-4.5037654381814063E-2</v>
      </c>
      <c r="AP30" s="487">
        <f t="shared" si="9"/>
        <v>0.19070967743172274</v>
      </c>
      <c r="AQ30" s="486">
        <f t="shared" si="10"/>
        <v>0.12639902620039645</v>
      </c>
      <c r="AR30" s="486">
        <f t="shared" si="11"/>
        <v>0.75341820694888617</v>
      </c>
      <c r="AS30" s="472">
        <f t="shared" si="12"/>
        <v>0.15561852176958313</v>
      </c>
      <c r="AT30" s="472">
        <f t="shared" si="13"/>
        <v>-0.93134523254335022</v>
      </c>
      <c r="AU30" s="472">
        <f t="shared" si="14"/>
        <v>-0.56099109393988855</v>
      </c>
      <c r="AV30" s="472">
        <f t="shared" si="15"/>
        <v>-0.71467261430619722</v>
      </c>
      <c r="AW30" s="472">
        <f t="shared" si="16"/>
        <v>5.3834870837525584E-2</v>
      </c>
      <c r="AX30" s="472">
        <f t="shared" si="17"/>
        <v>0.8331417573311235</v>
      </c>
      <c r="AY30" s="472">
        <f t="shared" si="18"/>
        <v>0.34644390300498906</v>
      </c>
      <c r="AZ30" s="472">
        <f t="shared" si="19"/>
        <v>0.75474772845347959</v>
      </c>
      <c r="BA30" s="472">
        <f t="shared" si="20"/>
        <v>0.81468580186707529</v>
      </c>
      <c r="BB30" s="472">
        <f t="shared" si="21"/>
        <v>-0.31798820445609433</v>
      </c>
      <c r="BC30" s="472">
        <f t="shared" si="22"/>
        <v>0.56450153790483082</v>
      </c>
      <c r="BD30" s="472" t="e">
        <f t="shared" si="23"/>
        <v>#DIV/0!</v>
      </c>
      <c r="BE30" s="472" t="e">
        <f t="shared" si="24"/>
        <v>#DIV/0!</v>
      </c>
    </row>
    <row r="31" spans="1:57" hidden="1" x14ac:dyDescent="0.35">
      <c r="A31" s="16">
        <v>45687</v>
      </c>
      <c r="B31" s="17">
        <v>30741390</v>
      </c>
      <c r="C31" s="17">
        <v>28535339</v>
      </c>
      <c r="D31" s="17">
        <v>2556179.1034482759</v>
      </c>
      <c r="E31" s="17">
        <v>2975339</v>
      </c>
      <c r="F31" s="484">
        <f t="shared" si="0"/>
        <v>2278704.1034482759</v>
      </c>
      <c r="G31" s="484">
        <f t="shared" si="1"/>
        <v>2525757</v>
      </c>
      <c r="H31" s="484">
        <f t="shared" si="2"/>
        <v>277475</v>
      </c>
      <c r="I31" s="484">
        <f t="shared" si="3"/>
        <v>449582</v>
      </c>
      <c r="J31" s="19">
        <v>46051</v>
      </c>
      <c r="K31" s="17">
        <v>3673363.8788741999</v>
      </c>
      <c r="L31" s="17">
        <v>3293279.3602577699</v>
      </c>
      <c r="M31" s="17">
        <v>380084.51861643</v>
      </c>
      <c r="N31" s="17">
        <v>2124088</v>
      </c>
      <c r="O31" s="17">
        <v>2450518</v>
      </c>
      <c r="P31" s="17">
        <v>20593.103448275899</v>
      </c>
      <c r="Q31" s="17">
        <v>497</v>
      </c>
      <c r="R31" s="17">
        <v>61017</v>
      </c>
      <c r="S31" s="17">
        <v>6335</v>
      </c>
      <c r="T31" s="17">
        <v>4303</v>
      </c>
      <c r="U31" s="17">
        <v>6576</v>
      </c>
      <c r="V31" s="17">
        <v>68703</v>
      </c>
      <c r="W31" s="17">
        <v>61831</v>
      </c>
      <c r="X31" s="17">
        <v>188379</v>
      </c>
      <c r="Y31" s="17">
        <v>318201</v>
      </c>
      <c r="Z31" s="17">
        <v>64182</v>
      </c>
      <c r="AA31" s="17">
        <v>69719</v>
      </c>
      <c r="AB31" s="17">
        <v>18890</v>
      </c>
      <c r="AC31" s="17">
        <v>44859</v>
      </c>
      <c r="AD31" s="17">
        <v>6024</v>
      </c>
      <c r="AE31" s="17">
        <v>6441</v>
      </c>
      <c r="AF31" s="17">
        <v>0</v>
      </c>
      <c r="AG31" s="17">
        <v>10362</v>
      </c>
      <c r="AH31" s="17">
        <v>0</v>
      </c>
      <c r="AI31" s="17">
        <v>0</v>
      </c>
      <c r="AJ31" s="54">
        <f t="shared" si="4"/>
        <v>252561</v>
      </c>
      <c r="AK31" s="54">
        <f t="shared" si="5"/>
        <v>387920</v>
      </c>
      <c r="AL31" s="54">
        <f t="shared" si="6"/>
        <v>24914</v>
      </c>
      <c r="AM31" s="54">
        <f t="shared" si="7"/>
        <v>51300</v>
      </c>
      <c r="AN31" s="19">
        <v>46051</v>
      </c>
      <c r="AO31" s="487">
        <f t="shared" si="8"/>
        <v>-7.1761589179929697E-2</v>
      </c>
      <c r="AP31" s="487">
        <f t="shared" si="9"/>
        <v>0.16397907955130342</v>
      </c>
      <c r="AQ31" s="486">
        <f t="shared" si="10"/>
        <v>0.10841815581841807</v>
      </c>
      <c r="AR31" s="486">
        <f t="shared" si="11"/>
        <v>0.62026128480043252</v>
      </c>
      <c r="AS31" s="472">
        <f t="shared" si="12"/>
        <v>0.15368007351861124</v>
      </c>
      <c r="AT31" s="472">
        <f t="shared" si="13"/>
        <v>-0.97586570663094441</v>
      </c>
      <c r="AU31" s="472">
        <f t="shared" si="14"/>
        <v>-0.89617647540849266</v>
      </c>
      <c r="AV31" s="472">
        <f t="shared" si="15"/>
        <v>0.52823611433883344</v>
      </c>
      <c r="AW31" s="472">
        <f t="shared" si="16"/>
        <v>-0.10002474418875451</v>
      </c>
      <c r="AX31" s="472">
        <f t="shared" si="17"/>
        <v>0.68915324956603441</v>
      </c>
      <c r="AY31" s="472">
        <f t="shared" si="18"/>
        <v>8.6270293851858693E-2</v>
      </c>
      <c r="AZ31" s="472">
        <f t="shared" si="19"/>
        <v>0.53594577151658407</v>
      </c>
      <c r="BA31" s="472">
        <f t="shared" si="20"/>
        <v>1.3747485442032823</v>
      </c>
      <c r="BB31" s="472">
        <f t="shared" si="21"/>
        <v>6.9223107569721165E-2</v>
      </c>
      <c r="BC31" s="472">
        <f t="shared" si="22"/>
        <v>1.0590832463675044</v>
      </c>
      <c r="BD31" s="472" t="e">
        <f t="shared" si="23"/>
        <v>#DIV/0!</v>
      </c>
      <c r="BE31" s="472" t="e">
        <f t="shared" si="24"/>
        <v>#DIV/0!</v>
      </c>
    </row>
    <row r="32" spans="1:57" hidden="1" x14ac:dyDescent="0.35">
      <c r="A32" s="19">
        <v>45688</v>
      </c>
      <c r="B32" s="17">
        <v>36726305</v>
      </c>
      <c r="C32" s="17">
        <v>32375122</v>
      </c>
      <c r="D32" s="17">
        <v>2351622.2068965519</v>
      </c>
      <c r="E32" s="17">
        <v>2536578</v>
      </c>
      <c r="F32" s="484">
        <f t="shared" si="0"/>
        <v>2019360.2068965517</v>
      </c>
      <c r="G32" s="484">
        <f t="shared" si="1"/>
        <v>2105852</v>
      </c>
      <c r="H32" s="484">
        <f t="shared" si="2"/>
        <v>332262</v>
      </c>
      <c r="I32" s="484">
        <f t="shared" si="3"/>
        <v>430726</v>
      </c>
      <c r="J32" s="19">
        <v>46052</v>
      </c>
      <c r="K32" s="17">
        <v>3262796.9441023073</v>
      </c>
      <c r="L32" s="17">
        <v>2905514.8698601602</v>
      </c>
      <c r="M32" s="17">
        <v>357282.07424214698</v>
      </c>
      <c r="N32" s="17">
        <v>1896380</v>
      </c>
      <c r="O32" s="17">
        <v>1981506</v>
      </c>
      <c r="P32" s="17">
        <v>18311.206896551699</v>
      </c>
      <c r="Q32" s="17">
        <v>23867</v>
      </c>
      <c r="R32" s="17">
        <v>57647</v>
      </c>
      <c r="S32" s="17">
        <v>19840</v>
      </c>
      <c r="T32" s="17">
        <v>630</v>
      </c>
      <c r="U32" s="17">
        <v>1512</v>
      </c>
      <c r="V32" s="17">
        <v>46392</v>
      </c>
      <c r="W32" s="17">
        <v>79127</v>
      </c>
      <c r="X32" s="17">
        <v>251795</v>
      </c>
      <c r="Y32" s="17">
        <v>341849</v>
      </c>
      <c r="Z32" s="17">
        <v>49925</v>
      </c>
      <c r="AA32" s="17">
        <v>52697</v>
      </c>
      <c r="AB32" s="17">
        <v>25033</v>
      </c>
      <c r="AC32" s="17">
        <v>28869</v>
      </c>
      <c r="AD32" s="17">
        <v>5509</v>
      </c>
      <c r="AE32" s="17">
        <v>3232</v>
      </c>
      <c r="AF32" s="17">
        <v>0</v>
      </c>
      <c r="AG32" s="17">
        <v>4079</v>
      </c>
      <c r="AH32" s="17">
        <v>0</v>
      </c>
      <c r="AI32" s="17">
        <v>0</v>
      </c>
      <c r="AJ32" s="54">
        <f t="shared" si="4"/>
        <v>301720</v>
      </c>
      <c r="AK32" s="54">
        <f t="shared" si="5"/>
        <v>394546</v>
      </c>
      <c r="AL32" s="54">
        <f t="shared" si="6"/>
        <v>30542</v>
      </c>
      <c r="AM32" s="54">
        <f t="shared" si="7"/>
        <v>32101</v>
      </c>
      <c r="AN32" s="19">
        <v>46052</v>
      </c>
      <c r="AO32" s="487">
        <f t="shared" si="8"/>
        <v>-0.11847592617879743</v>
      </c>
      <c r="AP32" s="487">
        <f t="shared" si="9"/>
        <v>7.8650300444107257E-2</v>
      </c>
      <c r="AQ32" s="486">
        <f t="shared" si="10"/>
        <v>4.2831285279397058E-2</v>
      </c>
      <c r="AR32" s="486">
        <f t="shared" si="11"/>
        <v>0.29634445106572516</v>
      </c>
      <c r="AS32" s="472">
        <f t="shared" si="12"/>
        <v>4.4888682647992395E-2</v>
      </c>
      <c r="AT32" s="472">
        <f t="shared" si="13"/>
        <v>0.3034094439998134</v>
      </c>
      <c r="AU32" s="472">
        <f t="shared" si="14"/>
        <v>-0.65583638350651374</v>
      </c>
      <c r="AV32" s="472">
        <f t="shared" si="15"/>
        <v>1.4</v>
      </c>
      <c r="AW32" s="472">
        <f t="shared" si="16"/>
        <v>0.70561734781858942</v>
      </c>
      <c r="AX32" s="472">
        <f t="shared" si="17"/>
        <v>0.3576480867372267</v>
      </c>
      <c r="AY32" s="472">
        <f t="shared" si="18"/>
        <v>5.5523284927391003E-2</v>
      </c>
      <c r="AZ32" s="472">
        <f t="shared" si="19"/>
        <v>0.30765610499801133</v>
      </c>
      <c r="BA32" s="472">
        <f t="shared" si="20"/>
        <v>0.15323772620141418</v>
      </c>
      <c r="BB32" s="472">
        <f t="shared" si="21"/>
        <v>-0.41332365220548195</v>
      </c>
      <c r="BC32" s="472">
        <f t="shared" si="22"/>
        <v>5.1044463361927805E-2</v>
      </c>
      <c r="BD32" s="472" t="e">
        <f t="shared" si="23"/>
        <v>#DIV/0!</v>
      </c>
      <c r="BE32" s="472" t="e">
        <f t="shared" si="24"/>
        <v>#DIV/0!</v>
      </c>
    </row>
    <row r="33" spans="1:57" hidden="1" x14ac:dyDescent="0.35">
      <c r="A33" s="16">
        <v>45689</v>
      </c>
      <c r="B33" s="17">
        <v>37793760</v>
      </c>
      <c r="C33" s="17">
        <v>38921712</v>
      </c>
      <c r="D33" s="17">
        <v>1774200.1034482759</v>
      </c>
      <c r="E33" s="17">
        <v>2300585</v>
      </c>
      <c r="F33" s="484">
        <f t="shared" si="0"/>
        <v>1443865.1034482759</v>
      </c>
      <c r="G33" s="484">
        <f t="shared" si="1"/>
        <v>1829758</v>
      </c>
      <c r="H33" s="484">
        <f t="shared" si="2"/>
        <v>330335</v>
      </c>
      <c r="I33" s="484">
        <f t="shared" si="3"/>
        <v>470827</v>
      </c>
      <c r="J33" s="19">
        <v>46053</v>
      </c>
      <c r="K33" s="17">
        <v>3002659.2343073953</v>
      </c>
      <c r="L33" s="17">
        <v>2574832.3794489601</v>
      </c>
      <c r="M33" s="17">
        <v>427826.85485843499</v>
      </c>
      <c r="N33" s="17">
        <v>1345714</v>
      </c>
      <c r="O33" s="17">
        <v>1742488</v>
      </c>
      <c r="P33" s="17">
        <v>19268.103448275899</v>
      </c>
      <c r="Q33" s="17">
        <v>31058</v>
      </c>
      <c r="R33" s="17">
        <v>24746</v>
      </c>
      <c r="S33" s="17">
        <v>21274</v>
      </c>
      <c r="T33" s="17">
        <v>1652</v>
      </c>
      <c r="U33" s="17">
        <v>662</v>
      </c>
      <c r="V33" s="17">
        <v>52485</v>
      </c>
      <c r="W33" s="17">
        <v>34276</v>
      </c>
      <c r="X33" s="17">
        <v>259164</v>
      </c>
      <c r="Y33" s="17">
        <v>350135</v>
      </c>
      <c r="Z33" s="17">
        <v>40620</v>
      </c>
      <c r="AA33" s="17">
        <v>69841</v>
      </c>
      <c r="AB33" s="17">
        <v>24306</v>
      </c>
      <c r="AC33" s="17">
        <v>46260</v>
      </c>
      <c r="AD33" s="17">
        <v>6245</v>
      </c>
      <c r="AE33" s="17">
        <v>4173</v>
      </c>
      <c r="AF33" s="17">
        <v>0</v>
      </c>
      <c r="AG33" s="17">
        <v>418</v>
      </c>
      <c r="AH33" s="17">
        <v>0</v>
      </c>
      <c r="AI33" s="17">
        <v>0</v>
      </c>
      <c r="AJ33" s="54">
        <f t="shared" si="4"/>
        <v>299784</v>
      </c>
      <c r="AK33" s="54">
        <f t="shared" si="5"/>
        <v>419976</v>
      </c>
      <c r="AL33" s="54">
        <f t="shared" si="6"/>
        <v>30551</v>
      </c>
      <c r="AM33" s="54">
        <f t="shared" si="7"/>
        <v>50433</v>
      </c>
      <c r="AN33" s="19">
        <v>46053</v>
      </c>
      <c r="AO33" s="487">
        <f t="shared" si="8"/>
        <v>2.9844926781563919E-2</v>
      </c>
      <c r="AP33" s="487">
        <f t="shared" si="9"/>
        <v>0.29668857279889682</v>
      </c>
      <c r="AQ33" s="486">
        <f t="shared" si="10"/>
        <v>0.26726381545625322</v>
      </c>
      <c r="AR33" s="486">
        <f t="shared" si="11"/>
        <v>0.42530158778210003</v>
      </c>
      <c r="AS33" s="472">
        <f t="shared" si="12"/>
        <v>0.29484273775854297</v>
      </c>
      <c r="AT33" s="472">
        <f t="shared" si="13"/>
        <v>0.61188671647800685</v>
      </c>
      <c r="AU33" s="472">
        <f t="shared" si="14"/>
        <v>-0.14030550391982544</v>
      </c>
      <c r="AV33" s="472">
        <f t="shared" si="15"/>
        <v>-0.59927360774818395</v>
      </c>
      <c r="AW33" s="472">
        <f t="shared" si="16"/>
        <v>-0.34693722015814044</v>
      </c>
      <c r="AX33" s="472">
        <f t="shared" si="17"/>
        <v>0.35101711657483303</v>
      </c>
      <c r="AY33" s="472">
        <f t="shared" si="18"/>
        <v>0.71937469226981787</v>
      </c>
      <c r="AZ33" s="472">
        <f t="shared" si="19"/>
        <v>0.40092866864142174</v>
      </c>
      <c r="BA33" s="472">
        <f t="shared" si="20"/>
        <v>0.90323376943964462</v>
      </c>
      <c r="BB33" s="472">
        <f t="shared" si="21"/>
        <v>-0.3317854283426741</v>
      </c>
      <c r="BC33" s="472">
        <f t="shared" si="22"/>
        <v>0.65078066184412942</v>
      </c>
      <c r="BD33" s="472" t="e">
        <f t="shared" si="23"/>
        <v>#DIV/0!</v>
      </c>
      <c r="BE33" s="472" t="e">
        <f t="shared" si="24"/>
        <v>#DIV/0!</v>
      </c>
    </row>
    <row r="34" spans="1:57" hidden="1" x14ac:dyDescent="0.35">
      <c r="A34" s="19">
        <v>45690</v>
      </c>
      <c r="B34" s="17">
        <v>31352601</v>
      </c>
      <c r="C34" s="17">
        <v>37738958</v>
      </c>
      <c r="D34" s="17">
        <v>1727235.7931034483</v>
      </c>
      <c r="E34" s="17">
        <v>2702704</v>
      </c>
      <c r="F34" s="484">
        <f t="shared" si="0"/>
        <v>1438576.7931034483</v>
      </c>
      <c r="G34" s="484">
        <f t="shared" si="1"/>
        <v>2266700</v>
      </c>
      <c r="H34" s="484">
        <f t="shared" si="2"/>
        <v>288659</v>
      </c>
      <c r="I34" s="484">
        <f t="shared" si="3"/>
        <v>436004</v>
      </c>
      <c r="J34" s="19">
        <v>46054</v>
      </c>
      <c r="K34" s="17">
        <v>2165003.3801577878</v>
      </c>
      <c r="L34" s="17">
        <v>1726695.11515695</v>
      </c>
      <c r="M34" s="17">
        <v>438308.26500083797</v>
      </c>
      <c r="N34" s="17">
        <v>1308491</v>
      </c>
      <c r="O34" s="17">
        <v>2180837</v>
      </c>
      <c r="P34" s="17">
        <v>20338.793103448301</v>
      </c>
      <c r="Q34" s="17">
        <v>31669</v>
      </c>
      <c r="R34" s="17">
        <v>36076</v>
      </c>
      <c r="S34" s="17">
        <v>-2281</v>
      </c>
      <c r="T34" s="17">
        <v>6773</v>
      </c>
      <c r="U34" s="17">
        <v>715</v>
      </c>
      <c r="V34" s="17">
        <v>66898</v>
      </c>
      <c r="W34" s="17">
        <v>55760</v>
      </c>
      <c r="X34" s="17">
        <v>214500</v>
      </c>
      <c r="Y34" s="17">
        <v>327974</v>
      </c>
      <c r="Z34" s="17">
        <v>45990</v>
      </c>
      <c r="AA34" s="17">
        <v>76980</v>
      </c>
      <c r="AB34" s="17">
        <v>25758</v>
      </c>
      <c r="AC34" s="17">
        <v>25893</v>
      </c>
      <c r="AD34" s="17">
        <v>2411</v>
      </c>
      <c r="AE34" s="17">
        <v>4383</v>
      </c>
      <c r="AF34" s="17">
        <v>0</v>
      </c>
      <c r="AG34" s="17">
        <v>774</v>
      </c>
      <c r="AH34" s="17">
        <v>0</v>
      </c>
      <c r="AI34" s="17">
        <v>0</v>
      </c>
      <c r="AJ34" s="54">
        <f t="shared" si="4"/>
        <v>260490</v>
      </c>
      <c r="AK34" s="54">
        <f t="shared" si="5"/>
        <v>404954</v>
      </c>
      <c r="AL34" s="54">
        <f t="shared" si="6"/>
        <v>28169</v>
      </c>
      <c r="AM34" s="54">
        <f t="shared" si="7"/>
        <v>30276</v>
      </c>
      <c r="AN34" s="19">
        <v>46054</v>
      </c>
      <c r="AO34" s="487">
        <f t="shared" si="8"/>
        <v>0.2036946472160317</v>
      </c>
      <c r="AP34" s="487">
        <f t="shared" si="9"/>
        <v>0.5647568275225805</v>
      </c>
      <c r="AQ34" s="486">
        <f t="shared" si="10"/>
        <v>0.57565450163424203</v>
      </c>
      <c r="AR34" s="486">
        <f t="shared" si="11"/>
        <v>0.51044658229952988</v>
      </c>
      <c r="AS34" s="472">
        <f t="shared" si="12"/>
        <v>0.66668093246342552</v>
      </c>
      <c r="AT34" s="472">
        <f t="shared" si="13"/>
        <v>0.55707370830330838</v>
      </c>
      <c r="AU34" s="472">
        <f t="shared" si="14"/>
        <v>-1.0632276305577115</v>
      </c>
      <c r="AV34" s="472">
        <f t="shared" si="15"/>
        <v>-0.89443378119001915</v>
      </c>
      <c r="AW34" s="472">
        <f t="shared" si="16"/>
        <v>-0.16649227181679571</v>
      </c>
      <c r="AX34" s="472">
        <f t="shared" si="17"/>
        <v>0.52901631701631691</v>
      </c>
      <c r="AY34" s="472">
        <f t="shared" si="18"/>
        <v>0.67384213959556427</v>
      </c>
      <c r="AZ34" s="472">
        <f t="shared" si="19"/>
        <v>0.5545855886982225</v>
      </c>
      <c r="BA34" s="472">
        <f t="shared" si="20"/>
        <v>5.24109014675056E-3</v>
      </c>
      <c r="BB34" s="472">
        <f t="shared" si="21"/>
        <v>0.81791787639983404</v>
      </c>
      <c r="BC34" s="472">
        <f t="shared" si="22"/>
        <v>7.4798537399268783E-2</v>
      </c>
      <c r="BD34" s="472" t="e">
        <f t="shared" si="23"/>
        <v>#DIV/0!</v>
      </c>
      <c r="BE34" s="472" t="e">
        <f t="shared" si="24"/>
        <v>#DIV/0!</v>
      </c>
    </row>
    <row r="35" spans="1:57" hidden="1" x14ac:dyDescent="0.35">
      <c r="A35" s="16">
        <v>45691</v>
      </c>
      <c r="B35" s="17">
        <v>36434352</v>
      </c>
      <c r="C35" s="17">
        <v>33698919</v>
      </c>
      <c r="D35" s="17">
        <v>2412188.7931034481</v>
      </c>
      <c r="E35" s="17">
        <v>3315996</v>
      </c>
      <c r="F35" s="484">
        <f t="shared" si="0"/>
        <v>2127327.7931034481</v>
      </c>
      <c r="G35" s="484">
        <f t="shared" si="1"/>
        <v>2785239</v>
      </c>
      <c r="H35" s="484">
        <f t="shared" si="2"/>
        <v>284861</v>
      </c>
      <c r="I35" s="484">
        <f t="shared" si="3"/>
        <v>530757</v>
      </c>
      <c r="J35" s="19">
        <v>46055</v>
      </c>
      <c r="K35" s="17">
        <v>2103380.961465802</v>
      </c>
      <c r="L35" s="17">
        <v>1720370.9096490799</v>
      </c>
      <c r="M35" s="17">
        <v>383010.05181672203</v>
      </c>
      <c r="N35" s="17">
        <v>2010759</v>
      </c>
      <c r="O35" s="17">
        <v>2671764</v>
      </c>
      <c r="P35" s="17">
        <v>23738.793103448301</v>
      </c>
      <c r="Q35" s="17">
        <v>30355</v>
      </c>
      <c r="R35" s="17">
        <v>37153</v>
      </c>
      <c r="S35" s="17">
        <v>15499</v>
      </c>
      <c r="T35" s="17">
        <v>756</v>
      </c>
      <c r="U35" s="17">
        <v>3214</v>
      </c>
      <c r="V35" s="17">
        <v>54921</v>
      </c>
      <c r="W35" s="17">
        <v>64407</v>
      </c>
      <c r="X35" s="17">
        <v>213227</v>
      </c>
      <c r="Y35" s="17">
        <v>374619</v>
      </c>
      <c r="Z35" s="17">
        <v>32459</v>
      </c>
      <c r="AA35" s="17">
        <v>115869</v>
      </c>
      <c r="AB35" s="17">
        <v>34007</v>
      </c>
      <c r="AC35" s="17">
        <v>34782</v>
      </c>
      <c r="AD35" s="17">
        <v>5168</v>
      </c>
      <c r="AE35" s="17">
        <v>5635</v>
      </c>
      <c r="AF35" s="17">
        <v>0</v>
      </c>
      <c r="AG35" s="17">
        <v>-148</v>
      </c>
      <c r="AH35" s="17">
        <v>0</v>
      </c>
      <c r="AI35" s="17">
        <v>0</v>
      </c>
      <c r="AJ35" s="54">
        <f t="shared" si="4"/>
        <v>245686</v>
      </c>
      <c r="AK35" s="54">
        <f t="shared" si="5"/>
        <v>490488</v>
      </c>
      <c r="AL35" s="54">
        <f t="shared" si="6"/>
        <v>39175</v>
      </c>
      <c r="AM35" s="54">
        <f t="shared" si="7"/>
        <v>40417</v>
      </c>
      <c r="AN35" s="19">
        <v>46055</v>
      </c>
      <c r="AO35" s="487">
        <f t="shared" si="8"/>
        <v>-7.5078404029252366E-2</v>
      </c>
      <c r="AP35" s="487">
        <f t="shared" si="9"/>
        <v>0.3746834449610974</v>
      </c>
      <c r="AQ35" s="486">
        <f t="shared" si="10"/>
        <v>0.30926649340521206</v>
      </c>
      <c r="AR35" s="486">
        <f t="shared" si="11"/>
        <v>0.86321398857688481</v>
      </c>
      <c r="AS35" s="472">
        <f t="shared" si="12"/>
        <v>0.32873407504330454</v>
      </c>
      <c r="AT35" s="472">
        <f t="shared" si="13"/>
        <v>0.27870864654827909</v>
      </c>
      <c r="AU35" s="472">
        <f t="shared" si="14"/>
        <v>-0.58283314940919984</v>
      </c>
      <c r="AV35" s="472">
        <f t="shared" si="15"/>
        <v>3.2513227513227516</v>
      </c>
      <c r="AW35" s="472">
        <f t="shared" si="16"/>
        <v>0.17272081717375865</v>
      </c>
      <c r="AX35" s="472">
        <f t="shared" si="17"/>
        <v>0.75690226847444264</v>
      </c>
      <c r="AY35" s="472">
        <f t="shared" si="18"/>
        <v>2.5697033180319786</v>
      </c>
      <c r="AZ35" s="472">
        <f t="shared" si="19"/>
        <v>0.99640191138282197</v>
      </c>
      <c r="BA35" s="472">
        <f t="shared" si="20"/>
        <v>2.2789425706472244E-2</v>
      </c>
      <c r="BB35" s="472">
        <f t="shared" si="21"/>
        <v>9.0363777089783381E-2</v>
      </c>
      <c r="BC35" s="472">
        <f t="shared" si="22"/>
        <v>3.1703892788768284E-2</v>
      </c>
      <c r="BD35" s="472" t="e">
        <f t="shared" ref="BD35:BD66" si="25">AG35/AF35-1</f>
        <v>#DIV/0!</v>
      </c>
      <c r="BE35" s="472" t="e">
        <f t="shared" ref="BE35:BE66" si="26">AI35/AH35-1</f>
        <v>#DIV/0!</v>
      </c>
    </row>
    <row r="36" spans="1:57" hidden="1" x14ac:dyDescent="0.35">
      <c r="A36" s="19">
        <v>45692</v>
      </c>
      <c r="B36" s="17">
        <v>22395022</v>
      </c>
      <c r="C36" s="17">
        <v>22551540</v>
      </c>
      <c r="D36" s="17">
        <v>2754754.931034483</v>
      </c>
      <c r="E36" s="17">
        <v>3809642</v>
      </c>
      <c r="F36" s="484">
        <f t="shared" si="0"/>
        <v>2563262.931034483</v>
      </c>
      <c r="G36" s="484">
        <f t="shared" si="1"/>
        <v>3292119</v>
      </c>
      <c r="H36" s="484">
        <f t="shared" si="2"/>
        <v>191492</v>
      </c>
      <c r="I36" s="484">
        <f t="shared" si="3"/>
        <v>517523</v>
      </c>
      <c r="J36" s="19">
        <v>46056</v>
      </c>
      <c r="K36" s="17">
        <v>2922007.819726577</v>
      </c>
      <c r="L36" s="17">
        <v>2544037.1818093001</v>
      </c>
      <c r="M36" s="17">
        <v>377970.637917277</v>
      </c>
      <c r="N36" s="17">
        <v>2354728</v>
      </c>
      <c r="O36" s="17">
        <v>3181814</v>
      </c>
      <c r="P36" s="17">
        <v>23787.931034482801</v>
      </c>
      <c r="Q36" s="17">
        <v>22774</v>
      </c>
      <c r="R36" s="17">
        <v>132035</v>
      </c>
      <c r="S36" s="17">
        <v>13358</v>
      </c>
      <c r="T36" s="17">
        <v>2563</v>
      </c>
      <c r="U36" s="17">
        <v>6483</v>
      </c>
      <c r="V36" s="17">
        <v>50149</v>
      </c>
      <c r="W36" s="17">
        <v>67690</v>
      </c>
      <c r="X36" s="17">
        <v>79913</v>
      </c>
      <c r="Y36" s="17">
        <v>395638</v>
      </c>
      <c r="Z36" s="17">
        <v>56003</v>
      </c>
      <c r="AA36" s="17">
        <v>87196</v>
      </c>
      <c r="AB36" s="17">
        <v>51486</v>
      </c>
      <c r="AC36" s="17">
        <v>25879</v>
      </c>
      <c r="AD36" s="17">
        <v>4090</v>
      </c>
      <c r="AE36" s="17">
        <v>4357</v>
      </c>
      <c r="AF36" s="17">
        <v>0</v>
      </c>
      <c r="AG36" s="17">
        <v>4453</v>
      </c>
      <c r="AH36" s="17">
        <v>0</v>
      </c>
      <c r="AI36" s="17">
        <v>0</v>
      </c>
      <c r="AJ36" s="54">
        <f t="shared" si="4"/>
        <v>135916</v>
      </c>
      <c r="AK36" s="54">
        <f t="shared" si="5"/>
        <v>482834</v>
      </c>
      <c r="AL36" s="54">
        <f t="shared" si="6"/>
        <v>55576</v>
      </c>
      <c r="AM36" s="54">
        <f t="shared" si="7"/>
        <v>30236</v>
      </c>
      <c r="AN36" s="19">
        <v>46056</v>
      </c>
      <c r="AO36" s="487">
        <f t="shared" si="8"/>
        <v>6.9889638867066672E-3</v>
      </c>
      <c r="AP36" s="487">
        <f t="shared" si="9"/>
        <v>0.38293318112670693</v>
      </c>
      <c r="AQ36" s="486">
        <f t="shared" si="10"/>
        <v>0.28434697827560163</v>
      </c>
      <c r="AR36" s="486">
        <f t="shared" si="11"/>
        <v>1.702582875524826</v>
      </c>
      <c r="AS36" s="472">
        <f t="shared" si="12"/>
        <v>0.35124481468772606</v>
      </c>
      <c r="AT36" s="472">
        <f t="shared" si="13"/>
        <v>-4.2623758788144062E-2</v>
      </c>
      <c r="AU36" s="472">
        <f t="shared" si="14"/>
        <v>-0.89882985572007423</v>
      </c>
      <c r="AV36" s="472">
        <f t="shared" si="15"/>
        <v>1.5294576667967226</v>
      </c>
      <c r="AW36" s="472">
        <f t="shared" si="16"/>
        <v>0.34977766256555465</v>
      </c>
      <c r="AX36" s="472">
        <f t="shared" si="17"/>
        <v>3.9508590592269091</v>
      </c>
      <c r="AY36" s="472">
        <f t="shared" si="18"/>
        <v>0.55698801849900903</v>
      </c>
      <c r="AZ36" s="472">
        <f t="shared" si="19"/>
        <v>2.5524441566850111</v>
      </c>
      <c r="BA36" s="472">
        <f t="shared" si="20"/>
        <v>-0.49735850522472125</v>
      </c>
      <c r="BB36" s="472">
        <f t="shared" si="21"/>
        <v>6.5281173594132103E-2</v>
      </c>
      <c r="BC36" s="472">
        <f t="shared" si="22"/>
        <v>-0.45595220958687199</v>
      </c>
      <c r="BD36" s="472" t="e">
        <f t="shared" si="25"/>
        <v>#DIV/0!</v>
      </c>
      <c r="BE36" s="472" t="e">
        <f t="shared" si="26"/>
        <v>#DIV/0!</v>
      </c>
    </row>
    <row r="37" spans="1:57" hidden="1" x14ac:dyDescent="0.35">
      <c r="A37" s="16">
        <v>45693</v>
      </c>
      <c r="B37" s="17">
        <v>25539612</v>
      </c>
      <c r="C37" s="17">
        <v>25170911</v>
      </c>
      <c r="D37" s="17">
        <v>2807800.5862068967</v>
      </c>
      <c r="E37" s="17">
        <v>3606795</v>
      </c>
      <c r="F37" s="484">
        <f t="shared" si="0"/>
        <v>2544799.5862068967</v>
      </c>
      <c r="G37" s="484">
        <f t="shared" si="1"/>
        <v>3179035</v>
      </c>
      <c r="H37" s="484">
        <f t="shared" si="2"/>
        <v>263001</v>
      </c>
      <c r="I37" s="484">
        <f t="shared" si="3"/>
        <v>427760</v>
      </c>
      <c r="J37" s="19">
        <v>46057</v>
      </c>
      <c r="K37" s="17">
        <v>3319448.0760512371</v>
      </c>
      <c r="L37" s="17">
        <v>3065365.0201185001</v>
      </c>
      <c r="M37" s="17">
        <v>254083.05593273701</v>
      </c>
      <c r="N37" s="17">
        <v>2362602</v>
      </c>
      <c r="O37" s="17">
        <v>3050065</v>
      </c>
      <c r="P37" s="17">
        <v>24452.5862068965</v>
      </c>
      <c r="Q37" s="17">
        <v>23209</v>
      </c>
      <c r="R37" s="17">
        <v>110188</v>
      </c>
      <c r="S37" s="17">
        <v>39499</v>
      </c>
      <c r="T37" s="17">
        <v>-697</v>
      </c>
      <c r="U37" s="17">
        <v>6199</v>
      </c>
      <c r="V37" s="17">
        <v>48254</v>
      </c>
      <c r="W37" s="17">
        <v>60063</v>
      </c>
      <c r="X37" s="17">
        <v>151535</v>
      </c>
      <c r="Y37" s="17">
        <v>318098</v>
      </c>
      <c r="Z37" s="17">
        <v>57305</v>
      </c>
      <c r="AA37" s="17">
        <v>80270</v>
      </c>
      <c r="AB37" s="17">
        <v>46066</v>
      </c>
      <c r="AC37" s="17">
        <v>22916</v>
      </c>
      <c r="AD37" s="17">
        <v>8095</v>
      </c>
      <c r="AE37" s="17">
        <v>4100</v>
      </c>
      <c r="AF37" s="17">
        <v>0</v>
      </c>
      <c r="AG37" s="17">
        <v>2376</v>
      </c>
      <c r="AH37" s="17">
        <v>0</v>
      </c>
      <c r="AI37" s="17">
        <v>0</v>
      </c>
      <c r="AJ37" s="54">
        <f t="shared" si="4"/>
        <v>208840</v>
      </c>
      <c r="AK37" s="54">
        <f t="shared" si="5"/>
        <v>398368</v>
      </c>
      <c r="AL37" s="54">
        <f t="shared" si="6"/>
        <v>54161</v>
      </c>
      <c r="AM37" s="54">
        <f t="shared" si="7"/>
        <v>27016</v>
      </c>
      <c r="AN37" s="19">
        <v>46057</v>
      </c>
      <c r="AO37" s="487">
        <f t="shared" si="8"/>
        <v>-1.4436437014000103E-2</v>
      </c>
      <c r="AP37" s="487">
        <f t="shared" si="9"/>
        <v>0.28456237872379608</v>
      </c>
      <c r="AQ37" s="486">
        <f t="shared" si="10"/>
        <v>0.24922804028683876</v>
      </c>
      <c r="AR37" s="486">
        <f t="shared" si="11"/>
        <v>0.62645769407720886</v>
      </c>
      <c r="AS37" s="472">
        <f t="shared" si="12"/>
        <v>0.29097706681023716</v>
      </c>
      <c r="AT37" s="472">
        <f t="shared" si="13"/>
        <v>-5.0857042129382801E-2</v>
      </c>
      <c r="AU37" s="472">
        <f t="shared" si="14"/>
        <v>-0.64153083820379719</v>
      </c>
      <c r="AV37" s="472">
        <f t="shared" si="15"/>
        <v>-9.8938307030129131</v>
      </c>
      <c r="AW37" s="472">
        <f t="shared" si="16"/>
        <v>0.24472582583827251</v>
      </c>
      <c r="AX37" s="472">
        <f t="shared" si="17"/>
        <v>1.0991718084930873</v>
      </c>
      <c r="AY37" s="472">
        <f t="shared" si="18"/>
        <v>0.40075037082279041</v>
      </c>
      <c r="AZ37" s="472">
        <f t="shared" si="19"/>
        <v>0.90752729362191142</v>
      </c>
      <c r="BA37" s="472">
        <f t="shared" si="20"/>
        <v>-0.50253983415100079</v>
      </c>
      <c r="BB37" s="472">
        <f t="shared" si="21"/>
        <v>-0.49351451513279798</v>
      </c>
      <c r="BC37" s="472">
        <f t="shared" si="22"/>
        <v>-0.50119089381658388</v>
      </c>
      <c r="BD37" s="472" t="e">
        <f t="shared" si="25"/>
        <v>#DIV/0!</v>
      </c>
      <c r="BE37" s="472" t="e">
        <f t="shared" si="26"/>
        <v>#DIV/0!</v>
      </c>
    </row>
    <row r="38" spans="1:57" hidden="1" x14ac:dyDescent="0.35">
      <c r="A38" s="19">
        <v>45694</v>
      </c>
      <c r="B38" s="17">
        <v>29401665</v>
      </c>
      <c r="C38" s="17">
        <v>29563607</v>
      </c>
      <c r="D38" s="17">
        <v>2311807.3448275859</v>
      </c>
      <c r="E38" s="17">
        <v>3315522</v>
      </c>
      <c r="F38" s="484">
        <f t="shared" si="0"/>
        <v>2106848.3448275859</v>
      </c>
      <c r="G38" s="484">
        <f t="shared" si="1"/>
        <v>2851174</v>
      </c>
      <c r="H38" s="484">
        <f t="shared" si="2"/>
        <v>204959</v>
      </c>
      <c r="I38" s="484">
        <f t="shared" si="3"/>
        <v>464348</v>
      </c>
      <c r="J38" s="19">
        <v>46058</v>
      </c>
      <c r="K38" s="17">
        <v>3392250.4827303328</v>
      </c>
      <c r="L38" s="17">
        <v>3043285.0022227098</v>
      </c>
      <c r="M38" s="17">
        <v>348965.480507623</v>
      </c>
      <c r="N38" s="17">
        <v>1988730</v>
      </c>
      <c r="O38" s="17">
        <v>2711541</v>
      </c>
      <c r="P38" s="17">
        <v>22460.344827586199</v>
      </c>
      <c r="Q38" s="17">
        <v>22425</v>
      </c>
      <c r="R38" s="17">
        <v>52855</v>
      </c>
      <c r="S38" s="17">
        <v>48724</v>
      </c>
      <c r="T38" s="17">
        <v>2503</v>
      </c>
      <c r="U38" s="17">
        <v>4521</v>
      </c>
      <c r="V38" s="17">
        <v>40300</v>
      </c>
      <c r="W38" s="17">
        <v>63963</v>
      </c>
      <c r="X38" s="17">
        <v>119932</v>
      </c>
      <c r="Y38" s="17">
        <v>334593</v>
      </c>
      <c r="Z38" s="17">
        <v>56342</v>
      </c>
      <c r="AA38" s="17">
        <v>91963</v>
      </c>
      <c r="AB38" s="17">
        <v>22237</v>
      </c>
      <c r="AC38" s="17">
        <v>28657</v>
      </c>
      <c r="AD38" s="17">
        <v>6448</v>
      </c>
      <c r="AE38" s="17">
        <v>3153</v>
      </c>
      <c r="AF38" s="17">
        <v>0</v>
      </c>
      <c r="AG38" s="17">
        <v>5982</v>
      </c>
      <c r="AH38" s="17">
        <v>0</v>
      </c>
      <c r="AI38" s="17">
        <v>0</v>
      </c>
      <c r="AJ38" s="54">
        <f t="shared" si="4"/>
        <v>176274</v>
      </c>
      <c r="AK38" s="54">
        <f t="shared" si="5"/>
        <v>426556</v>
      </c>
      <c r="AL38" s="54">
        <f t="shared" si="6"/>
        <v>28685</v>
      </c>
      <c r="AM38" s="54">
        <f t="shared" si="7"/>
        <v>31810</v>
      </c>
      <c r="AN38" s="19">
        <v>46058</v>
      </c>
      <c r="AO38" s="487">
        <f t="shared" si="8"/>
        <v>5.5079193644305136E-3</v>
      </c>
      <c r="AP38" s="487">
        <f t="shared" si="9"/>
        <v>0.43416881489632564</v>
      </c>
      <c r="AQ38" s="486">
        <f t="shared" si="10"/>
        <v>0.35328867262789432</v>
      </c>
      <c r="AR38" s="486">
        <f t="shared" si="11"/>
        <v>1.265565308183588</v>
      </c>
      <c r="AS38" s="472">
        <f t="shared" si="12"/>
        <v>0.36345356081519364</v>
      </c>
      <c r="AT38" s="472">
        <f t="shared" si="13"/>
        <v>-1.5736547171256721E-3</v>
      </c>
      <c r="AU38" s="472">
        <f t="shared" si="14"/>
        <v>-7.8157222590105047E-2</v>
      </c>
      <c r="AV38" s="472">
        <f t="shared" si="15"/>
        <v>0.80623252097483022</v>
      </c>
      <c r="AW38" s="472">
        <f t="shared" si="16"/>
        <v>0.58717121588089327</v>
      </c>
      <c r="AX38" s="472">
        <f t="shared" si="17"/>
        <v>1.7898559183537337</v>
      </c>
      <c r="AY38" s="472">
        <f t="shared" si="18"/>
        <v>0.63222817791345709</v>
      </c>
      <c r="AZ38" s="472">
        <f t="shared" si="19"/>
        <v>1.4198463755290058</v>
      </c>
      <c r="BA38" s="472">
        <f t="shared" si="20"/>
        <v>0.28870800917389938</v>
      </c>
      <c r="BB38" s="472">
        <f t="shared" si="21"/>
        <v>-0.51101116625310172</v>
      </c>
      <c r="BC38" s="472">
        <f t="shared" si="22"/>
        <v>0.10894195572598919</v>
      </c>
      <c r="BD38" s="472" t="e">
        <f t="shared" si="25"/>
        <v>#DIV/0!</v>
      </c>
      <c r="BE38" s="472" t="e">
        <f t="shared" si="26"/>
        <v>#DIV/0!</v>
      </c>
    </row>
    <row r="39" spans="1:57" hidden="1" x14ac:dyDescent="0.35">
      <c r="A39" s="16">
        <v>45695</v>
      </c>
      <c r="B39" s="17">
        <v>32016485</v>
      </c>
      <c r="C39" s="17">
        <v>30256382</v>
      </c>
      <c r="D39" s="17">
        <v>2129533.7931034481</v>
      </c>
      <c r="E39" s="17">
        <v>2885141</v>
      </c>
      <c r="F39" s="484">
        <f t="shared" si="0"/>
        <v>1848895.7931034483</v>
      </c>
      <c r="G39" s="484">
        <f t="shared" si="1"/>
        <v>2480184</v>
      </c>
      <c r="H39" s="484">
        <f t="shared" si="2"/>
        <v>280638</v>
      </c>
      <c r="I39" s="484">
        <f t="shared" si="3"/>
        <v>404957</v>
      </c>
      <c r="J39" s="19">
        <v>46059</v>
      </c>
      <c r="K39" s="17">
        <v>2791498.0163448001</v>
      </c>
      <c r="L39" s="17">
        <v>2519546.1381414402</v>
      </c>
      <c r="M39" s="17">
        <v>271951.87820336001</v>
      </c>
      <c r="N39" s="17">
        <v>1675481</v>
      </c>
      <c r="O39" s="17">
        <v>2349247</v>
      </c>
      <c r="P39" s="17">
        <v>23913.793103448301</v>
      </c>
      <c r="Q39" s="17">
        <v>22391</v>
      </c>
      <c r="R39" s="17">
        <v>91347</v>
      </c>
      <c r="S39" s="17">
        <v>29006</v>
      </c>
      <c r="T39" s="17">
        <v>4838</v>
      </c>
      <c r="U39" s="17">
        <v>4581</v>
      </c>
      <c r="V39" s="17">
        <v>53316</v>
      </c>
      <c r="W39" s="17">
        <v>74959</v>
      </c>
      <c r="X39" s="17">
        <v>166819</v>
      </c>
      <c r="Y39" s="17">
        <v>291618</v>
      </c>
      <c r="Z39" s="17">
        <v>60494</v>
      </c>
      <c r="AA39" s="17">
        <v>85249</v>
      </c>
      <c r="AB39" s="17">
        <v>49141</v>
      </c>
      <c r="AC39" s="17">
        <v>20982</v>
      </c>
      <c r="AD39" s="17">
        <v>4184</v>
      </c>
      <c r="AE39" s="17">
        <v>3548</v>
      </c>
      <c r="AF39" s="17">
        <v>0</v>
      </c>
      <c r="AG39" s="17">
        <v>3560</v>
      </c>
      <c r="AH39" s="17">
        <v>0</v>
      </c>
      <c r="AI39" s="17">
        <v>0</v>
      </c>
      <c r="AJ39" s="54">
        <f t="shared" si="4"/>
        <v>227313</v>
      </c>
      <c r="AK39" s="54">
        <f t="shared" si="5"/>
        <v>376867</v>
      </c>
      <c r="AL39" s="54">
        <f t="shared" si="6"/>
        <v>53325</v>
      </c>
      <c r="AM39" s="54">
        <f t="shared" si="7"/>
        <v>24530</v>
      </c>
      <c r="AN39" s="19">
        <v>46059</v>
      </c>
      <c r="AO39" s="487">
        <f t="shared" si="8"/>
        <v>-5.4974898087656987E-2</v>
      </c>
      <c r="AP39" s="487">
        <f t="shared" si="9"/>
        <v>0.35482282992813063</v>
      </c>
      <c r="AQ39" s="486">
        <f t="shared" si="10"/>
        <v>0.34144066380123461</v>
      </c>
      <c r="AR39" s="486">
        <f t="shared" si="11"/>
        <v>0.4429870509339433</v>
      </c>
      <c r="AS39" s="472">
        <f t="shared" si="12"/>
        <v>0.40213288005056458</v>
      </c>
      <c r="AT39" s="472">
        <f t="shared" si="13"/>
        <v>-6.3678442682048586E-2</v>
      </c>
      <c r="AU39" s="472">
        <f t="shared" si="14"/>
        <v>-0.68246357296900828</v>
      </c>
      <c r="AV39" s="472">
        <f t="shared" si="15"/>
        <v>-5.3121124431583344E-2</v>
      </c>
      <c r="AW39" s="472">
        <f t="shared" si="16"/>
        <v>0.40593817990847025</v>
      </c>
      <c r="AX39" s="472">
        <f t="shared" si="17"/>
        <v>0.74811022725229148</v>
      </c>
      <c r="AY39" s="472">
        <f t="shared" si="18"/>
        <v>0.40921413693920061</v>
      </c>
      <c r="AZ39" s="472">
        <f t="shared" si="19"/>
        <v>0.65792101639589462</v>
      </c>
      <c r="BA39" s="472">
        <f t="shared" si="20"/>
        <v>-0.57302456197472584</v>
      </c>
      <c r="BB39" s="472">
        <f t="shared" si="21"/>
        <v>-0.15200764818355639</v>
      </c>
      <c r="BC39" s="472">
        <f t="shared" si="22"/>
        <v>-0.53999062353492733</v>
      </c>
      <c r="BD39" s="472" t="e">
        <f t="shared" si="25"/>
        <v>#DIV/0!</v>
      </c>
      <c r="BE39" s="472" t="e">
        <f t="shared" si="26"/>
        <v>#DIV/0!</v>
      </c>
    </row>
    <row r="40" spans="1:57" hidden="1" x14ac:dyDescent="0.35">
      <c r="A40" s="19">
        <v>45696</v>
      </c>
      <c r="B40" s="17">
        <v>42648094</v>
      </c>
      <c r="C40" s="17">
        <v>41295456</v>
      </c>
      <c r="D40" s="17">
        <v>1975582.4827586208</v>
      </c>
      <c r="E40" s="17">
        <v>2618192</v>
      </c>
      <c r="F40" s="484">
        <f t="shared" si="0"/>
        <v>1613833.4827586208</v>
      </c>
      <c r="G40" s="484">
        <f t="shared" si="1"/>
        <v>2223682</v>
      </c>
      <c r="H40" s="484">
        <f t="shared" si="2"/>
        <v>361749</v>
      </c>
      <c r="I40" s="484">
        <f t="shared" si="3"/>
        <v>394510</v>
      </c>
      <c r="J40" s="19">
        <v>46060</v>
      </c>
      <c r="K40" s="17">
        <v>2583432.1280934871</v>
      </c>
      <c r="L40" s="17">
        <v>2211064.8195330701</v>
      </c>
      <c r="M40" s="17">
        <v>372367.30856041698</v>
      </c>
      <c r="N40" s="17">
        <v>1541898</v>
      </c>
      <c r="O40" s="17">
        <v>2093587</v>
      </c>
      <c r="P40" s="17">
        <v>17559.482758620699</v>
      </c>
      <c r="Q40" s="17">
        <v>26676</v>
      </c>
      <c r="R40" s="17">
        <v>13396</v>
      </c>
      <c r="S40" s="17">
        <v>31006</v>
      </c>
      <c r="T40" s="17">
        <v>921</v>
      </c>
      <c r="U40" s="17">
        <v>2429</v>
      </c>
      <c r="V40" s="17">
        <v>40059</v>
      </c>
      <c r="W40" s="17">
        <v>69984</v>
      </c>
      <c r="X40" s="17">
        <v>260206</v>
      </c>
      <c r="Y40" s="17">
        <v>282237</v>
      </c>
      <c r="Z40" s="17">
        <v>70792</v>
      </c>
      <c r="AA40" s="17">
        <v>81965</v>
      </c>
      <c r="AB40" s="17">
        <v>28263</v>
      </c>
      <c r="AC40" s="17">
        <v>25885</v>
      </c>
      <c r="AD40" s="17">
        <v>2488</v>
      </c>
      <c r="AE40" s="17">
        <v>5353</v>
      </c>
      <c r="AF40" s="17">
        <v>0</v>
      </c>
      <c r="AG40" s="17">
        <v>-930</v>
      </c>
      <c r="AH40" s="17">
        <v>0</v>
      </c>
      <c r="AI40" s="17">
        <v>0</v>
      </c>
      <c r="AJ40" s="54">
        <f t="shared" si="4"/>
        <v>330998</v>
      </c>
      <c r="AK40" s="54">
        <f t="shared" si="5"/>
        <v>364202</v>
      </c>
      <c r="AL40" s="54">
        <f t="shared" si="6"/>
        <v>30751</v>
      </c>
      <c r="AM40" s="54">
        <f t="shared" si="7"/>
        <v>31238</v>
      </c>
      <c r="AN40" s="19">
        <v>46060</v>
      </c>
      <c r="AO40" s="487">
        <f t="shared" si="8"/>
        <v>-3.1716259113478751E-2</v>
      </c>
      <c r="AP40" s="487">
        <f t="shared" si="9"/>
        <v>0.32527597447820367</v>
      </c>
      <c r="AQ40" s="486">
        <f t="shared" si="10"/>
        <v>0.37788813019229783</v>
      </c>
      <c r="AR40" s="486">
        <f t="shared" si="11"/>
        <v>9.0562793539166631E-2</v>
      </c>
      <c r="AS40" s="472">
        <f t="shared" si="12"/>
        <v>0.35779863518857935</v>
      </c>
      <c r="AT40" s="472">
        <f t="shared" si="13"/>
        <v>0.51917914477882965</v>
      </c>
      <c r="AU40" s="472">
        <f t="shared" si="14"/>
        <v>1.3145715138847418</v>
      </c>
      <c r="AV40" s="472">
        <f t="shared" si="15"/>
        <v>1.6373507057546144</v>
      </c>
      <c r="AW40" s="472">
        <f t="shared" si="16"/>
        <v>0.74702314086722077</v>
      </c>
      <c r="AX40" s="472">
        <f t="shared" si="17"/>
        <v>8.4667532647210386E-2</v>
      </c>
      <c r="AY40" s="472">
        <f t="shared" si="18"/>
        <v>0.15782856819979663</v>
      </c>
      <c r="AZ40" s="472">
        <f t="shared" si="19"/>
        <v>0.10031480552752581</v>
      </c>
      <c r="BA40" s="472">
        <f t="shared" si="20"/>
        <v>-8.4138272653292323E-2</v>
      </c>
      <c r="BB40" s="472">
        <f t="shared" si="21"/>
        <v>1.1515273311897105</v>
      </c>
      <c r="BC40" s="472">
        <f t="shared" si="22"/>
        <v>1.5836883353386844E-2</v>
      </c>
      <c r="BD40" s="472" t="e">
        <f t="shared" si="25"/>
        <v>#DIV/0!</v>
      </c>
      <c r="BE40" s="472" t="e">
        <f t="shared" si="26"/>
        <v>#DIV/0!</v>
      </c>
    </row>
    <row r="41" spans="1:57" hidden="1" x14ac:dyDescent="0.35">
      <c r="A41" s="16">
        <v>45697</v>
      </c>
      <c r="B41" s="17">
        <v>41791699</v>
      </c>
      <c r="C41" s="17">
        <v>41339084</v>
      </c>
      <c r="D41" s="17">
        <v>2325398.2413793104</v>
      </c>
      <c r="E41" s="17">
        <v>2815566</v>
      </c>
      <c r="F41" s="484">
        <f t="shared" si="0"/>
        <v>1992770.2413793104</v>
      </c>
      <c r="G41" s="484">
        <f t="shared" si="1"/>
        <v>2502585</v>
      </c>
      <c r="H41" s="484">
        <f t="shared" si="2"/>
        <v>332628</v>
      </c>
      <c r="I41" s="484">
        <f t="shared" si="3"/>
        <v>312981</v>
      </c>
      <c r="J41" s="19">
        <v>46061</v>
      </c>
      <c r="K41" s="17">
        <v>2409947.8152849339</v>
      </c>
      <c r="L41" s="17">
        <v>1929957.57339174</v>
      </c>
      <c r="M41" s="17">
        <v>479990.24189319398</v>
      </c>
      <c r="N41" s="17">
        <v>1896294</v>
      </c>
      <c r="O41" s="17">
        <v>2397497</v>
      </c>
      <c r="P41" s="17">
        <v>21667.241379310301</v>
      </c>
      <c r="Q41" s="17">
        <v>25171</v>
      </c>
      <c r="R41" s="17">
        <v>30139</v>
      </c>
      <c r="S41" s="17">
        <v>5807</v>
      </c>
      <c r="T41" s="17">
        <v>3695</v>
      </c>
      <c r="U41" s="17">
        <v>4467</v>
      </c>
      <c r="V41" s="17">
        <v>40975</v>
      </c>
      <c r="W41" s="17">
        <v>69643</v>
      </c>
      <c r="X41" s="17">
        <v>191313</v>
      </c>
      <c r="Y41" s="17">
        <v>234501</v>
      </c>
      <c r="Z41" s="17">
        <v>87339</v>
      </c>
      <c r="AA41" s="17">
        <v>58072</v>
      </c>
      <c r="AB41" s="17">
        <v>48851</v>
      </c>
      <c r="AC41" s="17">
        <v>17667</v>
      </c>
      <c r="AD41" s="17">
        <v>5125</v>
      </c>
      <c r="AE41" s="17">
        <v>2741</v>
      </c>
      <c r="AF41" s="17">
        <v>0</v>
      </c>
      <c r="AG41" s="17">
        <v>0</v>
      </c>
      <c r="AH41" s="17">
        <v>0</v>
      </c>
      <c r="AI41" s="17">
        <v>0</v>
      </c>
      <c r="AJ41" s="54">
        <f t="shared" si="4"/>
        <v>278652</v>
      </c>
      <c r="AK41" s="54">
        <f t="shared" si="5"/>
        <v>292573</v>
      </c>
      <c r="AL41" s="54">
        <f t="shared" si="6"/>
        <v>53976</v>
      </c>
      <c r="AM41" s="54">
        <f t="shared" si="7"/>
        <v>20408</v>
      </c>
      <c r="AN41" s="19">
        <v>46061</v>
      </c>
      <c r="AO41" s="487">
        <f t="shared" si="8"/>
        <v>-1.0830260813277759E-2</v>
      </c>
      <c r="AP41" s="487">
        <f t="shared" si="9"/>
        <v>0.21078873712828927</v>
      </c>
      <c r="AQ41" s="486">
        <f t="shared" si="10"/>
        <v>0.25583218177114975</v>
      </c>
      <c r="AR41" s="486">
        <f t="shared" si="11"/>
        <v>-5.9065983621342744E-2</v>
      </c>
      <c r="AS41" s="472">
        <f t="shared" si="12"/>
        <v>0.26430658959001074</v>
      </c>
      <c r="AT41" s="472">
        <f t="shared" si="13"/>
        <v>0.16170764701201801</v>
      </c>
      <c r="AU41" s="472">
        <f t="shared" si="14"/>
        <v>-0.80732605594080753</v>
      </c>
      <c r="AV41" s="472">
        <f t="shared" si="15"/>
        <v>0.20893098782138031</v>
      </c>
      <c r="AW41" s="472">
        <f t="shared" si="16"/>
        <v>0.69964612568639417</v>
      </c>
      <c r="AX41" s="472">
        <f t="shared" si="17"/>
        <v>0.22574524470370538</v>
      </c>
      <c r="AY41" s="472">
        <f t="shared" si="18"/>
        <v>-0.33509657770297352</v>
      </c>
      <c r="AZ41" s="472">
        <f t="shared" si="19"/>
        <v>4.9958371014742431E-2</v>
      </c>
      <c r="BA41" s="472">
        <f t="shared" si="20"/>
        <v>-0.63834926613580067</v>
      </c>
      <c r="BB41" s="472">
        <f t="shared" si="21"/>
        <v>-0.46517073170731704</v>
      </c>
      <c r="BC41" s="472">
        <f t="shared" si="22"/>
        <v>-0.62190603231065666</v>
      </c>
      <c r="BD41" s="472" t="e">
        <f t="shared" si="25"/>
        <v>#DIV/0!</v>
      </c>
      <c r="BE41" s="472" t="e">
        <f t="shared" si="26"/>
        <v>#DIV/0!</v>
      </c>
    </row>
    <row r="42" spans="1:57" hidden="1" x14ac:dyDescent="0.35">
      <c r="A42" s="19">
        <v>45698</v>
      </c>
      <c r="B42" s="17">
        <v>26406954</v>
      </c>
      <c r="C42" s="17">
        <v>22422064</v>
      </c>
      <c r="D42" s="17">
        <v>4228681.6551724132</v>
      </c>
      <c r="E42" s="17">
        <v>2872466</v>
      </c>
      <c r="F42" s="484">
        <f t="shared" si="0"/>
        <v>3807005.6551724137</v>
      </c>
      <c r="G42" s="484">
        <f t="shared" si="1"/>
        <v>2338320</v>
      </c>
      <c r="H42" s="484">
        <f t="shared" si="2"/>
        <v>421676</v>
      </c>
      <c r="I42" s="484">
        <f t="shared" si="3"/>
        <v>534146</v>
      </c>
      <c r="J42" s="19">
        <v>46062</v>
      </c>
      <c r="K42" s="17">
        <v>2824472.7189859231</v>
      </c>
      <c r="L42" s="17">
        <v>2383121.9642348401</v>
      </c>
      <c r="M42" s="17">
        <v>441350.75475108298</v>
      </c>
      <c r="N42" s="17">
        <v>3630208</v>
      </c>
      <c r="O42" s="17">
        <v>2252123</v>
      </c>
      <c r="P42" s="17">
        <v>20464.655172413801</v>
      </c>
      <c r="Q42" s="17">
        <v>10066</v>
      </c>
      <c r="R42" s="17">
        <v>83992</v>
      </c>
      <c r="S42" s="17">
        <v>16050</v>
      </c>
      <c r="T42" s="17">
        <v>8959</v>
      </c>
      <c r="U42" s="17">
        <v>1868</v>
      </c>
      <c r="V42" s="17">
        <v>63382</v>
      </c>
      <c r="W42" s="17">
        <v>58213</v>
      </c>
      <c r="X42" s="17">
        <v>281151</v>
      </c>
      <c r="Y42" s="17">
        <v>451605</v>
      </c>
      <c r="Z42" s="17">
        <v>78555</v>
      </c>
      <c r="AA42" s="17">
        <v>67176</v>
      </c>
      <c r="AB42" s="17">
        <v>59569</v>
      </c>
      <c r="AC42" s="17">
        <v>11686</v>
      </c>
      <c r="AD42" s="17">
        <v>2401</v>
      </c>
      <c r="AE42" s="17">
        <v>3093</v>
      </c>
      <c r="AF42" s="17">
        <v>0</v>
      </c>
      <c r="AG42" s="17">
        <v>586</v>
      </c>
      <c r="AH42" s="17">
        <v>0</v>
      </c>
      <c r="AI42" s="17">
        <v>0</v>
      </c>
      <c r="AJ42" s="54">
        <f t="shared" si="4"/>
        <v>359706</v>
      </c>
      <c r="AK42" s="54">
        <f t="shared" si="5"/>
        <v>518781</v>
      </c>
      <c r="AL42" s="54">
        <f t="shared" si="6"/>
        <v>61970</v>
      </c>
      <c r="AM42" s="54">
        <f t="shared" si="7"/>
        <v>14779</v>
      </c>
      <c r="AN42" s="19">
        <v>46062</v>
      </c>
      <c r="AO42" s="487">
        <f t="shared" si="8"/>
        <v>-0.15090305379408775</v>
      </c>
      <c r="AP42" s="487">
        <f t="shared" si="9"/>
        <v>-0.32071831501279491</v>
      </c>
      <c r="AQ42" s="486">
        <f t="shared" si="10"/>
        <v>-0.38578499435034308</v>
      </c>
      <c r="AR42" s="486">
        <f t="shared" si="11"/>
        <v>0.266721369013176</v>
      </c>
      <c r="AS42" s="472">
        <f t="shared" si="12"/>
        <v>-0.37961598894608795</v>
      </c>
      <c r="AT42" s="472">
        <f t="shared" si="13"/>
        <v>-0.50812755381439845</v>
      </c>
      <c r="AU42" s="472">
        <f t="shared" si="14"/>
        <v>-0.80891037241642061</v>
      </c>
      <c r="AV42" s="472">
        <f t="shared" si="15"/>
        <v>-0.79149458644938053</v>
      </c>
      <c r="AW42" s="472">
        <f t="shared" si="16"/>
        <v>-8.155312233757217E-2</v>
      </c>
      <c r="AX42" s="472">
        <f t="shared" si="17"/>
        <v>0.60627207443686837</v>
      </c>
      <c r="AY42" s="472">
        <f t="shared" si="18"/>
        <v>-0.14485392400229136</v>
      </c>
      <c r="AZ42" s="472">
        <f t="shared" si="19"/>
        <v>0.44223615953028306</v>
      </c>
      <c r="BA42" s="472">
        <f t="shared" si="20"/>
        <v>-0.80382413671540565</v>
      </c>
      <c r="BB42" s="472">
        <f t="shared" si="21"/>
        <v>0.28821324448146601</v>
      </c>
      <c r="BC42" s="472">
        <f t="shared" si="22"/>
        <v>-0.76151363563014363</v>
      </c>
      <c r="BD42" s="472" t="e">
        <f t="shared" si="25"/>
        <v>#DIV/0!</v>
      </c>
      <c r="BE42" s="472" t="e">
        <f t="shared" si="26"/>
        <v>#DIV/0!</v>
      </c>
    </row>
    <row r="43" spans="1:57" hidden="1" x14ac:dyDescent="0.35">
      <c r="A43" s="16">
        <v>45699</v>
      </c>
      <c r="B43" s="17">
        <v>28764494</v>
      </c>
      <c r="C43" s="17">
        <v>27571599</v>
      </c>
      <c r="D43" s="17">
        <v>3584756.2413793104</v>
      </c>
      <c r="E43" s="17">
        <v>4804156</v>
      </c>
      <c r="F43" s="484">
        <f t="shared" si="0"/>
        <v>2981396.2413793104</v>
      </c>
      <c r="G43" s="484">
        <f t="shared" si="1"/>
        <v>4145995</v>
      </c>
      <c r="H43" s="484">
        <f t="shared" si="2"/>
        <v>603360</v>
      </c>
      <c r="I43" s="484">
        <f t="shared" si="3"/>
        <v>658161</v>
      </c>
      <c r="J43" s="19">
        <v>46063</v>
      </c>
      <c r="K43" s="17">
        <v>5112241.9672708018</v>
      </c>
      <c r="L43" s="17">
        <v>4552736.9921622202</v>
      </c>
      <c r="M43" s="17">
        <v>559504.97510858194</v>
      </c>
      <c r="N43" s="17">
        <v>2855454</v>
      </c>
      <c r="O43" s="17">
        <v>4002151</v>
      </c>
      <c r="P43" s="17">
        <v>16592.241379310301</v>
      </c>
      <c r="Q43" s="17">
        <v>21961</v>
      </c>
      <c r="R43" s="17">
        <v>62364</v>
      </c>
      <c r="S43" s="17">
        <v>55589</v>
      </c>
      <c r="T43" s="17">
        <v>4603</v>
      </c>
      <c r="U43" s="17">
        <v>3319</v>
      </c>
      <c r="V43" s="17">
        <v>42383</v>
      </c>
      <c r="W43" s="17">
        <v>62975</v>
      </c>
      <c r="X43" s="17">
        <v>448251</v>
      </c>
      <c r="Y43" s="17">
        <v>557077</v>
      </c>
      <c r="Z43" s="17">
        <v>107546</v>
      </c>
      <c r="AA43" s="17">
        <v>78209</v>
      </c>
      <c r="AB43" s="17">
        <v>43052</v>
      </c>
      <c r="AC43" s="17">
        <v>21078</v>
      </c>
      <c r="AD43" s="17">
        <v>4511</v>
      </c>
      <c r="AE43" s="17">
        <v>953</v>
      </c>
      <c r="AF43" s="17">
        <v>0</v>
      </c>
      <c r="AG43" s="17">
        <v>844</v>
      </c>
      <c r="AH43" s="17">
        <v>0</v>
      </c>
      <c r="AI43" s="17">
        <v>0</v>
      </c>
      <c r="AJ43" s="54">
        <f t="shared" si="4"/>
        <v>555797</v>
      </c>
      <c r="AK43" s="54">
        <f t="shared" si="5"/>
        <v>635286</v>
      </c>
      <c r="AL43" s="54">
        <f t="shared" si="6"/>
        <v>47563</v>
      </c>
      <c r="AM43" s="54">
        <f t="shared" si="7"/>
        <v>22031</v>
      </c>
      <c r="AN43" s="19">
        <v>46063</v>
      </c>
      <c r="AO43" s="487">
        <f t="shared" si="8"/>
        <v>-4.1471092799337916E-2</v>
      </c>
      <c r="AP43" s="487">
        <f t="shared" si="9"/>
        <v>0.34016253170717681</v>
      </c>
      <c r="AQ43" s="486">
        <f t="shared" si="10"/>
        <v>0.39062193158260006</v>
      </c>
      <c r="AR43" s="486">
        <f t="shared" si="11"/>
        <v>9.0826372315035764E-2</v>
      </c>
      <c r="AS43" s="472">
        <f t="shared" si="12"/>
        <v>0.40158132472104269</v>
      </c>
      <c r="AT43" s="472">
        <f t="shared" si="13"/>
        <v>0.3235704265599868</v>
      </c>
      <c r="AU43" s="472">
        <f t="shared" si="14"/>
        <v>-0.10863639279071258</v>
      </c>
      <c r="AV43" s="472">
        <f t="shared" si="15"/>
        <v>-0.27894851184010427</v>
      </c>
      <c r="AW43" s="472">
        <f t="shared" si="16"/>
        <v>0.48585517778354537</v>
      </c>
      <c r="AX43" s="472">
        <f t="shared" si="17"/>
        <v>0.24277915721325782</v>
      </c>
      <c r="AY43" s="472">
        <f t="shared" si="18"/>
        <v>-0.27278559872054753</v>
      </c>
      <c r="AZ43" s="472">
        <f t="shared" si="19"/>
        <v>0.14301804435792209</v>
      </c>
      <c r="BA43" s="472">
        <f t="shared" si="20"/>
        <v>-0.51040602062621954</v>
      </c>
      <c r="BB43" s="472">
        <f t="shared" si="21"/>
        <v>-0.7887386388827311</v>
      </c>
      <c r="BC43" s="472">
        <f t="shared" si="22"/>
        <v>-0.53680381809389655</v>
      </c>
      <c r="BD43" s="472" t="e">
        <f t="shared" si="25"/>
        <v>#DIV/0!</v>
      </c>
      <c r="BE43" s="472" t="e">
        <f t="shared" si="26"/>
        <v>#DIV/0!</v>
      </c>
    </row>
    <row r="44" spans="1:57" hidden="1" x14ac:dyDescent="0.35">
      <c r="A44" s="19">
        <v>45700</v>
      </c>
      <c r="B44" s="17">
        <v>34103254</v>
      </c>
      <c r="C44" s="17">
        <v>29524043</v>
      </c>
      <c r="D44" s="17">
        <v>3527108.7586206896</v>
      </c>
      <c r="E44" s="17">
        <v>3885301</v>
      </c>
      <c r="F44" s="484">
        <f t="shared" si="0"/>
        <v>3074279.7586206896</v>
      </c>
      <c r="G44" s="484">
        <f t="shared" si="1"/>
        <v>3229039</v>
      </c>
      <c r="H44" s="484">
        <f t="shared" si="2"/>
        <v>452829</v>
      </c>
      <c r="I44" s="484">
        <f t="shared" si="3"/>
        <v>656262</v>
      </c>
      <c r="J44" s="19">
        <v>46064</v>
      </c>
      <c r="K44" s="17">
        <v>4365978.1275330884</v>
      </c>
      <c r="L44" s="17">
        <v>3565403.93838902</v>
      </c>
      <c r="M44" s="17">
        <v>800574.18914406805</v>
      </c>
      <c r="N44" s="17">
        <v>2929364</v>
      </c>
      <c r="O44" s="17">
        <v>3104553</v>
      </c>
      <c r="P44" s="17">
        <v>19632.758620689601</v>
      </c>
      <c r="Q44" s="17">
        <v>22795</v>
      </c>
      <c r="R44" s="17">
        <v>23666</v>
      </c>
      <c r="S44" s="17">
        <v>17436</v>
      </c>
      <c r="T44" s="17">
        <v>8628</v>
      </c>
      <c r="U44" s="17">
        <v>696</v>
      </c>
      <c r="V44" s="17">
        <v>92989</v>
      </c>
      <c r="W44" s="17">
        <v>83559</v>
      </c>
      <c r="X44" s="17">
        <v>286849</v>
      </c>
      <c r="Y44" s="17">
        <v>555761</v>
      </c>
      <c r="Z44" s="17">
        <v>127459</v>
      </c>
      <c r="AA44" s="17">
        <v>71762</v>
      </c>
      <c r="AB44" s="17">
        <v>36103</v>
      </c>
      <c r="AC44" s="17">
        <v>24671</v>
      </c>
      <c r="AD44" s="17">
        <v>2418</v>
      </c>
      <c r="AE44" s="17">
        <v>4503</v>
      </c>
      <c r="AF44" s="17">
        <v>0</v>
      </c>
      <c r="AG44" s="17">
        <v>-435</v>
      </c>
      <c r="AH44" s="17">
        <v>0</v>
      </c>
      <c r="AI44" s="17">
        <v>0</v>
      </c>
      <c r="AJ44" s="54">
        <f t="shared" si="4"/>
        <v>414308</v>
      </c>
      <c r="AK44" s="54">
        <f t="shared" si="5"/>
        <v>627523</v>
      </c>
      <c r="AL44" s="54">
        <f t="shared" si="6"/>
        <v>38521</v>
      </c>
      <c r="AM44" s="54">
        <f t="shared" si="7"/>
        <v>29174</v>
      </c>
      <c r="AN44" s="19">
        <v>46064</v>
      </c>
      <c r="AO44" s="487">
        <f t="shared" si="8"/>
        <v>-0.13427489939816295</v>
      </c>
      <c r="AP44" s="487">
        <f t="shared" si="9"/>
        <v>0.10155406762092167</v>
      </c>
      <c r="AQ44" s="486">
        <f t="shared" si="10"/>
        <v>5.0339999456895601E-2</v>
      </c>
      <c r="AR44" s="486">
        <f t="shared" si="11"/>
        <v>0.44924905427876749</v>
      </c>
      <c r="AS44" s="472">
        <f t="shared" si="12"/>
        <v>5.9804449020333328E-2</v>
      </c>
      <c r="AT44" s="472">
        <f t="shared" si="13"/>
        <v>0.16106964081848041</v>
      </c>
      <c r="AU44" s="472">
        <f t="shared" si="14"/>
        <v>-0.26324685202400067</v>
      </c>
      <c r="AV44" s="472">
        <f t="shared" si="15"/>
        <v>-0.91933240611961053</v>
      </c>
      <c r="AW44" s="472">
        <f t="shared" si="16"/>
        <v>-0.10140984417511745</v>
      </c>
      <c r="AX44" s="472">
        <f t="shared" si="17"/>
        <v>0.93746884249204276</v>
      </c>
      <c r="AY44" s="472">
        <f t="shared" si="18"/>
        <v>-0.43697973465977291</v>
      </c>
      <c r="AZ44" s="472">
        <f t="shared" si="19"/>
        <v>0.51462921304922915</v>
      </c>
      <c r="BA44" s="472">
        <f t="shared" si="20"/>
        <v>-0.31664958590698833</v>
      </c>
      <c r="BB44" s="472">
        <f t="shared" si="21"/>
        <v>0.86228287841191076</v>
      </c>
      <c r="BC44" s="472">
        <f t="shared" si="22"/>
        <v>-0.24264686794216139</v>
      </c>
      <c r="BD44" s="472" t="e">
        <f t="shared" si="25"/>
        <v>#DIV/0!</v>
      </c>
      <c r="BE44" s="472" t="e">
        <f t="shared" si="26"/>
        <v>#DIV/0!</v>
      </c>
    </row>
    <row r="45" spans="1:57" hidden="1" x14ac:dyDescent="0.35">
      <c r="A45" s="16">
        <v>45701</v>
      </c>
      <c r="B45" s="17">
        <v>39504620</v>
      </c>
      <c r="C45" s="17">
        <v>33200957</v>
      </c>
      <c r="D45" s="17">
        <v>2181176.4482758623</v>
      </c>
      <c r="E45" s="17">
        <v>3040218</v>
      </c>
      <c r="F45" s="484">
        <f t="shared" si="0"/>
        <v>1808131.448275862</v>
      </c>
      <c r="G45" s="484">
        <f t="shared" si="1"/>
        <v>2474832</v>
      </c>
      <c r="H45" s="484">
        <f t="shared" si="2"/>
        <v>373045</v>
      </c>
      <c r="I45" s="484">
        <f t="shared" si="3"/>
        <v>565386</v>
      </c>
      <c r="J45" s="19">
        <v>46065</v>
      </c>
      <c r="K45" s="17">
        <v>4277322.4882151699</v>
      </c>
      <c r="L45" s="17">
        <v>3676481.8466480798</v>
      </c>
      <c r="M45" s="17">
        <v>600840.64156708994</v>
      </c>
      <c r="N45" s="17">
        <v>1665220</v>
      </c>
      <c r="O45" s="17">
        <v>2317644</v>
      </c>
      <c r="P45" s="17">
        <v>18078.448275862102</v>
      </c>
      <c r="Q45" s="17">
        <v>25410</v>
      </c>
      <c r="R45" s="17">
        <v>39150</v>
      </c>
      <c r="S45" s="17">
        <v>26530</v>
      </c>
      <c r="T45" s="17">
        <v>4561</v>
      </c>
      <c r="U45" s="17">
        <v>5396</v>
      </c>
      <c r="V45" s="17">
        <v>81122</v>
      </c>
      <c r="W45" s="17">
        <v>99852</v>
      </c>
      <c r="X45" s="17">
        <v>288539</v>
      </c>
      <c r="Y45" s="17">
        <v>459284</v>
      </c>
      <c r="Z45" s="17">
        <v>74526</v>
      </c>
      <c r="AA45" s="17">
        <v>89138</v>
      </c>
      <c r="AB45" s="17">
        <v>6407</v>
      </c>
      <c r="AC45" s="17">
        <v>11692</v>
      </c>
      <c r="AD45" s="17">
        <v>3573</v>
      </c>
      <c r="AE45" s="17">
        <v>1959</v>
      </c>
      <c r="AF45" s="17">
        <v>0</v>
      </c>
      <c r="AG45" s="17">
        <v>3313</v>
      </c>
      <c r="AH45" s="17">
        <v>0</v>
      </c>
      <c r="AI45" s="17">
        <v>0</v>
      </c>
      <c r="AJ45" s="54">
        <f t="shared" si="4"/>
        <v>363065</v>
      </c>
      <c r="AK45" s="54">
        <f t="shared" si="5"/>
        <v>548422</v>
      </c>
      <c r="AL45" s="54">
        <f t="shared" si="6"/>
        <v>9980</v>
      </c>
      <c r="AM45" s="54">
        <f t="shared" si="7"/>
        <v>13651</v>
      </c>
      <c r="AN45" s="19">
        <v>46065</v>
      </c>
      <c r="AO45" s="487">
        <f t="shared" si="8"/>
        <v>-0.15956774169704713</v>
      </c>
      <c r="AP45" s="487">
        <f t="shared" si="9"/>
        <v>0.39384321814183254</v>
      </c>
      <c r="AQ45" s="486">
        <f t="shared" si="10"/>
        <v>0.36872349759740541</v>
      </c>
      <c r="AR45" s="486">
        <f t="shared" si="11"/>
        <v>0.51559731399697095</v>
      </c>
      <c r="AS45" s="472">
        <f t="shared" si="12"/>
        <v>0.3917944776065625</v>
      </c>
      <c r="AT45" s="472">
        <f t="shared" si="13"/>
        <v>0.40554098516999404</v>
      </c>
      <c r="AU45" s="472">
        <f t="shared" si="14"/>
        <v>-0.32234993614303964</v>
      </c>
      <c r="AV45" s="472">
        <f t="shared" si="15"/>
        <v>0.18307388730541541</v>
      </c>
      <c r="AW45" s="472">
        <f t="shared" si="16"/>
        <v>0.23088681245531428</v>
      </c>
      <c r="AX45" s="472">
        <f t="shared" si="17"/>
        <v>0.59175709349516015</v>
      </c>
      <c r="AY45" s="472">
        <f t="shared" si="18"/>
        <v>0.19606580253871142</v>
      </c>
      <c r="AZ45" s="472">
        <f t="shared" si="19"/>
        <v>0.5105339264319062</v>
      </c>
      <c r="BA45" s="472">
        <f t="shared" si="20"/>
        <v>0.82487903855158429</v>
      </c>
      <c r="BB45" s="472">
        <f t="shared" si="21"/>
        <v>-0.45172124265323255</v>
      </c>
      <c r="BC45" s="472">
        <f t="shared" si="22"/>
        <v>0.36783567134268536</v>
      </c>
      <c r="BD45" s="472" t="e">
        <f t="shared" si="25"/>
        <v>#DIV/0!</v>
      </c>
      <c r="BE45" s="472" t="e">
        <f t="shared" si="26"/>
        <v>#DIV/0!</v>
      </c>
    </row>
    <row r="46" spans="1:57" hidden="1" x14ac:dyDescent="0.35">
      <c r="A46" s="19">
        <v>45702</v>
      </c>
      <c r="B46" s="17">
        <v>32593735</v>
      </c>
      <c r="C46" s="17">
        <v>35824613</v>
      </c>
      <c r="D46" s="17">
        <v>1866043.3793103448</v>
      </c>
      <c r="E46" s="17">
        <v>2357865</v>
      </c>
      <c r="F46" s="484">
        <f t="shared" si="0"/>
        <v>1569969.3793103448</v>
      </c>
      <c r="G46" s="484">
        <f t="shared" si="1"/>
        <v>1874650</v>
      </c>
      <c r="H46" s="484">
        <f t="shared" si="2"/>
        <v>296074</v>
      </c>
      <c r="I46" s="484">
        <f t="shared" si="3"/>
        <v>483215</v>
      </c>
      <c r="J46" s="19">
        <v>46066</v>
      </c>
      <c r="K46" s="17">
        <v>2657293.8448046688</v>
      </c>
      <c r="L46" s="17">
        <v>2162315.3934833198</v>
      </c>
      <c r="M46" s="17">
        <v>494978.45132134901</v>
      </c>
      <c r="N46" s="17">
        <v>1401802</v>
      </c>
      <c r="O46" s="17">
        <v>1758784</v>
      </c>
      <c r="P46" s="17">
        <v>14241.379310344801</v>
      </c>
      <c r="Q46" s="17">
        <v>18612</v>
      </c>
      <c r="R46" s="17">
        <v>55802</v>
      </c>
      <c r="S46" s="17">
        <v>25664</v>
      </c>
      <c r="T46" s="17">
        <v>2882</v>
      </c>
      <c r="U46" s="17">
        <v>3330</v>
      </c>
      <c r="V46" s="17">
        <v>95242</v>
      </c>
      <c r="W46" s="17">
        <v>68260</v>
      </c>
      <c r="X46" s="17">
        <v>211719</v>
      </c>
      <c r="Y46" s="17">
        <v>399606</v>
      </c>
      <c r="Z46" s="17">
        <v>60511</v>
      </c>
      <c r="AA46" s="17">
        <v>59102</v>
      </c>
      <c r="AB46" s="17">
        <v>20710</v>
      </c>
      <c r="AC46" s="17">
        <v>14235</v>
      </c>
      <c r="AD46" s="17">
        <v>3134</v>
      </c>
      <c r="AE46" s="17">
        <v>7832</v>
      </c>
      <c r="AF46" s="17">
        <v>0</v>
      </c>
      <c r="AG46" s="17">
        <v>2440</v>
      </c>
      <c r="AH46" s="17">
        <v>0</v>
      </c>
      <c r="AI46" s="17">
        <v>0</v>
      </c>
      <c r="AJ46" s="54">
        <f t="shared" si="4"/>
        <v>272230</v>
      </c>
      <c r="AK46" s="54">
        <f t="shared" si="5"/>
        <v>458708</v>
      </c>
      <c r="AL46" s="54">
        <f t="shared" si="6"/>
        <v>23844</v>
      </c>
      <c r="AM46" s="54">
        <f t="shared" si="7"/>
        <v>22067</v>
      </c>
      <c r="AN46" s="19">
        <v>46066</v>
      </c>
      <c r="AO46" s="487">
        <f t="shared" si="8"/>
        <v>9.912573689391535E-2</v>
      </c>
      <c r="AP46" s="487">
        <f t="shared" si="9"/>
        <v>0.26356387324255204</v>
      </c>
      <c r="AQ46" s="486">
        <f t="shared" si="10"/>
        <v>0.19406787463809971</v>
      </c>
      <c r="AR46" s="486">
        <f t="shared" si="11"/>
        <v>0.63207508933577405</v>
      </c>
      <c r="AS46" s="472">
        <f t="shared" si="12"/>
        <v>0.25465935988106736</v>
      </c>
      <c r="AT46" s="472">
        <f t="shared" si="13"/>
        <v>0.3068958837772422</v>
      </c>
      <c r="AU46" s="472">
        <f t="shared" si="14"/>
        <v>-0.54008816888283573</v>
      </c>
      <c r="AV46" s="472">
        <f t="shared" si="15"/>
        <v>0.1554476058292853</v>
      </c>
      <c r="AW46" s="472">
        <f t="shared" si="16"/>
        <v>-0.28329938472522631</v>
      </c>
      <c r="AX46" s="472">
        <f t="shared" si="17"/>
        <v>0.88743570487296841</v>
      </c>
      <c r="AY46" s="472">
        <f t="shared" si="18"/>
        <v>-2.3285022557882007E-2</v>
      </c>
      <c r="AZ46" s="472">
        <f t="shared" si="19"/>
        <v>0.68500165301399552</v>
      </c>
      <c r="BA46" s="472">
        <f t="shared" si="20"/>
        <v>-0.31265089328826656</v>
      </c>
      <c r="BB46" s="472">
        <f t="shared" si="21"/>
        <v>1.4990427568602427</v>
      </c>
      <c r="BC46" s="472">
        <f t="shared" si="22"/>
        <v>-7.4526086227143074E-2</v>
      </c>
      <c r="BD46" s="472" t="e">
        <f t="shared" si="25"/>
        <v>#DIV/0!</v>
      </c>
      <c r="BE46" s="472" t="e">
        <f t="shared" si="26"/>
        <v>#DIV/0!</v>
      </c>
    </row>
    <row r="47" spans="1:57" hidden="1" x14ac:dyDescent="0.35">
      <c r="A47" s="16">
        <v>45703</v>
      </c>
      <c r="B47" s="17">
        <v>42356911</v>
      </c>
      <c r="C47" s="17">
        <v>40028256</v>
      </c>
      <c r="D47" s="17">
        <v>1856484.5172413792</v>
      </c>
      <c r="E47" s="17">
        <v>1935414</v>
      </c>
      <c r="F47" s="484">
        <f t="shared" si="0"/>
        <v>1571039.5172413792</v>
      </c>
      <c r="G47" s="484">
        <f t="shared" si="1"/>
        <v>1497643</v>
      </c>
      <c r="H47" s="484">
        <f t="shared" si="2"/>
        <v>285445</v>
      </c>
      <c r="I47" s="484">
        <f t="shared" si="3"/>
        <v>437771</v>
      </c>
      <c r="J47" s="19">
        <v>46067</v>
      </c>
      <c r="K47" s="17">
        <v>2270349.9137066589</v>
      </c>
      <c r="L47" s="17">
        <v>1877501.19573291</v>
      </c>
      <c r="M47" s="17">
        <v>392848.71797374898</v>
      </c>
      <c r="N47" s="17">
        <v>1480367</v>
      </c>
      <c r="O47" s="17">
        <v>1400645</v>
      </c>
      <c r="P47" s="17">
        <v>20915.517241379301</v>
      </c>
      <c r="Q47" s="17">
        <v>19588</v>
      </c>
      <c r="R47" s="17">
        <v>13567</v>
      </c>
      <c r="S47" s="17">
        <v>-861</v>
      </c>
      <c r="T47" s="17">
        <v>1142</v>
      </c>
      <c r="U47" s="17">
        <v>1446</v>
      </c>
      <c r="V47" s="17">
        <v>55048</v>
      </c>
      <c r="W47" s="17">
        <v>76825</v>
      </c>
      <c r="X47" s="17">
        <v>234704</v>
      </c>
      <c r="Y47" s="17">
        <v>365354</v>
      </c>
      <c r="Z47" s="17">
        <v>34552</v>
      </c>
      <c r="AA47" s="17">
        <v>48474</v>
      </c>
      <c r="AB47" s="17">
        <v>16189</v>
      </c>
      <c r="AC47" s="17">
        <v>16510</v>
      </c>
      <c r="AD47" s="17">
        <v>0</v>
      </c>
      <c r="AE47" s="17">
        <v>7433</v>
      </c>
      <c r="AF47" s="17">
        <v>0</v>
      </c>
      <c r="AG47" s="17">
        <v>0</v>
      </c>
      <c r="AH47" s="17">
        <v>0</v>
      </c>
      <c r="AI47" s="17">
        <v>0</v>
      </c>
      <c r="AJ47" s="54">
        <f t="shared" si="4"/>
        <v>269256</v>
      </c>
      <c r="AK47" s="54">
        <f t="shared" si="5"/>
        <v>413828</v>
      </c>
      <c r="AL47" s="54">
        <f t="shared" si="6"/>
        <v>16189</v>
      </c>
      <c r="AM47" s="54">
        <f t="shared" si="7"/>
        <v>23943</v>
      </c>
      <c r="AN47" s="19">
        <v>46067</v>
      </c>
      <c r="AO47" s="487">
        <f t="shared" si="8"/>
        <v>-5.4976978845317603E-2</v>
      </c>
      <c r="AP47" s="487">
        <f t="shared" si="9"/>
        <v>4.2515562088233816E-2</v>
      </c>
      <c r="AQ47" s="486">
        <f t="shared" si="10"/>
        <v>-4.6718441156882951E-2</v>
      </c>
      <c r="AR47" s="486">
        <f t="shared" si="11"/>
        <v>0.53364395943176435</v>
      </c>
      <c r="AS47" s="472">
        <f t="shared" si="12"/>
        <v>-5.3852862161882786E-2</v>
      </c>
      <c r="AT47" s="472">
        <f t="shared" si="13"/>
        <v>-6.3470447613551584E-2</v>
      </c>
      <c r="AU47" s="472">
        <f t="shared" si="14"/>
        <v>-1.0634628141814697</v>
      </c>
      <c r="AV47" s="472">
        <f t="shared" si="15"/>
        <v>0.26619964973730292</v>
      </c>
      <c r="AW47" s="472">
        <f t="shared" si="16"/>
        <v>0.39560020345879954</v>
      </c>
      <c r="AX47" s="472">
        <f t="shared" si="17"/>
        <v>0.55665859976821874</v>
      </c>
      <c r="AY47" s="472">
        <f t="shared" si="18"/>
        <v>0.40292891873118775</v>
      </c>
      <c r="AZ47" s="472">
        <f t="shared" si="19"/>
        <v>0.5369313961434472</v>
      </c>
      <c r="BA47" s="472">
        <f t="shared" si="20"/>
        <v>1.9828278460683135E-2</v>
      </c>
      <c r="BB47" s="472" t="e">
        <f t="shared" si="21"/>
        <v>#DIV/0!</v>
      </c>
      <c r="BC47" s="472">
        <f t="shared" si="22"/>
        <v>0.47896719995058379</v>
      </c>
      <c r="BD47" s="472" t="e">
        <f t="shared" si="25"/>
        <v>#DIV/0!</v>
      </c>
      <c r="BE47" s="472" t="e">
        <f t="shared" si="26"/>
        <v>#DIV/0!</v>
      </c>
    </row>
    <row r="48" spans="1:57" hidden="1" x14ac:dyDescent="0.35">
      <c r="A48" s="19">
        <v>45704</v>
      </c>
      <c r="B48" s="17">
        <v>44382937</v>
      </c>
      <c r="C48" s="17">
        <v>41384863</v>
      </c>
      <c r="D48" s="17">
        <v>2548266.7241379311</v>
      </c>
      <c r="E48" s="17">
        <v>2824918</v>
      </c>
      <c r="F48" s="484">
        <f t="shared" si="0"/>
        <v>2045683.7241379309</v>
      </c>
      <c r="G48" s="484">
        <f t="shared" si="1"/>
        <v>2246818</v>
      </c>
      <c r="H48" s="484">
        <f t="shared" si="2"/>
        <v>502583</v>
      </c>
      <c r="I48" s="484">
        <f t="shared" si="3"/>
        <v>578100</v>
      </c>
      <c r="J48" s="19">
        <v>46068</v>
      </c>
      <c r="K48" s="17">
        <v>2257526.4806165611</v>
      </c>
      <c r="L48" s="17">
        <v>1878780.9565178</v>
      </c>
      <c r="M48" s="17">
        <v>378745.52409876097</v>
      </c>
      <c r="N48" s="17">
        <v>1932100</v>
      </c>
      <c r="O48" s="17">
        <v>2149329</v>
      </c>
      <c r="P48" s="17">
        <v>24901.724137931</v>
      </c>
      <c r="Q48" s="17">
        <v>28370</v>
      </c>
      <c r="R48" s="17">
        <v>13663</v>
      </c>
      <c r="S48" s="17">
        <v>178</v>
      </c>
      <c r="T48" s="17">
        <v>2471</v>
      </c>
      <c r="U48" s="17">
        <v>0</v>
      </c>
      <c r="V48" s="17">
        <v>72548</v>
      </c>
      <c r="W48" s="17">
        <v>68941</v>
      </c>
      <c r="X48" s="17">
        <v>370770</v>
      </c>
      <c r="Y48" s="17">
        <v>492948</v>
      </c>
      <c r="Z48" s="17">
        <v>101714</v>
      </c>
      <c r="AA48" s="17">
        <v>50253</v>
      </c>
      <c r="AB48" s="17">
        <v>26966</v>
      </c>
      <c r="AC48" s="17">
        <v>25710</v>
      </c>
      <c r="AD48" s="17">
        <v>3133</v>
      </c>
      <c r="AE48" s="17">
        <v>9189</v>
      </c>
      <c r="AF48" s="17">
        <v>0</v>
      </c>
      <c r="AG48" s="17">
        <v>0</v>
      </c>
      <c r="AH48" s="17">
        <v>0</v>
      </c>
      <c r="AI48" s="17">
        <v>0</v>
      </c>
      <c r="AJ48" s="54">
        <f t="shared" si="4"/>
        <v>472484</v>
      </c>
      <c r="AK48" s="54">
        <f t="shared" si="5"/>
        <v>543201</v>
      </c>
      <c r="AL48" s="54">
        <f t="shared" si="6"/>
        <v>30099</v>
      </c>
      <c r="AM48" s="54">
        <f t="shared" si="7"/>
        <v>34899</v>
      </c>
      <c r="AN48" s="19">
        <v>46068</v>
      </c>
      <c r="AO48" s="487">
        <f t="shared" si="8"/>
        <v>-6.7550148833097734E-2</v>
      </c>
      <c r="AP48" s="487">
        <f t="shared" si="9"/>
        <v>0.10856448943964403</v>
      </c>
      <c r="AQ48" s="486">
        <f t="shared" si="10"/>
        <v>9.8321296439325634E-2</v>
      </c>
      <c r="AR48" s="486">
        <f t="shared" si="11"/>
        <v>0.15025776836860771</v>
      </c>
      <c r="AS48" s="472">
        <f t="shared" si="12"/>
        <v>0.11243155116194803</v>
      </c>
      <c r="AT48" s="472">
        <f t="shared" si="13"/>
        <v>0.13927854323894096</v>
      </c>
      <c r="AU48" s="472">
        <f t="shared" si="14"/>
        <v>-0.98697211446973576</v>
      </c>
      <c r="AV48" s="472">
        <f t="shared" si="15"/>
        <v>-1</v>
      </c>
      <c r="AW48" s="472">
        <f t="shared" si="16"/>
        <v>-4.9718806858907172E-2</v>
      </c>
      <c r="AX48" s="472">
        <f t="shared" si="17"/>
        <v>0.32952504247916492</v>
      </c>
      <c r="AY48" s="472">
        <f t="shared" si="18"/>
        <v>-0.50593821892758128</v>
      </c>
      <c r="AZ48" s="472">
        <f t="shared" si="19"/>
        <v>0.14967067667899858</v>
      </c>
      <c r="BA48" s="472">
        <f t="shared" si="20"/>
        <v>-4.6577171252688565E-2</v>
      </c>
      <c r="BB48" s="472">
        <f t="shared" si="21"/>
        <v>1.9329715927226299</v>
      </c>
      <c r="BC48" s="472">
        <f t="shared" si="22"/>
        <v>0.15947373666899223</v>
      </c>
      <c r="BD48" s="472" t="e">
        <f t="shared" si="25"/>
        <v>#DIV/0!</v>
      </c>
      <c r="BE48" s="472" t="e">
        <f t="shared" si="26"/>
        <v>#DIV/0!</v>
      </c>
    </row>
    <row r="49" spans="1:57" hidden="1" x14ac:dyDescent="0.35">
      <c r="A49" s="16">
        <v>45705</v>
      </c>
      <c r="B49" s="17">
        <v>24063181</v>
      </c>
      <c r="C49" s="17">
        <v>23766868</v>
      </c>
      <c r="D49" s="17">
        <v>3727592.2068965519</v>
      </c>
      <c r="E49" s="17">
        <v>3771955</v>
      </c>
      <c r="F49" s="484">
        <f t="shared" si="0"/>
        <v>3192045.2068965519</v>
      </c>
      <c r="G49" s="484">
        <f t="shared" si="1"/>
        <v>3232861</v>
      </c>
      <c r="H49" s="484">
        <f t="shared" si="2"/>
        <v>535547</v>
      </c>
      <c r="I49" s="484">
        <f t="shared" si="3"/>
        <v>539094</v>
      </c>
      <c r="J49" s="19">
        <v>46069</v>
      </c>
      <c r="K49" s="17">
        <v>3113257.5784652401</v>
      </c>
      <c r="L49" s="17">
        <v>2446400.3494434399</v>
      </c>
      <c r="M49" s="17">
        <v>666857.22902179998</v>
      </c>
      <c r="N49" s="17">
        <v>3064112</v>
      </c>
      <c r="O49" s="17">
        <v>3080170</v>
      </c>
      <c r="P49" s="17">
        <v>18136.206896551699</v>
      </c>
      <c r="Q49" s="17">
        <v>24995</v>
      </c>
      <c r="R49" s="17">
        <v>41372</v>
      </c>
      <c r="S49" s="17">
        <v>27259</v>
      </c>
      <c r="T49" s="17">
        <v>9059</v>
      </c>
      <c r="U49" s="17">
        <v>2265</v>
      </c>
      <c r="V49" s="17">
        <v>59366</v>
      </c>
      <c r="W49" s="17">
        <v>98172</v>
      </c>
      <c r="X49" s="17">
        <v>381579</v>
      </c>
      <c r="Y49" s="17">
        <v>460199</v>
      </c>
      <c r="Z49" s="17">
        <v>106292</v>
      </c>
      <c r="AA49" s="17">
        <v>48934</v>
      </c>
      <c r="AB49" s="17">
        <v>40654</v>
      </c>
      <c r="AC49" s="17">
        <v>24099</v>
      </c>
      <c r="AD49" s="17">
        <v>7022</v>
      </c>
      <c r="AE49" s="17">
        <v>5432</v>
      </c>
      <c r="AF49" s="17">
        <v>0</v>
      </c>
      <c r="AG49" s="17">
        <v>430</v>
      </c>
      <c r="AH49" s="17">
        <v>0</v>
      </c>
      <c r="AI49" s="17">
        <v>0</v>
      </c>
      <c r="AJ49" s="54">
        <f t="shared" si="4"/>
        <v>487871</v>
      </c>
      <c r="AK49" s="54">
        <f t="shared" si="5"/>
        <v>509133</v>
      </c>
      <c r="AL49" s="54">
        <f t="shared" si="6"/>
        <v>47676</v>
      </c>
      <c r="AM49" s="54">
        <f t="shared" si="7"/>
        <v>29531</v>
      </c>
      <c r="AN49" s="19">
        <v>46069</v>
      </c>
      <c r="AO49" s="487">
        <f t="shared" si="8"/>
        <v>-1.2313957992503122E-2</v>
      </c>
      <c r="AP49" s="487">
        <f t="shared" si="9"/>
        <v>1.1901192684481643E-2</v>
      </c>
      <c r="AQ49" s="486">
        <f t="shared" si="10"/>
        <v>1.2786721508600163E-2</v>
      </c>
      <c r="AR49" s="486">
        <f t="shared" si="11"/>
        <v>6.6231348509093735E-3</v>
      </c>
      <c r="AS49" s="472">
        <f t="shared" si="12"/>
        <v>5.2406700538361051E-3</v>
      </c>
      <c r="AT49" s="472">
        <f t="shared" si="13"/>
        <v>0.37818233672402513</v>
      </c>
      <c r="AU49" s="472">
        <f t="shared" si="14"/>
        <v>-0.3411244319829837</v>
      </c>
      <c r="AV49" s="472">
        <f t="shared" si="15"/>
        <v>-0.74997240313500391</v>
      </c>
      <c r="AW49" s="472">
        <f t="shared" si="16"/>
        <v>0.65367382003166785</v>
      </c>
      <c r="AX49" s="472">
        <f t="shared" si="17"/>
        <v>0.206038592270539</v>
      </c>
      <c r="AY49" s="472">
        <f t="shared" si="18"/>
        <v>-0.53962668874421404</v>
      </c>
      <c r="AZ49" s="472">
        <f t="shared" si="19"/>
        <v>4.3581192569347227E-2</v>
      </c>
      <c r="BA49" s="472">
        <f t="shared" si="20"/>
        <v>-0.40721700201702171</v>
      </c>
      <c r="BB49" s="472">
        <f t="shared" si="21"/>
        <v>-0.2264312161777271</v>
      </c>
      <c r="BC49" s="472">
        <f t="shared" si="22"/>
        <v>-0.38058981458176022</v>
      </c>
      <c r="BD49" s="472" t="e">
        <f t="shared" si="25"/>
        <v>#DIV/0!</v>
      </c>
      <c r="BE49" s="472" t="e">
        <f t="shared" si="26"/>
        <v>#DIV/0!</v>
      </c>
    </row>
    <row r="50" spans="1:57" hidden="1" x14ac:dyDescent="0.35">
      <c r="A50" s="19">
        <v>45706</v>
      </c>
      <c r="B50" s="17">
        <v>28049331</v>
      </c>
      <c r="C50" s="17">
        <v>26877030</v>
      </c>
      <c r="D50" s="17">
        <v>3637684.9655172415</v>
      </c>
      <c r="E50" s="17">
        <v>4296342</v>
      </c>
      <c r="F50" s="484">
        <f t="shared" si="0"/>
        <v>3214224.9655172415</v>
      </c>
      <c r="G50" s="484">
        <f t="shared" si="1"/>
        <v>3752177</v>
      </c>
      <c r="H50" s="484">
        <f t="shared" si="2"/>
        <v>423460</v>
      </c>
      <c r="I50" s="484">
        <f t="shared" si="3"/>
        <v>544165</v>
      </c>
      <c r="J50" s="19">
        <v>46070</v>
      </c>
      <c r="K50" s="17">
        <v>4527911.4958415478</v>
      </c>
      <c r="L50" s="17">
        <v>3817315.6570827002</v>
      </c>
      <c r="M50" s="17">
        <v>710595.83875884803</v>
      </c>
      <c r="N50" s="17">
        <v>3088415</v>
      </c>
      <c r="O50" s="17">
        <v>3594147</v>
      </c>
      <c r="P50" s="17">
        <v>23043.965517241399</v>
      </c>
      <c r="Q50" s="17">
        <v>26861</v>
      </c>
      <c r="R50" s="17">
        <v>65981</v>
      </c>
      <c r="S50" s="17">
        <v>48038</v>
      </c>
      <c r="T50" s="17">
        <v>7052</v>
      </c>
      <c r="U50" s="17">
        <v>4918</v>
      </c>
      <c r="V50" s="17">
        <v>29733</v>
      </c>
      <c r="W50" s="17">
        <v>78213</v>
      </c>
      <c r="X50" s="17">
        <v>361184</v>
      </c>
      <c r="Y50" s="17">
        <v>470863</v>
      </c>
      <c r="Z50" s="17">
        <v>44740</v>
      </c>
      <c r="AA50" s="17">
        <v>44216</v>
      </c>
      <c r="AB50" s="17">
        <v>15384</v>
      </c>
      <c r="AC50" s="17">
        <v>21475</v>
      </c>
      <c r="AD50" s="17">
        <v>2152</v>
      </c>
      <c r="AE50" s="17">
        <v>6664</v>
      </c>
      <c r="AF50" s="17">
        <v>0</v>
      </c>
      <c r="AG50" s="17">
        <v>0</v>
      </c>
      <c r="AH50" s="17">
        <v>0</v>
      </c>
      <c r="AI50" s="17">
        <v>947</v>
      </c>
      <c r="AJ50" s="54">
        <f t="shared" si="4"/>
        <v>405924</v>
      </c>
      <c r="AK50" s="54">
        <f t="shared" si="5"/>
        <v>515079</v>
      </c>
      <c r="AL50" s="54">
        <f t="shared" si="6"/>
        <v>17536</v>
      </c>
      <c r="AM50" s="54">
        <f t="shared" si="7"/>
        <v>28139</v>
      </c>
      <c r="AN50" s="19">
        <v>46070</v>
      </c>
      <c r="AO50" s="487">
        <f t="shared" si="8"/>
        <v>-4.1794258836333698E-2</v>
      </c>
      <c r="AP50" s="487">
        <f t="shared" si="9"/>
        <v>0.18106489174471552</v>
      </c>
      <c r="AQ50" s="486">
        <f t="shared" si="10"/>
        <v>0.16736601832603526</v>
      </c>
      <c r="AR50" s="486">
        <f t="shared" si="11"/>
        <v>0.28504463231474042</v>
      </c>
      <c r="AS50" s="472">
        <f t="shared" si="12"/>
        <v>0.1637513093285714</v>
      </c>
      <c r="AT50" s="472">
        <f t="shared" si="13"/>
        <v>0.16564139014627122</v>
      </c>
      <c r="AU50" s="472">
        <f t="shared" si="14"/>
        <v>-0.2719419226747094</v>
      </c>
      <c r="AV50" s="472">
        <f t="shared" si="15"/>
        <v>-0.30260918888258648</v>
      </c>
      <c r="AW50" s="472">
        <f t="shared" si="16"/>
        <v>1.6305115528200989</v>
      </c>
      <c r="AX50" s="472">
        <f t="shared" si="17"/>
        <v>0.3036651678922655</v>
      </c>
      <c r="AY50" s="472">
        <f t="shared" si="18"/>
        <v>-1.1712114438980792E-2</v>
      </c>
      <c r="AZ50" s="472">
        <f t="shared" si="19"/>
        <v>0.26890501670263389</v>
      </c>
      <c r="BA50" s="472">
        <f t="shared" si="20"/>
        <v>0.39593083723348932</v>
      </c>
      <c r="BB50" s="472">
        <f t="shared" si="21"/>
        <v>2.0966542750929369</v>
      </c>
      <c r="BC50" s="472">
        <f t="shared" si="22"/>
        <v>0.60464187956204385</v>
      </c>
      <c r="BD50" s="472" t="e">
        <f t="shared" si="25"/>
        <v>#DIV/0!</v>
      </c>
      <c r="BE50" s="472" t="e">
        <f t="shared" si="26"/>
        <v>#DIV/0!</v>
      </c>
    </row>
    <row r="51" spans="1:57" hidden="1" x14ac:dyDescent="0.35">
      <c r="A51" s="16">
        <v>45707</v>
      </c>
      <c r="B51" s="17">
        <v>28881637</v>
      </c>
      <c r="C51" s="17">
        <v>29417270</v>
      </c>
      <c r="D51" s="17">
        <v>3611181.0344827585</v>
      </c>
      <c r="E51" s="17">
        <v>4222647</v>
      </c>
      <c r="F51" s="484">
        <f t="shared" si="0"/>
        <v>3270269.0344827585</v>
      </c>
      <c r="G51" s="484">
        <f t="shared" si="1"/>
        <v>3691532</v>
      </c>
      <c r="H51" s="484">
        <f t="shared" si="2"/>
        <v>340912</v>
      </c>
      <c r="I51" s="484">
        <f t="shared" si="3"/>
        <v>531115</v>
      </c>
      <c r="J51" s="19">
        <v>46071</v>
      </c>
      <c r="K51" s="17">
        <v>4405712.1677858885</v>
      </c>
      <c r="L51" s="17">
        <v>3843840.0746160601</v>
      </c>
      <c r="M51" s="17">
        <v>561872.09316982795</v>
      </c>
      <c r="N51" s="17">
        <v>3113676</v>
      </c>
      <c r="O51" s="17">
        <v>3559563</v>
      </c>
      <c r="P51" s="17">
        <v>21506.034482758601</v>
      </c>
      <c r="Q51" s="17">
        <v>23843</v>
      </c>
      <c r="R51" s="17">
        <v>65670</v>
      </c>
      <c r="S51" s="17">
        <v>14662</v>
      </c>
      <c r="T51" s="17">
        <v>2633</v>
      </c>
      <c r="U51" s="17">
        <v>1851</v>
      </c>
      <c r="V51" s="17">
        <v>66784</v>
      </c>
      <c r="W51" s="17">
        <v>91613</v>
      </c>
      <c r="X51" s="17">
        <v>295101</v>
      </c>
      <c r="Y51" s="17">
        <v>453814</v>
      </c>
      <c r="Z51" s="17">
        <v>30136</v>
      </c>
      <c r="AA51" s="17">
        <v>39979</v>
      </c>
      <c r="AB51" s="17">
        <v>13695</v>
      </c>
      <c r="AC51" s="17">
        <v>30090</v>
      </c>
      <c r="AD51" s="17">
        <v>1980</v>
      </c>
      <c r="AE51" s="17">
        <v>3873</v>
      </c>
      <c r="AF51" s="17">
        <v>0</v>
      </c>
      <c r="AG51" s="17">
        <v>3359</v>
      </c>
      <c r="AH51" s="17">
        <v>0</v>
      </c>
      <c r="AI51" s="17">
        <v>0</v>
      </c>
      <c r="AJ51" s="54">
        <f t="shared" si="4"/>
        <v>325237</v>
      </c>
      <c r="AK51" s="54">
        <f t="shared" si="5"/>
        <v>493793</v>
      </c>
      <c r="AL51" s="54">
        <f t="shared" si="6"/>
        <v>15675</v>
      </c>
      <c r="AM51" s="54">
        <f t="shared" si="7"/>
        <v>33963</v>
      </c>
      <c r="AN51" s="19">
        <v>46071</v>
      </c>
      <c r="AO51" s="487">
        <f t="shared" si="8"/>
        <v>1.8545797802250519E-2</v>
      </c>
      <c r="AP51" s="487">
        <f t="shared" si="9"/>
        <v>0.16932575788320281</v>
      </c>
      <c r="AQ51" s="486">
        <f t="shared" si="10"/>
        <v>0.12881599681106071</v>
      </c>
      <c r="AR51" s="486">
        <f t="shared" si="11"/>
        <v>0.55792403904820009</v>
      </c>
      <c r="AS51" s="472">
        <f t="shared" si="12"/>
        <v>0.14320276098091123</v>
      </c>
      <c r="AT51" s="472">
        <f t="shared" si="13"/>
        <v>0.1086655710105433</v>
      </c>
      <c r="AU51" s="472">
        <f t="shared" si="14"/>
        <v>-0.77673214557636672</v>
      </c>
      <c r="AV51" s="472">
        <f t="shared" si="15"/>
        <v>-0.2969996202050893</v>
      </c>
      <c r="AW51" s="472">
        <f t="shared" si="16"/>
        <v>0.37178066602779114</v>
      </c>
      <c r="AX51" s="472">
        <f t="shared" si="17"/>
        <v>0.53782603244312965</v>
      </c>
      <c r="AY51" s="472">
        <f t="shared" si="18"/>
        <v>0.32661932572338737</v>
      </c>
      <c r="AZ51" s="472">
        <f t="shared" si="19"/>
        <v>0.51825591799211046</v>
      </c>
      <c r="BA51" s="472">
        <f t="shared" si="20"/>
        <v>1.1971522453450163</v>
      </c>
      <c r="BB51" s="472">
        <f t="shared" si="21"/>
        <v>0.95606060606060606</v>
      </c>
      <c r="BC51" s="472">
        <f t="shared" si="22"/>
        <v>1.1666985645933012</v>
      </c>
      <c r="BD51" s="472" t="e">
        <f t="shared" si="25"/>
        <v>#DIV/0!</v>
      </c>
      <c r="BE51" s="472" t="e">
        <f t="shared" si="26"/>
        <v>#DIV/0!</v>
      </c>
    </row>
    <row r="52" spans="1:57" hidden="1" x14ac:dyDescent="0.35">
      <c r="A52" s="19">
        <v>45708</v>
      </c>
      <c r="B52" s="17">
        <v>35987596</v>
      </c>
      <c r="C52" s="17">
        <v>35456665</v>
      </c>
      <c r="D52" s="17">
        <v>2980934.1724137929</v>
      </c>
      <c r="E52" s="17">
        <v>3887411</v>
      </c>
      <c r="F52" s="484">
        <f t="shared" si="0"/>
        <v>2563659.1724137929</v>
      </c>
      <c r="G52" s="484">
        <f t="shared" si="1"/>
        <v>3447333</v>
      </c>
      <c r="H52" s="484">
        <f t="shared" si="2"/>
        <v>417275</v>
      </c>
      <c r="I52" s="484">
        <f t="shared" si="3"/>
        <v>440078</v>
      </c>
      <c r="J52" s="19">
        <v>46072</v>
      </c>
      <c r="K52" s="17">
        <v>4363204.7398105757</v>
      </c>
      <c r="L52" s="17">
        <v>3910862.27764954</v>
      </c>
      <c r="M52" s="17">
        <v>452342.46216103598</v>
      </c>
      <c r="N52" s="17">
        <v>2421357</v>
      </c>
      <c r="O52" s="17">
        <v>3329797</v>
      </c>
      <c r="P52" s="17">
        <v>22405.172413793101</v>
      </c>
      <c r="Q52" s="17">
        <v>27971</v>
      </c>
      <c r="R52" s="17">
        <v>55891</v>
      </c>
      <c r="S52" s="17">
        <v>23965</v>
      </c>
      <c r="T52" s="17">
        <v>2576</v>
      </c>
      <c r="U52" s="17">
        <v>344</v>
      </c>
      <c r="V52" s="17">
        <v>61430</v>
      </c>
      <c r="W52" s="17">
        <v>65256</v>
      </c>
      <c r="X52" s="17">
        <v>357973</v>
      </c>
      <c r="Y52" s="17">
        <v>368888</v>
      </c>
      <c r="Z52" s="17">
        <v>24350</v>
      </c>
      <c r="AA52" s="17">
        <v>35313</v>
      </c>
      <c r="AB52" s="17">
        <v>28074</v>
      </c>
      <c r="AC52" s="17">
        <v>25716</v>
      </c>
      <c r="AD52" s="17">
        <v>6878</v>
      </c>
      <c r="AE52" s="17">
        <v>7482</v>
      </c>
      <c r="AF52" s="17">
        <v>0</v>
      </c>
      <c r="AG52" s="17">
        <v>1990</v>
      </c>
      <c r="AH52" s="17">
        <v>0</v>
      </c>
      <c r="AI52" s="17">
        <v>689</v>
      </c>
      <c r="AJ52" s="54">
        <f t="shared" si="4"/>
        <v>382323</v>
      </c>
      <c r="AK52" s="54">
        <f t="shared" si="5"/>
        <v>404201</v>
      </c>
      <c r="AL52" s="54">
        <f t="shared" si="6"/>
        <v>34952</v>
      </c>
      <c r="AM52" s="54">
        <f t="shared" si="7"/>
        <v>33198</v>
      </c>
      <c r="AN52" s="19">
        <v>46072</v>
      </c>
      <c r="AO52" s="487">
        <f t="shared" si="8"/>
        <v>-1.4753166618853841E-2</v>
      </c>
      <c r="AP52" s="487">
        <f t="shared" si="9"/>
        <v>0.30409152807698292</v>
      </c>
      <c r="AQ52" s="486">
        <f t="shared" si="10"/>
        <v>0.34469239791894446</v>
      </c>
      <c r="AR52" s="486">
        <f t="shared" si="11"/>
        <v>5.4647414774429359E-2</v>
      </c>
      <c r="AS52" s="472">
        <f t="shared" si="12"/>
        <v>0.37517805098545987</v>
      </c>
      <c r="AT52" s="472">
        <f t="shared" si="13"/>
        <v>0.24841708349365144</v>
      </c>
      <c r="AU52" s="472">
        <f t="shared" si="14"/>
        <v>-0.57121897979996783</v>
      </c>
      <c r="AV52" s="472">
        <f t="shared" si="15"/>
        <v>-0.86645962732919257</v>
      </c>
      <c r="AW52" s="472">
        <f t="shared" si="16"/>
        <v>6.2282272505290504E-2</v>
      </c>
      <c r="AX52" s="472">
        <f t="shared" si="17"/>
        <v>3.0491126425735926E-2</v>
      </c>
      <c r="AY52" s="472">
        <f t="shared" si="18"/>
        <v>0.45022587268993841</v>
      </c>
      <c r="AZ52" s="472">
        <f t="shared" si="19"/>
        <v>5.7223865684251196E-2</v>
      </c>
      <c r="BA52" s="472">
        <f t="shared" si="20"/>
        <v>-8.399230604830088E-2</v>
      </c>
      <c r="BB52" s="472">
        <f t="shared" si="21"/>
        <v>8.781622564699032E-2</v>
      </c>
      <c r="BC52" s="472">
        <f t="shared" si="22"/>
        <v>-5.0183108262760401E-2</v>
      </c>
      <c r="BD52" s="472" t="e">
        <f t="shared" si="25"/>
        <v>#DIV/0!</v>
      </c>
      <c r="BE52" s="472" t="e">
        <f t="shared" si="26"/>
        <v>#DIV/0!</v>
      </c>
    </row>
    <row r="53" spans="1:57" hidden="1" x14ac:dyDescent="0.35">
      <c r="A53" s="16">
        <v>45709</v>
      </c>
      <c r="B53" s="17">
        <v>36080831</v>
      </c>
      <c r="C53" s="17">
        <v>36977163</v>
      </c>
      <c r="D53" s="17">
        <v>2474773.3793103448</v>
      </c>
      <c r="E53" s="17">
        <v>3130136</v>
      </c>
      <c r="F53" s="484">
        <f t="shared" si="0"/>
        <v>2066652.3793103448</v>
      </c>
      <c r="G53" s="484">
        <f t="shared" si="1"/>
        <v>2727280</v>
      </c>
      <c r="H53" s="484">
        <f t="shared" si="2"/>
        <v>408121</v>
      </c>
      <c r="I53" s="484">
        <f t="shared" si="3"/>
        <v>402856</v>
      </c>
      <c r="J53" s="19">
        <v>46073</v>
      </c>
      <c r="K53" s="17">
        <v>3619504.3435171871</v>
      </c>
      <c r="L53" s="17">
        <v>3065838.8788276301</v>
      </c>
      <c r="M53" s="17">
        <v>553665.46468955697</v>
      </c>
      <c r="N53" s="17">
        <v>1897795</v>
      </c>
      <c r="O53" s="17">
        <v>2545784</v>
      </c>
      <c r="P53" s="17">
        <v>20191.379310344801</v>
      </c>
      <c r="Q53" s="17">
        <v>20127</v>
      </c>
      <c r="R53" s="17">
        <v>54966</v>
      </c>
      <c r="S53" s="17">
        <v>11485</v>
      </c>
      <c r="T53" s="17">
        <v>2375</v>
      </c>
      <c r="U53" s="17">
        <v>1656</v>
      </c>
      <c r="V53" s="17">
        <v>91325</v>
      </c>
      <c r="W53" s="17">
        <v>148228</v>
      </c>
      <c r="X53" s="17">
        <v>346747</v>
      </c>
      <c r="Y53" s="17">
        <v>360812</v>
      </c>
      <c r="Z53" s="17">
        <v>33465</v>
      </c>
      <c r="AA53" s="17">
        <v>21316</v>
      </c>
      <c r="AB53" s="17">
        <v>19690</v>
      </c>
      <c r="AC53" s="17">
        <v>16275</v>
      </c>
      <c r="AD53" s="17">
        <v>8219</v>
      </c>
      <c r="AE53" s="17">
        <v>3147</v>
      </c>
      <c r="AF53" s="17">
        <v>0</v>
      </c>
      <c r="AG53" s="17">
        <v>1306</v>
      </c>
      <c r="AH53" s="17">
        <v>0</v>
      </c>
      <c r="AI53" s="17">
        <v>0</v>
      </c>
      <c r="AJ53" s="54">
        <f t="shared" si="4"/>
        <v>380212</v>
      </c>
      <c r="AK53" s="54">
        <f t="shared" si="5"/>
        <v>382128</v>
      </c>
      <c r="AL53" s="54">
        <f t="shared" si="6"/>
        <v>27909</v>
      </c>
      <c r="AM53" s="54">
        <f t="shared" si="7"/>
        <v>19422</v>
      </c>
      <c r="AN53" s="19">
        <v>46073</v>
      </c>
      <c r="AO53" s="487">
        <f t="shared" si="8"/>
        <v>2.4842332483971941E-2</v>
      </c>
      <c r="AP53" s="487">
        <f t="shared" si="9"/>
        <v>0.2648172257583794</v>
      </c>
      <c r="AQ53" s="486">
        <f t="shared" si="10"/>
        <v>0.31966073603056122</v>
      </c>
      <c r="AR53" s="486">
        <f t="shared" si="11"/>
        <v>-1.2900585855665336E-2</v>
      </c>
      <c r="AS53" s="472">
        <f t="shared" si="12"/>
        <v>0.34144309580328747</v>
      </c>
      <c r="AT53" s="472">
        <f t="shared" si="13"/>
        <v>-3.1884552984360326E-3</v>
      </c>
      <c r="AU53" s="472">
        <f t="shared" si="14"/>
        <v>-0.7910526507295419</v>
      </c>
      <c r="AV53" s="472">
        <f t="shared" si="15"/>
        <v>-0.30273684210526319</v>
      </c>
      <c r="AW53" s="472">
        <f t="shared" si="16"/>
        <v>0.62308239802901721</v>
      </c>
      <c r="AX53" s="472">
        <f t="shared" si="17"/>
        <v>4.0562715755291245E-2</v>
      </c>
      <c r="AY53" s="472">
        <f t="shared" si="18"/>
        <v>-0.36303600776931122</v>
      </c>
      <c r="AZ53" s="472">
        <f t="shared" si="19"/>
        <v>5.0392938676318E-3</v>
      </c>
      <c r="BA53" s="472">
        <f t="shared" si="20"/>
        <v>-0.17343829355002538</v>
      </c>
      <c r="BB53" s="472">
        <f t="shared" si="21"/>
        <v>-0.61710670397858625</v>
      </c>
      <c r="BC53" s="472">
        <f t="shared" si="22"/>
        <v>-0.30409545307965169</v>
      </c>
      <c r="BD53" s="472" t="e">
        <f t="shared" si="25"/>
        <v>#DIV/0!</v>
      </c>
      <c r="BE53" s="472" t="e">
        <f t="shared" si="26"/>
        <v>#DIV/0!</v>
      </c>
    </row>
    <row r="54" spans="1:57" hidden="1" x14ac:dyDescent="0.35">
      <c r="A54" s="19">
        <v>45710</v>
      </c>
      <c r="B54" s="17">
        <v>47042220</v>
      </c>
      <c r="C54" s="17">
        <v>49550104</v>
      </c>
      <c r="D54" s="17">
        <v>2208107.7241379311</v>
      </c>
      <c r="E54" s="17">
        <v>2671722</v>
      </c>
      <c r="F54" s="484">
        <f t="shared" si="0"/>
        <v>1815903.7241379309</v>
      </c>
      <c r="G54" s="484">
        <f t="shared" si="1"/>
        <v>2260720</v>
      </c>
      <c r="H54" s="484">
        <f t="shared" si="2"/>
        <v>392204</v>
      </c>
      <c r="I54" s="484">
        <f t="shared" si="3"/>
        <v>411002</v>
      </c>
      <c r="J54" s="19">
        <v>46074</v>
      </c>
      <c r="K54" s="17">
        <v>3012995.8169579371</v>
      </c>
      <c r="L54" s="17">
        <v>2471476.4277911601</v>
      </c>
      <c r="M54" s="17">
        <v>541519.38916677702</v>
      </c>
      <c r="N54" s="17">
        <v>1719612</v>
      </c>
      <c r="O54" s="17">
        <v>2157328</v>
      </c>
      <c r="P54" s="17">
        <v>22776.724137931</v>
      </c>
      <c r="Q54" s="17">
        <v>28829</v>
      </c>
      <c r="R54" s="17">
        <v>25877</v>
      </c>
      <c r="S54" s="17">
        <v>12510</v>
      </c>
      <c r="T54" s="17">
        <v>3459</v>
      </c>
      <c r="U54" s="17">
        <v>215</v>
      </c>
      <c r="V54" s="17">
        <v>44179</v>
      </c>
      <c r="W54" s="17">
        <v>61838</v>
      </c>
      <c r="X54" s="17">
        <v>327055</v>
      </c>
      <c r="Y54" s="17">
        <v>366612</v>
      </c>
      <c r="Z54" s="17">
        <v>34049</v>
      </c>
      <c r="AA54" s="17">
        <v>23690</v>
      </c>
      <c r="AB54" s="17">
        <v>21382</v>
      </c>
      <c r="AC54" s="17">
        <v>14858</v>
      </c>
      <c r="AD54" s="17">
        <v>9718</v>
      </c>
      <c r="AE54" s="17">
        <v>4463</v>
      </c>
      <c r="AF54" s="17">
        <v>0</v>
      </c>
      <c r="AG54" s="17">
        <v>1379</v>
      </c>
      <c r="AH54" s="17">
        <v>0</v>
      </c>
      <c r="AI54" s="17">
        <v>0</v>
      </c>
      <c r="AJ54" s="54">
        <f t="shared" si="4"/>
        <v>361104</v>
      </c>
      <c r="AK54" s="54">
        <f t="shared" si="5"/>
        <v>390302</v>
      </c>
      <c r="AL54" s="54">
        <f t="shared" si="6"/>
        <v>31100</v>
      </c>
      <c r="AM54" s="54">
        <f t="shared" si="7"/>
        <v>19321</v>
      </c>
      <c r="AN54" s="19">
        <v>46074</v>
      </c>
      <c r="AO54" s="487">
        <f t="shared" si="8"/>
        <v>5.3311344575149633E-2</v>
      </c>
      <c r="AP54" s="487">
        <f t="shared" si="9"/>
        <v>0.20995999008294253</v>
      </c>
      <c r="AQ54" s="486">
        <f t="shared" si="10"/>
        <v>0.24495586960329518</v>
      </c>
      <c r="AR54" s="486">
        <f t="shared" si="11"/>
        <v>4.7929138917502057E-2</v>
      </c>
      <c r="AS54" s="472">
        <f t="shared" si="12"/>
        <v>0.25454346678204143</v>
      </c>
      <c r="AT54" s="472">
        <f t="shared" si="13"/>
        <v>0.2657219635895709</v>
      </c>
      <c r="AU54" s="472">
        <f t="shared" si="14"/>
        <v>-0.51655910654248949</v>
      </c>
      <c r="AV54" s="472">
        <f t="shared" si="15"/>
        <v>-0.93784330731425269</v>
      </c>
      <c r="AW54" s="472">
        <f t="shared" si="16"/>
        <v>0.39971479662282983</v>
      </c>
      <c r="AX54" s="472">
        <f t="shared" si="17"/>
        <v>0.12094907584351255</v>
      </c>
      <c r="AY54" s="472">
        <f t="shared" si="18"/>
        <v>-0.30423800992687011</v>
      </c>
      <c r="AZ54" s="472">
        <f t="shared" si="19"/>
        <v>8.0857592272586265E-2</v>
      </c>
      <c r="BA54" s="472">
        <f t="shared" si="20"/>
        <v>-0.30511645309138524</v>
      </c>
      <c r="BB54" s="472">
        <f t="shared" si="21"/>
        <v>-0.54074912533443098</v>
      </c>
      <c r="BC54" s="472">
        <f t="shared" si="22"/>
        <v>-0.37874598070739551</v>
      </c>
      <c r="BD54" s="472" t="e">
        <f t="shared" si="25"/>
        <v>#DIV/0!</v>
      </c>
      <c r="BE54" s="472" t="e">
        <f t="shared" si="26"/>
        <v>#DIV/0!</v>
      </c>
    </row>
    <row r="55" spans="1:57" hidden="1" x14ac:dyDescent="0.35">
      <c r="A55" s="16">
        <v>45711</v>
      </c>
      <c r="B55" s="17">
        <v>46157405</v>
      </c>
      <c r="C55" s="17">
        <v>40534030</v>
      </c>
      <c r="D55" s="17">
        <v>2545543.6206896552</v>
      </c>
      <c r="E55" s="17">
        <v>2833535</v>
      </c>
      <c r="F55" s="484">
        <f t="shared" si="0"/>
        <v>2115925.6206896552</v>
      </c>
      <c r="G55" s="484">
        <f t="shared" si="1"/>
        <v>2474647</v>
      </c>
      <c r="H55" s="484">
        <f t="shared" si="2"/>
        <v>429618</v>
      </c>
      <c r="I55" s="484">
        <f t="shared" si="3"/>
        <v>358888</v>
      </c>
      <c r="J55" s="19">
        <v>46075</v>
      </c>
      <c r="K55" s="17">
        <v>2692009.8936478598</v>
      </c>
      <c r="L55" s="17">
        <v>2171610.1335062198</v>
      </c>
      <c r="M55" s="17">
        <v>520399.76014164003</v>
      </c>
      <c r="N55" s="17">
        <v>1980647</v>
      </c>
      <c r="O55" s="17">
        <v>2371363</v>
      </c>
      <c r="P55" s="17">
        <v>20783.620689655199</v>
      </c>
      <c r="Q55" s="17">
        <v>29955</v>
      </c>
      <c r="R55" s="17">
        <v>20320</v>
      </c>
      <c r="S55" s="17">
        <v>-835</v>
      </c>
      <c r="T55" s="17">
        <v>1308</v>
      </c>
      <c r="U55" s="17">
        <v>361</v>
      </c>
      <c r="V55" s="17">
        <v>92867</v>
      </c>
      <c r="W55" s="17">
        <v>73803</v>
      </c>
      <c r="X55" s="17">
        <v>375118</v>
      </c>
      <c r="Y55" s="17">
        <v>303085</v>
      </c>
      <c r="Z55" s="17">
        <v>29980</v>
      </c>
      <c r="AA55" s="17">
        <v>29461</v>
      </c>
      <c r="AB55" s="17">
        <v>15301</v>
      </c>
      <c r="AC55" s="17">
        <v>21582</v>
      </c>
      <c r="AD55" s="17">
        <v>9219</v>
      </c>
      <c r="AE55" s="17">
        <v>4347</v>
      </c>
      <c r="AF55" s="17">
        <v>0</v>
      </c>
      <c r="AG55" s="17">
        <v>413</v>
      </c>
      <c r="AH55" s="17">
        <v>0</v>
      </c>
      <c r="AI55" s="17">
        <v>0</v>
      </c>
      <c r="AJ55" s="54">
        <f t="shared" si="4"/>
        <v>405098</v>
      </c>
      <c r="AK55" s="54">
        <f t="shared" si="5"/>
        <v>332546</v>
      </c>
      <c r="AL55" s="54">
        <f t="shared" si="6"/>
        <v>24520</v>
      </c>
      <c r="AM55" s="54">
        <f t="shared" si="7"/>
        <v>25929</v>
      </c>
      <c r="AN55" s="19">
        <v>46075</v>
      </c>
      <c r="AO55" s="487">
        <f t="shared" si="8"/>
        <v>-0.12183039752776392</v>
      </c>
      <c r="AP55" s="487">
        <f t="shared" si="9"/>
        <v>0.11313551139709799</v>
      </c>
      <c r="AQ55" s="486">
        <f t="shared" si="10"/>
        <v>0.1695340213298353</v>
      </c>
      <c r="AR55" s="486">
        <f t="shared" si="11"/>
        <v>-0.16463462890288583</v>
      </c>
      <c r="AS55" s="472">
        <f t="shared" si="12"/>
        <v>0.19726685270015309</v>
      </c>
      <c r="AT55" s="472">
        <f t="shared" si="13"/>
        <v>0.4412791903438531</v>
      </c>
      <c r="AU55" s="472">
        <f t="shared" si="14"/>
        <v>-1.0410925196850394</v>
      </c>
      <c r="AV55" s="472">
        <f t="shared" si="15"/>
        <v>-0.72400611620795108</v>
      </c>
      <c r="AW55" s="472">
        <f t="shared" si="16"/>
        <v>-0.2052828238233172</v>
      </c>
      <c r="AX55" s="472">
        <f t="shared" si="17"/>
        <v>-0.19202757532296499</v>
      </c>
      <c r="AY55" s="472">
        <f t="shared" si="18"/>
        <v>-1.7311541027351551E-2</v>
      </c>
      <c r="AZ55" s="472">
        <f t="shared" si="19"/>
        <v>-0.17909740359122983</v>
      </c>
      <c r="BA55" s="472">
        <f t="shared" si="20"/>
        <v>0.41049604601006462</v>
      </c>
      <c r="BB55" s="472">
        <f t="shared" si="21"/>
        <v>-0.52847380410022782</v>
      </c>
      <c r="BC55" s="472">
        <f t="shared" si="22"/>
        <v>5.7463295269168047E-2</v>
      </c>
      <c r="BD55" s="472" t="e">
        <f t="shared" si="25"/>
        <v>#DIV/0!</v>
      </c>
      <c r="BE55" s="472" t="e">
        <f t="shared" si="26"/>
        <v>#DIV/0!</v>
      </c>
    </row>
    <row r="56" spans="1:57" hidden="1" x14ac:dyDescent="0.35">
      <c r="A56" s="19">
        <v>45712</v>
      </c>
      <c r="B56" s="17">
        <v>26433260</v>
      </c>
      <c r="C56" s="17">
        <v>22062756</v>
      </c>
      <c r="D56" s="17">
        <v>3325119.4827586208</v>
      </c>
      <c r="E56" s="17">
        <v>3908188</v>
      </c>
      <c r="F56" s="484">
        <f t="shared" si="0"/>
        <v>2893223.4827586208</v>
      </c>
      <c r="G56" s="484">
        <f t="shared" si="1"/>
        <v>3521496</v>
      </c>
      <c r="H56" s="484">
        <f t="shared" si="2"/>
        <v>431896</v>
      </c>
      <c r="I56" s="484">
        <f t="shared" si="3"/>
        <v>386692</v>
      </c>
      <c r="J56" s="19">
        <v>46076</v>
      </c>
      <c r="K56" s="17">
        <v>3100444.4031627239</v>
      </c>
      <c r="L56" s="17">
        <v>2530401.5067299199</v>
      </c>
      <c r="M56" s="17">
        <v>570042.89643280394</v>
      </c>
      <c r="N56" s="17">
        <v>2773046</v>
      </c>
      <c r="O56" s="17">
        <v>3389716</v>
      </c>
      <c r="P56" s="17">
        <v>19384.482758620699</v>
      </c>
      <c r="Q56" s="17">
        <v>23729</v>
      </c>
      <c r="R56" s="17">
        <v>44133</v>
      </c>
      <c r="S56" s="17">
        <v>28866</v>
      </c>
      <c r="T56" s="17">
        <v>1728</v>
      </c>
      <c r="U56" s="17">
        <v>2677</v>
      </c>
      <c r="V56" s="17">
        <v>54932</v>
      </c>
      <c r="W56" s="17">
        <v>76508</v>
      </c>
      <c r="X56" s="17">
        <v>362431</v>
      </c>
      <c r="Y56" s="17">
        <v>327888</v>
      </c>
      <c r="Z56" s="17">
        <v>32310</v>
      </c>
      <c r="AA56" s="17">
        <v>34023</v>
      </c>
      <c r="AB56" s="17">
        <v>32251</v>
      </c>
      <c r="AC56" s="17">
        <v>20904</v>
      </c>
      <c r="AD56" s="17">
        <v>4904</v>
      </c>
      <c r="AE56" s="17">
        <v>3447</v>
      </c>
      <c r="AF56" s="17">
        <v>0</v>
      </c>
      <c r="AG56" s="17">
        <v>430</v>
      </c>
      <c r="AH56" s="17">
        <v>0</v>
      </c>
      <c r="AI56" s="17">
        <v>0</v>
      </c>
      <c r="AJ56" s="54">
        <f t="shared" si="4"/>
        <v>394741</v>
      </c>
      <c r="AK56" s="54">
        <f t="shared" si="5"/>
        <v>361911</v>
      </c>
      <c r="AL56" s="54">
        <f t="shared" si="6"/>
        <v>37155</v>
      </c>
      <c r="AM56" s="54">
        <f t="shared" si="7"/>
        <v>24351</v>
      </c>
      <c r="AN56" s="19">
        <v>46076</v>
      </c>
      <c r="AO56" s="487">
        <f t="shared" si="8"/>
        <v>-0.16534108921865864</v>
      </c>
      <c r="AP56" s="487">
        <f t="shared" si="9"/>
        <v>0.17535265131514843</v>
      </c>
      <c r="AQ56" s="486">
        <f t="shared" si="10"/>
        <v>0.2171531238376152</v>
      </c>
      <c r="AR56" s="486">
        <f t="shared" si="11"/>
        <v>-0.104664085798433</v>
      </c>
      <c r="AS56" s="472">
        <f t="shared" si="12"/>
        <v>0.22238001100594795</v>
      </c>
      <c r="AT56" s="472">
        <f t="shared" si="13"/>
        <v>0.22412345459396898</v>
      </c>
      <c r="AU56" s="472">
        <f t="shared" si="14"/>
        <v>-0.34593161579770237</v>
      </c>
      <c r="AV56" s="472">
        <f t="shared" si="15"/>
        <v>0.54918981481481488</v>
      </c>
      <c r="AW56" s="472">
        <f t="shared" si="16"/>
        <v>0.39277652370203153</v>
      </c>
      <c r="AX56" s="472">
        <f t="shared" si="17"/>
        <v>-9.5309176091449177E-2</v>
      </c>
      <c r="AY56" s="472">
        <f t="shared" si="18"/>
        <v>5.3017641597028708E-2</v>
      </c>
      <c r="AZ56" s="472">
        <f t="shared" si="19"/>
        <v>-8.3168457292249864E-2</v>
      </c>
      <c r="BA56" s="472">
        <f t="shared" si="20"/>
        <v>-0.35183405165731296</v>
      </c>
      <c r="BB56" s="472">
        <f t="shared" si="21"/>
        <v>-0.29710440456769982</v>
      </c>
      <c r="BC56" s="472">
        <f t="shared" si="22"/>
        <v>-0.34461041582559548</v>
      </c>
      <c r="BD56" s="472" t="e">
        <f t="shared" si="25"/>
        <v>#DIV/0!</v>
      </c>
      <c r="BE56" s="472" t="e">
        <f t="shared" si="26"/>
        <v>#DIV/0!</v>
      </c>
    </row>
    <row r="57" spans="1:57" hidden="1" x14ac:dyDescent="0.35">
      <c r="A57" s="16">
        <v>45713</v>
      </c>
      <c r="B57" s="17">
        <v>29392120</v>
      </c>
      <c r="C57" s="17">
        <v>27778475</v>
      </c>
      <c r="D57" s="17">
        <v>3789269.1724137929</v>
      </c>
      <c r="E57" s="17">
        <v>4334009</v>
      </c>
      <c r="F57" s="484">
        <f t="shared" si="0"/>
        <v>3380999.1724137929</v>
      </c>
      <c r="G57" s="484">
        <f t="shared" si="1"/>
        <v>3943374</v>
      </c>
      <c r="H57" s="484">
        <f t="shared" si="2"/>
        <v>408270</v>
      </c>
      <c r="I57" s="484">
        <f t="shared" si="3"/>
        <v>390635</v>
      </c>
      <c r="J57" s="19">
        <v>46077</v>
      </c>
      <c r="K57" s="17">
        <v>4033025.0340803908</v>
      </c>
      <c r="L57" s="17">
        <v>3459959.5507958401</v>
      </c>
      <c r="M57" s="17">
        <v>573065.48328455095</v>
      </c>
      <c r="N57" s="17">
        <v>3237704</v>
      </c>
      <c r="O57" s="17">
        <v>3790804</v>
      </c>
      <c r="P57" s="17">
        <v>19955.172413793101</v>
      </c>
      <c r="Q57" s="17">
        <v>23676</v>
      </c>
      <c r="R57" s="17">
        <v>86781</v>
      </c>
      <c r="S57" s="17">
        <v>53511</v>
      </c>
      <c r="T57" s="17">
        <v>8087</v>
      </c>
      <c r="U57" s="17">
        <v>3950</v>
      </c>
      <c r="V57" s="17">
        <v>28472</v>
      </c>
      <c r="W57" s="17">
        <v>71433</v>
      </c>
      <c r="X57" s="17">
        <v>347028</v>
      </c>
      <c r="Y57" s="17">
        <v>328991</v>
      </c>
      <c r="Z57" s="17">
        <v>43531</v>
      </c>
      <c r="AA57" s="17">
        <v>44374</v>
      </c>
      <c r="AB57" s="17">
        <v>10995</v>
      </c>
      <c r="AC57" s="17">
        <v>15412</v>
      </c>
      <c r="AD57" s="17">
        <v>6716</v>
      </c>
      <c r="AE57" s="17">
        <v>2538</v>
      </c>
      <c r="AF57" s="17">
        <v>0</v>
      </c>
      <c r="AG57" s="17">
        <v>-680</v>
      </c>
      <c r="AH57" s="17">
        <v>0</v>
      </c>
      <c r="AI57" s="17">
        <v>0</v>
      </c>
      <c r="AJ57" s="54">
        <f t="shared" si="4"/>
        <v>390559</v>
      </c>
      <c r="AK57" s="54">
        <f t="shared" si="5"/>
        <v>373365</v>
      </c>
      <c r="AL57" s="54">
        <f t="shared" si="6"/>
        <v>17711</v>
      </c>
      <c r="AM57" s="54">
        <f t="shared" si="7"/>
        <v>17950</v>
      </c>
      <c r="AN57" s="19">
        <v>46077</v>
      </c>
      <c r="AO57" s="487">
        <f t="shared" si="8"/>
        <v>-5.4900599208223211E-2</v>
      </c>
      <c r="AP57" s="487">
        <f t="shared" si="9"/>
        <v>0.14375854625265472</v>
      </c>
      <c r="AQ57" s="486">
        <f t="shared" si="10"/>
        <v>0.16633391459386582</v>
      </c>
      <c r="AR57" s="486">
        <f t="shared" si="11"/>
        <v>-4.319445465010896E-2</v>
      </c>
      <c r="AS57" s="472">
        <f t="shared" si="12"/>
        <v>0.17083093451408771</v>
      </c>
      <c r="AT57" s="472">
        <f t="shared" si="13"/>
        <v>0.18645930533955424</v>
      </c>
      <c r="AU57" s="472">
        <f t="shared" si="14"/>
        <v>-0.38337885020914719</v>
      </c>
      <c r="AV57" s="472">
        <f t="shared" si="15"/>
        <v>-0.511561765796958</v>
      </c>
      <c r="AW57" s="472">
        <f t="shared" si="16"/>
        <v>1.5088859230120821</v>
      </c>
      <c r="AX57" s="472">
        <f t="shared" si="17"/>
        <v>-5.1975633090125317E-2</v>
      </c>
      <c r="AY57" s="472">
        <f t="shared" si="18"/>
        <v>1.9365509636810607E-2</v>
      </c>
      <c r="AZ57" s="472">
        <f t="shared" si="19"/>
        <v>-4.4024078308270931E-2</v>
      </c>
      <c r="BA57" s="472">
        <f t="shared" si="20"/>
        <v>0.40172805820827651</v>
      </c>
      <c r="BB57" s="472">
        <f t="shared" si="21"/>
        <v>-0.62209648600357359</v>
      </c>
      <c r="BC57" s="472">
        <f t="shared" si="22"/>
        <v>1.3494438484557669E-2</v>
      </c>
      <c r="BD57" s="472" t="e">
        <f t="shared" si="25"/>
        <v>#DIV/0!</v>
      </c>
      <c r="BE57" s="472" t="e">
        <f t="shared" si="26"/>
        <v>#DIV/0!</v>
      </c>
    </row>
    <row r="58" spans="1:57" hidden="1" x14ac:dyDescent="0.35">
      <c r="A58" s="19">
        <v>45714</v>
      </c>
      <c r="B58" s="17">
        <v>32989145</v>
      </c>
      <c r="C58" s="17">
        <v>31602573</v>
      </c>
      <c r="D58" s="17">
        <v>3432841.068965517</v>
      </c>
      <c r="E58" s="17">
        <v>4435416</v>
      </c>
      <c r="F58" s="484">
        <f t="shared" si="0"/>
        <v>3038258.068965517</v>
      </c>
      <c r="G58" s="484">
        <f t="shared" si="1"/>
        <v>3759967</v>
      </c>
      <c r="H58" s="484">
        <f t="shared" si="2"/>
        <v>394583</v>
      </c>
      <c r="I58" s="484">
        <f t="shared" si="3"/>
        <v>675449</v>
      </c>
      <c r="J58" s="19">
        <v>46078</v>
      </c>
      <c r="K58" s="17">
        <v>4584999.7645929968</v>
      </c>
      <c r="L58" s="17">
        <v>4043282.6733011501</v>
      </c>
      <c r="M58" s="17">
        <v>541717.09129184706</v>
      </c>
      <c r="N58" s="17">
        <v>2904631</v>
      </c>
      <c r="O58" s="17">
        <v>3614722</v>
      </c>
      <c r="P58" s="17">
        <v>19587.068965517199</v>
      </c>
      <c r="Q58" s="17">
        <v>31217</v>
      </c>
      <c r="R58" s="17">
        <v>64657</v>
      </c>
      <c r="S58" s="17">
        <v>80631</v>
      </c>
      <c r="T58" s="17">
        <v>3724</v>
      </c>
      <c r="U58" s="17">
        <v>-491</v>
      </c>
      <c r="V58" s="17">
        <v>45659</v>
      </c>
      <c r="W58" s="17">
        <v>33888</v>
      </c>
      <c r="X58" s="17">
        <v>329946</v>
      </c>
      <c r="Y58" s="17">
        <v>578952</v>
      </c>
      <c r="Z58" s="17">
        <v>38488</v>
      </c>
      <c r="AA58" s="17">
        <v>54562</v>
      </c>
      <c r="AB58" s="17">
        <v>17323</v>
      </c>
      <c r="AC58" s="17">
        <v>28200</v>
      </c>
      <c r="AD58" s="17">
        <v>8826</v>
      </c>
      <c r="AE58" s="17">
        <v>5951</v>
      </c>
      <c r="AF58" s="17">
        <v>0</v>
      </c>
      <c r="AG58" s="17">
        <v>7009</v>
      </c>
      <c r="AH58" s="17">
        <v>0</v>
      </c>
      <c r="AI58" s="17">
        <v>775</v>
      </c>
      <c r="AJ58" s="54">
        <f t="shared" si="4"/>
        <v>368434</v>
      </c>
      <c r="AK58" s="54">
        <f t="shared" si="5"/>
        <v>633514</v>
      </c>
      <c r="AL58" s="54">
        <f t="shared" si="6"/>
        <v>26149</v>
      </c>
      <c r="AM58" s="54">
        <f t="shared" si="7"/>
        <v>34151</v>
      </c>
      <c r="AN58" s="19">
        <v>46078</v>
      </c>
      <c r="AO58" s="487">
        <f t="shared" si="8"/>
        <v>-4.2031159037313692E-2</v>
      </c>
      <c r="AP58" s="487">
        <f t="shared" si="9"/>
        <v>0.2920539899438479</v>
      </c>
      <c r="AQ58" s="486">
        <f t="shared" si="10"/>
        <v>0.23754036512119403</v>
      </c>
      <c r="AR58" s="486">
        <f t="shared" si="11"/>
        <v>0.71180461398489037</v>
      </c>
      <c r="AS58" s="472">
        <f t="shared" si="12"/>
        <v>0.24446857449362769</v>
      </c>
      <c r="AT58" s="472">
        <f t="shared" si="13"/>
        <v>0.59375555653360679</v>
      </c>
      <c r="AU58" s="472">
        <f t="shared" si="14"/>
        <v>0.24705754983992456</v>
      </c>
      <c r="AV58" s="472">
        <f t="shared" si="15"/>
        <v>-1.1318474758324382</v>
      </c>
      <c r="AW58" s="472">
        <f t="shared" si="16"/>
        <v>-0.25780240478328476</v>
      </c>
      <c r="AX58" s="472">
        <f t="shared" si="17"/>
        <v>0.75468713062137449</v>
      </c>
      <c r="AY58" s="472">
        <f t="shared" si="18"/>
        <v>0.41763666597381</v>
      </c>
      <c r="AZ58" s="472">
        <f t="shared" si="19"/>
        <v>0.71947757264530421</v>
      </c>
      <c r="BA58" s="472">
        <f t="shared" si="20"/>
        <v>0.62789355192518626</v>
      </c>
      <c r="BB58" s="472">
        <f t="shared" si="21"/>
        <v>-0.3257421255381826</v>
      </c>
      <c r="BC58" s="472">
        <f t="shared" si="22"/>
        <v>0.30601552640636354</v>
      </c>
      <c r="BD58" s="472" t="e">
        <f t="shared" si="25"/>
        <v>#DIV/0!</v>
      </c>
      <c r="BE58" s="472" t="e">
        <f t="shared" si="26"/>
        <v>#DIV/0!</v>
      </c>
    </row>
    <row r="59" spans="1:57" hidden="1" x14ac:dyDescent="0.35">
      <c r="A59" s="16">
        <v>45715</v>
      </c>
      <c r="B59" s="17">
        <v>36962992</v>
      </c>
      <c r="C59" s="17">
        <v>36200123</v>
      </c>
      <c r="D59" s="17">
        <v>3033501.6551724137</v>
      </c>
      <c r="E59" s="17">
        <v>3681558</v>
      </c>
      <c r="F59" s="484">
        <f t="shared" si="0"/>
        <v>2601228.6551724137</v>
      </c>
      <c r="G59" s="484">
        <f t="shared" si="1"/>
        <v>3032732</v>
      </c>
      <c r="H59" s="484">
        <f t="shared" si="2"/>
        <v>432273</v>
      </c>
      <c r="I59" s="484">
        <f t="shared" si="3"/>
        <v>648826</v>
      </c>
      <c r="J59" s="19">
        <v>46079</v>
      </c>
      <c r="K59" s="17">
        <v>4156960.4456820181</v>
      </c>
      <c r="L59" s="17">
        <v>3633404.08583875</v>
      </c>
      <c r="M59" s="17">
        <v>523556.359843268</v>
      </c>
      <c r="N59" s="17">
        <v>2452213</v>
      </c>
      <c r="O59" s="17">
        <v>2872787</v>
      </c>
      <c r="P59" s="17">
        <v>20014.655172413801</v>
      </c>
      <c r="Q59" s="17">
        <v>25863</v>
      </c>
      <c r="R59" s="17">
        <v>22443</v>
      </c>
      <c r="S59" s="17">
        <v>7979</v>
      </c>
      <c r="T59" s="17">
        <v>8872</v>
      </c>
      <c r="U59" s="17">
        <v>0</v>
      </c>
      <c r="V59" s="17">
        <v>97686</v>
      </c>
      <c r="W59" s="17">
        <v>126103</v>
      </c>
      <c r="X59" s="17">
        <v>371645</v>
      </c>
      <c r="Y59" s="17">
        <v>530958</v>
      </c>
      <c r="Z59" s="17">
        <v>41902</v>
      </c>
      <c r="AA59" s="17">
        <v>91753</v>
      </c>
      <c r="AB59" s="17">
        <v>12405</v>
      </c>
      <c r="AC59" s="17">
        <v>15632</v>
      </c>
      <c r="AD59" s="17">
        <v>6321</v>
      </c>
      <c r="AE59" s="17">
        <v>4939</v>
      </c>
      <c r="AF59" s="17">
        <v>0</v>
      </c>
      <c r="AG59" s="17">
        <v>5544</v>
      </c>
      <c r="AH59" s="17">
        <v>0</v>
      </c>
      <c r="AI59" s="17">
        <v>0</v>
      </c>
      <c r="AJ59" s="54">
        <f t="shared" si="4"/>
        <v>413547</v>
      </c>
      <c r="AK59" s="54">
        <f t="shared" si="5"/>
        <v>622711</v>
      </c>
      <c r="AL59" s="54">
        <f t="shared" si="6"/>
        <v>18726</v>
      </c>
      <c r="AM59" s="54">
        <f t="shared" si="7"/>
        <v>20571</v>
      </c>
      <c r="AN59" s="19">
        <v>46079</v>
      </c>
      <c r="AO59" s="487">
        <f t="shared" si="8"/>
        <v>-2.0638724267775688E-2</v>
      </c>
      <c r="AP59" s="487">
        <f t="shared" si="9"/>
        <v>0.21363309419086285</v>
      </c>
      <c r="AQ59" s="486">
        <f t="shared" si="10"/>
        <v>0.16588443463805591</v>
      </c>
      <c r="AR59" s="486">
        <f t="shared" si="11"/>
        <v>0.50096351148464047</v>
      </c>
      <c r="AS59" s="472">
        <f t="shared" si="12"/>
        <v>0.17150793997095692</v>
      </c>
      <c r="AT59" s="472">
        <f t="shared" si="13"/>
        <v>0.2922031270189942</v>
      </c>
      <c r="AU59" s="472">
        <f t="shared" si="14"/>
        <v>-0.64447711981464151</v>
      </c>
      <c r="AV59" s="472">
        <f t="shared" si="15"/>
        <v>-1</v>
      </c>
      <c r="AW59" s="472">
        <f t="shared" si="16"/>
        <v>0.29090145977929294</v>
      </c>
      <c r="AX59" s="472">
        <f t="shared" si="17"/>
        <v>0.42866983277052029</v>
      </c>
      <c r="AY59" s="472">
        <f t="shared" si="18"/>
        <v>1.189704548708892</v>
      </c>
      <c r="AZ59" s="472">
        <f t="shared" si="19"/>
        <v>0.50578047960691297</v>
      </c>
      <c r="BA59" s="472">
        <f t="shared" si="20"/>
        <v>0.26013704151551797</v>
      </c>
      <c r="BB59" s="472">
        <f t="shared" si="21"/>
        <v>-0.21863629172599275</v>
      </c>
      <c r="BC59" s="472">
        <f t="shared" si="22"/>
        <v>9.8526113425184247E-2</v>
      </c>
      <c r="BD59" s="472" t="e">
        <f t="shared" si="25"/>
        <v>#DIV/0!</v>
      </c>
      <c r="BE59" s="472" t="e">
        <f t="shared" si="26"/>
        <v>#DIV/0!</v>
      </c>
    </row>
    <row r="60" spans="1:57" hidden="1" x14ac:dyDescent="0.35">
      <c r="A60" s="19">
        <v>45716</v>
      </c>
      <c r="B60" s="17">
        <v>42693027</v>
      </c>
      <c r="C60" s="17">
        <v>42656916</v>
      </c>
      <c r="D60" s="17">
        <v>2409436.7586206896</v>
      </c>
      <c r="E60" s="17">
        <v>3080721</v>
      </c>
      <c r="F60" s="484">
        <f t="shared" si="0"/>
        <v>1945702.7586206896</v>
      </c>
      <c r="G60" s="484">
        <f t="shared" si="1"/>
        <v>2501475</v>
      </c>
      <c r="H60" s="484">
        <f t="shared" si="2"/>
        <v>463734</v>
      </c>
      <c r="I60" s="484">
        <f t="shared" si="3"/>
        <v>579246</v>
      </c>
      <c r="J60" s="19">
        <v>46080</v>
      </c>
      <c r="K60" s="17">
        <v>3684333.3300469159</v>
      </c>
      <c r="L60" s="17">
        <v>3110767.62058014</v>
      </c>
      <c r="M60" s="17">
        <v>573565.709466776</v>
      </c>
      <c r="N60" s="17">
        <v>1747242</v>
      </c>
      <c r="O60" s="17">
        <v>2328816</v>
      </c>
      <c r="P60" s="17">
        <v>17482.758620689699</v>
      </c>
      <c r="Q60" s="17">
        <v>20650</v>
      </c>
      <c r="R60" s="17">
        <v>73006</v>
      </c>
      <c r="S60" s="17">
        <v>23531</v>
      </c>
      <c r="T60" s="17">
        <v>3125</v>
      </c>
      <c r="U60" s="17">
        <v>6440</v>
      </c>
      <c r="V60" s="17">
        <v>104847</v>
      </c>
      <c r="W60" s="17">
        <v>122038</v>
      </c>
      <c r="X60" s="17">
        <v>394351</v>
      </c>
      <c r="Y60" s="17">
        <v>450008</v>
      </c>
      <c r="Z60" s="17">
        <v>40984</v>
      </c>
      <c r="AA60" s="17">
        <v>106960</v>
      </c>
      <c r="AB60" s="17">
        <v>18424</v>
      </c>
      <c r="AC60" s="17">
        <v>15315</v>
      </c>
      <c r="AD60" s="17">
        <v>9975</v>
      </c>
      <c r="AE60" s="17">
        <v>3641</v>
      </c>
      <c r="AF60" s="17">
        <v>0</v>
      </c>
      <c r="AG60" s="17">
        <v>2547</v>
      </c>
      <c r="AH60" s="17">
        <v>0</v>
      </c>
      <c r="AI60" s="17">
        <v>775</v>
      </c>
      <c r="AJ60" s="54">
        <f t="shared" si="4"/>
        <v>435335</v>
      </c>
      <c r="AK60" s="54">
        <f t="shared" si="5"/>
        <v>556968</v>
      </c>
      <c r="AL60" s="54">
        <f t="shared" si="6"/>
        <v>28399</v>
      </c>
      <c r="AM60" s="54">
        <f t="shared" si="7"/>
        <v>18956</v>
      </c>
      <c r="AN60" s="19">
        <v>46080</v>
      </c>
      <c r="AO60" s="487">
        <f t="shared" si="8"/>
        <v>-8.4582899216778529E-4</v>
      </c>
      <c r="AP60" s="487">
        <f t="shared" si="9"/>
        <v>0.2786062921043817</v>
      </c>
      <c r="AQ60" s="486">
        <f t="shared" si="10"/>
        <v>0.28564087649919245</v>
      </c>
      <c r="AR60" s="486">
        <f t="shared" si="11"/>
        <v>0.2490910737621137</v>
      </c>
      <c r="AS60" s="472">
        <f t="shared" si="12"/>
        <v>0.33285257565923887</v>
      </c>
      <c r="AT60" s="472">
        <f t="shared" si="13"/>
        <v>0.18116370808678206</v>
      </c>
      <c r="AU60" s="472">
        <f t="shared" si="14"/>
        <v>-0.67768402597046817</v>
      </c>
      <c r="AV60" s="472">
        <f t="shared" si="15"/>
        <v>1.0608</v>
      </c>
      <c r="AW60" s="472">
        <f t="shared" si="16"/>
        <v>0.1639627266397703</v>
      </c>
      <c r="AX60" s="472">
        <f t="shared" si="17"/>
        <v>0.14113568876457783</v>
      </c>
      <c r="AY60" s="472">
        <f t="shared" si="18"/>
        <v>1.6097989459301192</v>
      </c>
      <c r="AZ60" s="472">
        <f t="shared" si="19"/>
        <v>0.2794009211297046</v>
      </c>
      <c r="BA60" s="472">
        <f t="shared" si="20"/>
        <v>-0.16874728614850198</v>
      </c>
      <c r="BB60" s="472">
        <f t="shared" si="21"/>
        <v>-0.63498746867167921</v>
      </c>
      <c r="BC60" s="472">
        <f t="shared" si="22"/>
        <v>-0.33251170815873798</v>
      </c>
      <c r="BD60" s="472" t="e">
        <f t="shared" si="25"/>
        <v>#DIV/0!</v>
      </c>
      <c r="BE60" s="472" t="e">
        <f t="shared" si="26"/>
        <v>#DIV/0!</v>
      </c>
    </row>
    <row r="61" spans="1:57" hidden="1" x14ac:dyDescent="0.35">
      <c r="A61" s="16">
        <v>45717</v>
      </c>
      <c r="B61" s="17">
        <v>50836467</v>
      </c>
      <c r="C61" s="17">
        <v>51597186</v>
      </c>
      <c r="D61" s="17">
        <v>2062135.4827586208</v>
      </c>
      <c r="E61" s="17">
        <v>2943156</v>
      </c>
      <c r="F61" s="484">
        <f t="shared" si="0"/>
        <v>1627741.4827586208</v>
      </c>
      <c r="G61" s="484">
        <f t="shared" si="1"/>
        <v>2402141</v>
      </c>
      <c r="H61" s="484">
        <f t="shared" si="2"/>
        <v>434394</v>
      </c>
      <c r="I61" s="484">
        <f t="shared" si="3"/>
        <v>541015</v>
      </c>
      <c r="J61" s="19">
        <v>46081</v>
      </c>
      <c r="K61" s="17">
        <v>2942144.765420862</v>
      </c>
      <c r="L61" s="17">
        <v>2326834.7166464399</v>
      </c>
      <c r="M61" s="17">
        <v>615310.04877442203</v>
      </c>
      <c r="N61" s="17">
        <v>1522696</v>
      </c>
      <c r="O61" s="17">
        <v>2298757</v>
      </c>
      <c r="P61" s="17">
        <v>23759.482758620699</v>
      </c>
      <c r="Q61" s="17">
        <v>28306</v>
      </c>
      <c r="R61" s="17">
        <v>41023</v>
      </c>
      <c r="S61" s="17">
        <v>7846</v>
      </c>
      <c r="T61" s="17">
        <v>2722</v>
      </c>
      <c r="U61" s="17">
        <v>0</v>
      </c>
      <c r="V61" s="17">
        <v>37541</v>
      </c>
      <c r="W61" s="17">
        <v>67232</v>
      </c>
      <c r="X61" s="17">
        <v>384483</v>
      </c>
      <c r="Y61" s="17">
        <v>415460</v>
      </c>
      <c r="Z61" s="17">
        <v>29795</v>
      </c>
      <c r="AA61" s="17">
        <v>103810</v>
      </c>
      <c r="AB61" s="17">
        <v>13746</v>
      </c>
      <c r="AC61" s="17">
        <v>16109</v>
      </c>
      <c r="AD61" s="17">
        <v>6370</v>
      </c>
      <c r="AE61" s="17">
        <v>3746</v>
      </c>
      <c r="AF61" s="17">
        <v>0</v>
      </c>
      <c r="AG61" s="17">
        <v>-5</v>
      </c>
      <c r="AH61" s="17">
        <v>0</v>
      </c>
      <c r="AI61" s="17">
        <v>1895</v>
      </c>
      <c r="AJ61" s="54">
        <f t="shared" si="4"/>
        <v>414278</v>
      </c>
      <c r="AK61" s="54">
        <f t="shared" si="5"/>
        <v>519270</v>
      </c>
      <c r="AL61" s="54">
        <f t="shared" si="6"/>
        <v>20116</v>
      </c>
      <c r="AM61" s="54">
        <f t="shared" si="7"/>
        <v>19855</v>
      </c>
      <c r="AN61" s="19">
        <v>46081</v>
      </c>
      <c r="AO61" s="487">
        <f t="shared" si="8"/>
        <v>1.4964041462597999E-2</v>
      </c>
      <c r="AP61" s="487">
        <f t="shared" si="9"/>
        <v>0.42723697090105572</v>
      </c>
      <c r="AQ61" s="486">
        <f t="shared" si="10"/>
        <v>0.47575092571147293</v>
      </c>
      <c r="AR61" s="486">
        <f t="shared" si="11"/>
        <v>0.24544768113740068</v>
      </c>
      <c r="AS61" s="472">
        <f t="shared" si="12"/>
        <v>0.50966246709783181</v>
      </c>
      <c r="AT61" s="472">
        <f t="shared" si="13"/>
        <v>0.19135590145495396</v>
      </c>
      <c r="AU61" s="472">
        <f t="shared" si="14"/>
        <v>-0.80874143773005391</v>
      </c>
      <c r="AV61" s="472">
        <f t="shared" si="15"/>
        <v>-1</v>
      </c>
      <c r="AW61" s="472">
        <f t="shared" si="16"/>
        <v>0.7908952878186517</v>
      </c>
      <c r="AX61" s="472">
        <f t="shared" si="17"/>
        <v>8.056793148201602E-2</v>
      </c>
      <c r="AY61" s="472">
        <f t="shared" si="18"/>
        <v>2.4841416345024334</v>
      </c>
      <c r="AZ61" s="472">
        <f t="shared" si="19"/>
        <v>0.25343368462723093</v>
      </c>
      <c r="BA61" s="472">
        <f t="shared" si="20"/>
        <v>0.17190455405208782</v>
      </c>
      <c r="BB61" s="472">
        <f t="shared" si="21"/>
        <v>-0.41193092621664051</v>
      </c>
      <c r="BC61" s="472">
        <f t="shared" si="22"/>
        <v>-1.2974746470471255E-2</v>
      </c>
      <c r="BD61" s="472" t="e">
        <f t="shared" si="25"/>
        <v>#DIV/0!</v>
      </c>
      <c r="BE61" s="472" t="e">
        <f t="shared" si="26"/>
        <v>#DIV/0!</v>
      </c>
    </row>
    <row r="62" spans="1:57" hidden="1" x14ac:dyDescent="0.35">
      <c r="A62" s="19">
        <v>45718</v>
      </c>
      <c r="B62" s="17">
        <v>48002488</v>
      </c>
      <c r="C62" s="17">
        <v>52843119</v>
      </c>
      <c r="D62" s="17">
        <v>2666615.8965517241</v>
      </c>
      <c r="E62" s="17">
        <v>3494483</v>
      </c>
      <c r="F62" s="484">
        <f t="shared" si="0"/>
        <v>2174397.8965517241</v>
      </c>
      <c r="G62" s="484">
        <f t="shared" si="1"/>
        <v>2926629</v>
      </c>
      <c r="H62" s="484">
        <f t="shared" si="2"/>
        <v>492218</v>
      </c>
      <c r="I62" s="484">
        <f t="shared" si="3"/>
        <v>567854</v>
      </c>
      <c r="J62" s="19">
        <v>46082</v>
      </c>
      <c r="K62" s="17">
        <v>2805782.38479015</v>
      </c>
      <c r="L62" s="17">
        <v>2136915.38479015</v>
      </c>
      <c r="M62" s="17">
        <v>668867</v>
      </c>
      <c r="N62" s="17">
        <v>2021359</v>
      </c>
      <c r="O62" s="17">
        <v>2769749</v>
      </c>
      <c r="P62" s="17">
        <v>23281.896551724101</v>
      </c>
      <c r="Q62" s="17">
        <v>33914</v>
      </c>
      <c r="R62" s="17">
        <v>3956</v>
      </c>
      <c r="S62" s="17">
        <v>26512</v>
      </c>
      <c r="T62" s="17">
        <v>7228</v>
      </c>
      <c r="U62" s="17">
        <v>0</v>
      </c>
      <c r="V62" s="17">
        <v>118573</v>
      </c>
      <c r="W62" s="17">
        <v>96454</v>
      </c>
      <c r="X62" s="17">
        <v>444525</v>
      </c>
      <c r="Y62" s="17">
        <v>447295</v>
      </c>
      <c r="Z62" s="17">
        <v>31189</v>
      </c>
      <c r="AA62" s="17">
        <v>95383</v>
      </c>
      <c r="AB62" s="17">
        <v>12849</v>
      </c>
      <c r="AC62" s="17">
        <v>21210</v>
      </c>
      <c r="AD62" s="17">
        <v>3655</v>
      </c>
      <c r="AE62" s="17">
        <v>3536</v>
      </c>
      <c r="AF62" s="17">
        <v>0</v>
      </c>
      <c r="AG62" s="17">
        <v>430</v>
      </c>
      <c r="AH62" s="17">
        <v>0</v>
      </c>
      <c r="AI62" s="17">
        <v>0</v>
      </c>
      <c r="AJ62" s="54">
        <f t="shared" si="4"/>
        <v>475714</v>
      </c>
      <c r="AK62" s="54">
        <f t="shared" si="5"/>
        <v>542678</v>
      </c>
      <c r="AL62" s="54">
        <f t="shared" si="6"/>
        <v>16504</v>
      </c>
      <c r="AM62" s="54">
        <f t="shared" si="7"/>
        <v>24746</v>
      </c>
      <c r="AN62" s="19">
        <v>46082</v>
      </c>
      <c r="AO62" s="487">
        <f t="shared" si="8"/>
        <v>0.1008412522284261</v>
      </c>
      <c r="AP62" s="487">
        <f t="shared" si="9"/>
        <v>0.31045607450207369</v>
      </c>
      <c r="AQ62" s="486">
        <f t="shared" si="10"/>
        <v>0.34594914971229684</v>
      </c>
      <c r="AR62" s="486">
        <f t="shared" si="11"/>
        <v>0.15366362059087635</v>
      </c>
      <c r="AS62" s="472">
        <f t="shared" si="12"/>
        <v>0.37024101112172558</v>
      </c>
      <c r="AT62" s="472">
        <f t="shared" si="13"/>
        <v>0.45666827118895337</v>
      </c>
      <c r="AU62" s="472">
        <f t="shared" si="14"/>
        <v>5.7017189079878667</v>
      </c>
      <c r="AV62" s="472">
        <f t="shared" si="15"/>
        <v>-1</v>
      </c>
      <c r="AW62" s="472">
        <f t="shared" si="16"/>
        <v>-0.18654331087178366</v>
      </c>
      <c r="AX62" s="472">
        <f t="shared" si="17"/>
        <v>6.2313705640852923E-3</v>
      </c>
      <c r="AY62" s="472">
        <f t="shared" si="18"/>
        <v>2.0582256564814516</v>
      </c>
      <c r="AZ62" s="472">
        <f t="shared" si="19"/>
        <v>0.14076524970885873</v>
      </c>
      <c r="BA62" s="472">
        <f t="shared" si="20"/>
        <v>0.65071211767452719</v>
      </c>
      <c r="BB62" s="472">
        <f t="shared" si="21"/>
        <v>-3.2558139534883734E-2</v>
      </c>
      <c r="BC62" s="472">
        <f t="shared" si="22"/>
        <v>0.49939408628211335</v>
      </c>
      <c r="BD62" s="472" t="e">
        <f t="shared" si="25"/>
        <v>#DIV/0!</v>
      </c>
      <c r="BE62" s="472" t="e">
        <f t="shared" si="26"/>
        <v>#DIV/0!</v>
      </c>
    </row>
    <row r="63" spans="1:57" hidden="1" x14ac:dyDescent="0.35">
      <c r="A63" s="16">
        <v>45719</v>
      </c>
      <c r="B63" s="17">
        <v>28870398</v>
      </c>
      <c r="C63" s="17">
        <v>29862876</v>
      </c>
      <c r="D63" s="17">
        <v>3575627.5172413792</v>
      </c>
      <c r="E63" s="17">
        <v>4394239</v>
      </c>
      <c r="F63" s="484">
        <f t="shared" si="0"/>
        <v>3031765.5172413792</v>
      </c>
      <c r="G63" s="484">
        <f t="shared" si="1"/>
        <v>3845044</v>
      </c>
      <c r="H63" s="484">
        <f t="shared" si="2"/>
        <v>543862</v>
      </c>
      <c r="I63" s="484">
        <f t="shared" si="3"/>
        <v>549195</v>
      </c>
      <c r="J63" s="19">
        <v>46083</v>
      </c>
      <c r="K63" s="17">
        <v>3622374.42120753</v>
      </c>
      <c r="L63" s="17">
        <v>2854571.42120753</v>
      </c>
      <c r="M63" s="17">
        <v>767803</v>
      </c>
      <c r="N63" s="17">
        <v>2894647</v>
      </c>
      <c r="O63" s="17">
        <v>3687641</v>
      </c>
      <c r="P63" s="17">
        <v>17015.517241379301</v>
      </c>
      <c r="Q63" s="17">
        <v>26936</v>
      </c>
      <c r="R63" s="17">
        <v>70126</v>
      </c>
      <c r="S63" s="17">
        <v>15825</v>
      </c>
      <c r="T63" s="17">
        <v>2478</v>
      </c>
      <c r="U63" s="17">
        <v>7457</v>
      </c>
      <c r="V63" s="17">
        <v>47499</v>
      </c>
      <c r="W63" s="17">
        <v>107185</v>
      </c>
      <c r="X63" s="17">
        <v>481304</v>
      </c>
      <c r="Y63" s="17">
        <v>452113</v>
      </c>
      <c r="Z63" s="17">
        <v>33324</v>
      </c>
      <c r="AA63" s="17">
        <v>85564</v>
      </c>
      <c r="AB63" s="17">
        <v>22831</v>
      </c>
      <c r="AC63" s="17">
        <v>6520</v>
      </c>
      <c r="AD63" s="17">
        <v>6403</v>
      </c>
      <c r="AE63" s="17">
        <v>4483</v>
      </c>
      <c r="AF63" s="17">
        <v>0</v>
      </c>
      <c r="AG63" s="17">
        <v>515</v>
      </c>
      <c r="AH63" s="17">
        <v>0</v>
      </c>
      <c r="AI63" s="17">
        <v>0</v>
      </c>
      <c r="AJ63" s="54">
        <f t="shared" si="4"/>
        <v>514628</v>
      </c>
      <c r="AK63" s="54">
        <f t="shared" si="5"/>
        <v>537677</v>
      </c>
      <c r="AL63" s="54">
        <f t="shared" si="6"/>
        <v>29234</v>
      </c>
      <c r="AM63" s="54">
        <f t="shared" si="7"/>
        <v>11003</v>
      </c>
      <c r="AN63" s="19">
        <v>46083</v>
      </c>
      <c r="AO63" s="487">
        <f t="shared" si="8"/>
        <v>3.4377011359524756E-2</v>
      </c>
      <c r="AP63" s="487">
        <f t="shared" si="9"/>
        <v>0.22894204690263287</v>
      </c>
      <c r="AQ63" s="486">
        <f t="shared" si="10"/>
        <v>0.26825243513509833</v>
      </c>
      <c r="AR63" s="486">
        <f t="shared" si="11"/>
        <v>9.8057963233320056E-3</v>
      </c>
      <c r="AS63" s="472">
        <f t="shared" si="12"/>
        <v>0.27395188428848138</v>
      </c>
      <c r="AT63" s="472">
        <f t="shared" si="13"/>
        <v>0.58302563582936551</v>
      </c>
      <c r="AU63" s="472">
        <f t="shared" si="14"/>
        <v>-0.77433476884465102</v>
      </c>
      <c r="AV63" s="472">
        <f t="shared" si="15"/>
        <v>2.0092816787732044</v>
      </c>
      <c r="AW63" s="472">
        <f t="shared" si="16"/>
        <v>1.2565738226067915</v>
      </c>
      <c r="AX63" s="472">
        <f t="shared" si="17"/>
        <v>-6.0649817994448463E-2</v>
      </c>
      <c r="AY63" s="472">
        <f t="shared" si="18"/>
        <v>1.5676389389028929</v>
      </c>
      <c r="AZ63" s="472">
        <f t="shared" si="19"/>
        <v>4.4787691303232569E-2</v>
      </c>
      <c r="BA63" s="472">
        <f t="shared" si="20"/>
        <v>-0.71442337173141779</v>
      </c>
      <c r="BB63" s="472">
        <f t="shared" si="21"/>
        <v>-0.29985944088708416</v>
      </c>
      <c r="BC63" s="472">
        <f t="shared" si="22"/>
        <v>-0.6236231784907984</v>
      </c>
      <c r="BD63" s="472" t="e">
        <f t="shared" si="25"/>
        <v>#DIV/0!</v>
      </c>
      <c r="BE63" s="472" t="e">
        <f t="shared" si="26"/>
        <v>#DIV/0!</v>
      </c>
    </row>
    <row r="64" spans="1:57" hidden="1" x14ac:dyDescent="0.35">
      <c r="A64" s="19">
        <v>45720</v>
      </c>
      <c r="B64" s="17">
        <v>30118136</v>
      </c>
      <c r="C64" s="17">
        <v>33171704</v>
      </c>
      <c r="D64" s="17">
        <v>3876973.1724137929</v>
      </c>
      <c r="E64" s="17">
        <v>5097823</v>
      </c>
      <c r="F64" s="484">
        <f t="shared" si="0"/>
        <v>3439713.1724137929</v>
      </c>
      <c r="G64" s="484">
        <f t="shared" si="1"/>
        <v>4305086</v>
      </c>
      <c r="H64" s="484">
        <f t="shared" si="2"/>
        <v>437260</v>
      </c>
      <c r="I64" s="484">
        <f t="shared" si="3"/>
        <v>792737</v>
      </c>
      <c r="J64" s="19">
        <v>46084</v>
      </c>
      <c r="K64" s="17">
        <v>4645559.2541032098</v>
      </c>
      <c r="L64" s="17">
        <v>3980132.2541032098</v>
      </c>
      <c r="M64" s="17">
        <v>665427</v>
      </c>
      <c r="N64" s="17">
        <v>3324837</v>
      </c>
      <c r="O64" s="17">
        <v>4158362</v>
      </c>
      <c r="P64" s="17">
        <v>20705.172413793101</v>
      </c>
      <c r="Q64" s="17">
        <v>22032</v>
      </c>
      <c r="R64" s="17">
        <v>55930</v>
      </c>
      <c r="S64" s="17">
        <v>47632</v>
      </c>
      <c r="T64" s="17">
        <v>5121</v>
      </c>
      <c r="U64" s="17">
        <v>2071</v>
      </c>
      <c r="V64" s="17">
        <v>33120</v>
      </c>
      <c r="W64" s="17">
        <v>74989</v>
      </c>
      <c r="X64" s="17">
        <v>340219</v>
      </c>
      <c r="Y64" s="17">
        <v>653421</v>
      </c>
      <c r="Z64" s="17">
        <v>73972</v>
      </c>
      <c r="AA64" s="17">
        <v>126548</v>
      </c>
      <c r="AB64" s="17">
        <v>16003</v>
      </c>
      <c r="AC64" s="17">
        <v>5908</v>
      </c>
      <c r="AD64" s="17">
        <v>7066</v>
      </c>
      <c r="AE64" s="17">
        <v>4036</v>
      </c>
      <c r="AF64" s="17">
        <v>0</v>
      </c>
      <c r="AG64" s="17">
        <v>2049</v>
      </c>
      <c r="AH64" s="17">
        <v>0</v>
      </c>
      <c r="AI64" s="17">
        <v>775</v>
      </c>
      <c r="AJ64" s="54">
        <f t="shared" si="4"/>
        <v>414191</v>
      </c>
      <c r="AK64" s="54">
        <f t="shared" si="5"/>
        <v>779969</v>
      </c>
      <c r="AL64" s="54">
        <f t="shared" si="6"/>
        <v>23069</v>
      </c>
      <c r="AM64" s="54">
        <f t="shared" si="7"/>
        <v>9944</v>
      </c>
      <c r="AN64" s="19">
        <v>46084</v>
      </c>
      <c r="AO64" s="487">
        <f t="shared" si="8"/>
        <v>0.10138635405590835</v>
      </c>
      <c r="AP64" s="487">
        <f t="shared" si="9"/>
        <v>0.31489767230607613</v>
      </c>
      <c r="AQ64" s="486">
        <f t="shared" si="10"/>
        <v>0.25158284549026466</v>
      </c>
      <c r="AR64" s="486">
        <f t="shared" si="11"/>
        <v>0.81296482641906409</v>
      </c>
      <c r="AS64" s="472">
        <f t="shared" si="12"/>
        <v>0.2506965003096393</v>
      </c>
      <c r="AT64" s="472">
        <f t="shared" si="13"/>
        <v>6.4081938546090456E-2</v>
      </c>
      <c r="AU64" s="472">
        <f t="shared" si="14"/>
        <v>-0.14836402646164848</v>
      </c>
      <c r="AV64" s="472">
        <f t="shared" si="15"/>
        <v>-0.59558679945323179</v>
      </c>
      <c r="AW64" s="472">
        <f t="shared" si="16"/>
        <v>1.2641606280193236</v>
      </c>
      <c r="AX64" s="472">
        <f t="shared" si="17"/>
        <v>0.92058938507255617</v>
      </c>
      <c r="AY64" s="472">
        <f t="shared" si="18"/>
        <v>0.71075542097009681</v>
      </c>
      <c r="AZ64" s="472">
        <f t="shared" si="19"/>
        <v>0.88311431199615642</v>
      </c>
      <c r="BA64" s="472">
        <f t="shared" si="20"/>
        <v>-0.63081922139598823</v>
      </c>
      <c r="BB64" s="472">
        <f t="shared" si="21"/>
        <v>-0.4288140390602887</v>
      </c>
      <c r="BC64" s="472">
        <f t="shared" si="22"/>
        <v>-0.56894533789934543</v>
      </c>
      <c r="BD64" s="472" t="e">
        <f t="shared" si="25"/>
        <v>#DIV/0!</v>
      </c>
      <c r="BE64" s="472" t="e">
        <f t="shared" si="26"/>
        <v>#DIV/0!</v>
      </c>
    </row>
    <row r="65" spans="1:57" hidden="1" x14ac:dyDescent="0.35">
      <c r="A65" s="16">
        <v>45721</v>
      </c>
      <c r="B65" s="17">
        <v>32149498</v>
      </c>
      <c r="C65" s="17">
        <v>34892813</v>
      </c>
      <c r="D65" s="17">
        <v>3691707.1724137929</v>
      </c>
      <c r="E65" s="17">
        <v>4763887</v>
      </c>
      <c r="F65" s="484">
        <f t="shared" si="0"/>
        <v>3183072.1724137929</v>
      </c>
      <c r="G65" s="484">
        <f t="shared" si="1"/>
        <v>4207973</v>
      </c>
      <c r="H65" s="484">
        <f t="shared" si="2"/>
        <v>508635</v>
      </c>
      <c r="I65" s="484">
        <f t="shared" si="3"/>
        <v>555914</v>
      </c>
      <c r="J65" s="19">
        <v>46085</v>
      </c>
      <c r="K65" s="17">
        <v>5143890.0375477904</v>
      </c>
      <c r="L65" s="17">
        <v>4515690.0375477904</v>
      </c>
      <c r="M65" s="17">
        <v>628200</v>
      </c>
      <c r="N65" s="17">
        <v>3006578</v>
      </c>
      <c r="O65" s="17">
        <v>4047073</v>
      </c>
      <c r="P65" s="17">
        <v>20405.172413793101</v>
      </c>
      <c r="Q65" s="17">
        <v>21637</v>
      </c>
      <c r="R65" s="17">
        <v>61036</v>
      </c>
      <c r="S65" s="17">
        <v>50390</v>
      </c>
      <c r="T65" s="17">
        <v>128</v>
      </c>
      <c r="U65" s="17">
        <v>7095</v>
      </c>
      <c r="V65" s="17">
        <v>94925</v>
      </c>
      <c r="W65" s="17">
        <v>81778</v>
      </c>
      <c r="X65" s="17">
        <v>365903</v>
      </c>
      <c r="Y65" s="17">
        <v>480522</v>
      </c>
      <c r="Z65" s="17">
        <v>115450</v>
      </c>
      <c r="AA65" s="17">
        <v>55623</v>
      </c>
      <c r="AB65" s="17">
        <v>19487</v>
      </c>
      <c r="AC65" s="17">
        <v>12102</v>
      </c>
      <c r="AD65" s="17">
        <v>7795</v>
      </c>
      <c r="AE65" s="17">
        <v>6133</v>
      </c>
      <c r="AF65" s="17">
        <v>0</v>
      </c>
      <c r="AG65" s="17">
        <v>1534</v>
      </c>
      <c r="AH65" s="17">
        <v>0</v>
      </c>
      <c r="AI65" s="17">
        <v>0</v>
      </c>
      <c r="AJ65" s="54">
        <f t="shared" si="4"/>
        <v>481353</v>
      </c>
      <c r="AK65" s="54">
        <f t="shared" si="5"/>
        <v>536145</v>
      </c>
      <c r="AL65" s="54">
        <f t="shared" si="6"/>
        <v>27282</v>
      </c>
      <c r="AM65" s="54">
        <f t="shared" si="7"/>
        <v>18235</v>
      </c>
      <c r="AN65" s="19">
        <v>46085</v>
      </c>
      <c r="AO65" s="487">
        <f t="shared" si="8"/>
        <v>8.532994823122908E-2</v>
      </c>
      <c r="AP65" s="487">
        <f t="shared" si="9"/>
        <v>0.29042927228845472</v>
      </c>
      <c r="AQ65" s="486">
        <f t="shared" si="10"/>
        <v>0.32198479081578668</v>
      </c>
      <c r="AR65" s="486">
        <f t="shared" si="11"/>
        <v>9.2952706754352299E-2</v>
      </c>
      <c r="AS65" s="472">
        <f t="shared" si="12"/>
        <v>0.34607284427678242</v>
      </c>
      <c r="AT65" s="472">
        <f t="shared" si="13"/>
        <v>6.0368398817068014E-2</v>
      </c>
      <c r="AU65" s="472">
        <f t="shared" si="14"/>
        <v>-0.17442165279507171</v>
      </c>
      <c r="AV65" s="472">
        <f t="shared" si="15"/>
        <v>54.4296875</v>
      </c>
      <c r="AW65" s="472">
        <f t="shared" si="16"/>
        <v>-0.13849881485383198</v>
      </c>
      <c r="AX65" s="472">
        <f t="shared" si="17"/>
        <v>0.31324968639229533</v>
      </c>
      <c r="AY65" s="472">
        <f t="shared" si="18"/>
        <v>-0.5182070160242529</v>
      </c>
      <c r="AZ65" s="472">
        <f t="shared" si="19"/>
        <v>0.11382914410006784</v>
      </c>
      <c r="BA65" s="472">
        <f t="shared" si="20"/>
        <v>-0.37897059578180325</v>
      </c>
      <c r="BB65" s="472">
        <f t="shared" si="21"/>
        <v>-0.21321359846055166</v>
      </c>
      <c r="BC65" s="472">
        <f t="shared" si="22"/>
        <v>-0.33161058573418367</v>
      </c>
      <c r="BD65" s="472" t="e">
        <f t="shared" si="25"/>
        <v>#DIV/0!</v>
      </c>
      <c r="BE65" s="472" t="e">
        <f t="shared" si="26"/>
        <v>#DIV/0!</v>
      </c>
    </row>
    <row r="66" spans="1:57" hidden="1" x14ac:dyDescent="0.35">
      <c r="A66" s="19">
        <v>45722</v>
      </c>
      <c r="B66" s="17">
        <v>37519228</v>
      </c>
      <c r="C66" s="17">
        <v>38712693</v>
      </c>
      <c r="D66" s="17">
        <v>2779470.1379310344</v>
      </c>
      <c r="E66" s="17">
        <v>3857707</v>
      </c>
      <c r="F66" s="484">
        <f t="shared" si="0"/>
        <v>2307437.1379310344</v>
      </c>
      <c r="G66" s="484">
        <f t="shared" si="1"/>
        <v>3412882</v>
      </c>
      <c r="H66" s="484">
        <f t="shared" si="2"/>
        <v>472033</v>
      </c>
      <c r="I66" s="484">
        <f t="shared" si="3"/>
        <v>444825</v>
      </c>
      <c r="J66" s="19">
        <v>46086</v>
      </c>
      <c r="K66" s="17">
        <v>4846185.1523354203</v>
      </c>
      <c r="L66" s="17">
        <v>4178769.1523354198</v>
      </c>
      <c r="M66" s="17">
        <v>667416</v>
      </c>
      <c r="N66" s="17">
        <v>2158066</v>
      </c>
      <c r="O66" s="17">
        <v>3273154</v>
      </c>
      <c r="P66" s="17">
        <v>20349.1379310345</v>
      </c>
      <c r="Q66" s="17">
        <v>28567</v>
      </c>
      <c r="R66" s="17">
        <v>52546</v>
      </c>
      <c r="S66" s="17">
        <v>21743</v>
      </c>
      <c r="T66" s="17">
        <v>1600</v>
      </c>
      <c r="U66" s="17">
        <v>154</v>
      </c>
      <c r="V66" s="17">
        <v>74876</v>
      </c>
      <c r="W66" s="17">
        <v>89264</v>
      </c>
      <c r="X66" s="17">
        <v>330846</v>
      </c>
      <c r="Y66" s="17">
        <v>393807</v>
      </c>
      <c r="Z66" s="17">
        <v>120380</v>
      </c>
      <c r="AA66" s="17">
        <v>40051</v>
      </c>
      <c r="AB66" s="17">
        <v>14076</v>
      </c>
      <c r="AC66" s="17">
        <v>5342</v>
      </c>
      <c r="AD66" s="17">
        <v>6731</v>
      </c>
      <c r="AE66" s="17">
        <v>5065</v>
      </c>
      <c r="AF66" s="17">
        <v>0</v>
      </c>
      <c r="AG66" s="17">
        <v>560</v>
      </c>
      <c r="AH66" s="17">
        <v>0</v>
      </c>
      <c r="AI66" s="17">
        <v>0</v>
      </c>
      <c r="AJ66" s="54">
        <f t="shared" si="4"/>
        <v>451226</v>
      </c>
      <c r="AK66" s="54">
        <f t="shared" si="5"/>
        <v>433858</v>
      </c>
      <c r="AL66" s="54">
        <f t="shared" si="6"/>
        <v>20807</v>
      </c>
      <c r="AM66" s="54">
        <f t="shared" si="7"/>
        <v>10407</v>
      </c>
      <c r="AN66" s="19">
        <v>46086</v>
      </c>
      <c r="AO66" s="487">
        <f t="shared" si="8"/>
        <v>3.1809423157640682E-2</v>
      </c>
      <c r="AP66" s="487">
        <f t="shared" si="9"/>
        <v>0.38792892478117325</v>
      </c>
      <c r="AQ66" s="486">
        <f t="shared" si="10"/>
        <v>0.47907908037753244</v>
      </c>
      <c r="AR66" s="486">
        <f t="shared" si="11"/>
        <v>-5.764003787870764E-2</v>
      </c>
      <c r="AS66" s="472">
        <f t="shared" si="12"/>
        <v>0.5167070886617926</v>
      </c>
      <c r="AT66" s="472">
        <f t="shared" si="13"/>
        <v>0.4038432535479759</v>
      </c>
      <c r="AU66" s="472">
        <f t="shared" si="14"/>
        <v>-0.58621017774901985</v>
      </c>
      <c r="AV66" s="472">
        <f t="shared" si="15"/>
        <v>-0.90375000000000005</v>
      </c>
      <c r="AW66" s="472">
        <f t="shared" si="16"/>
        <v>0.19215770073187666</v>
      </c>
      <c r="AX66" s="472">
        <f t="shared" si="17"/>
        <v>0.19030304129413689</v>
      </c>
      <c r="AY66" s="472">
        <f t="shared" si="18"/>
        <v>-0.66729523176607408</v>
      </c>
      <c r="AZ66" s="472">
        <f t="shared" si="19"/>
        <v>-3.8490689809541068E-2</v>
      </c>
      <c r="BA66" s="472">
        <f t="shared" si="20"/>
        <v>-0.62048877522023305</v>
      </c>
      <c r="BB66" s="472">
        <f t="shared" si="21"/>
        <v>-0.24751151389095227</v>
      </c>
      <c r="BC66" s="472">
        <f t="shared" si="22"/>
        <v>-0.49983178737924738</v>
      </c>
      <c r="BD66" s="472" t="e">
        <f t="shared" si="25"/>
        <v>#DIV/0!</v>
      </c>
      <c r="BE66" s="472" t="e">
        <f t="shared" si="26"/>
        <v>#DIV/0!</v>
      </c>
    </row>
    <row r="67" spans="1:57" hidden="1" x14ac:dyDescent="0.35">
      <c r="A67" s="16">
        <v>45723</v>
      </c>
      <c r="B67" s="17">
        <v>39523265</v>
      </c>
      <c r="C67" s="17">
        <v>39872258</v>
      </c>
      <c r="D67" s="17">
        <v>2664201.1034482759</v>
      </c>
      <c r="E67" s="17">
        <v>2836492</v>
      </c>
      <c r="F67" s="484">
        <f t="shared" ref="F67:F130" si="27">SUM(N67,P67,R67,T67,V67)</f>
        <v>2158242.1034482759</v>
      </c>
      <c r="G67" s="484">
        <f t="shared" ref="G67:G130" si="28">SUM(O67,Q67,S67,U67,W67)</f>
        <v>2489346</v>
      </c>
      <c r="H67" s="484">
        <f t="shared" ref="H67:H130" si="29">SUM(X67,Z67,AB67,AD67,AF67,AH67)</f>
        <v>505959</v>
      </c>
      <c r="I67" s="484">
        <f t="shared" ref="I67:I130" si="30">SUM(Y67,AA67,AC67,AE67,AG67,AI67)</f>
        <v>347146</v>
      </c>
      <c r="J67" s="19">
        <v>46087</v>
      </c>
      <c r="K67" s="17">
        <v>3647918.67494134</v>
      </c>
      <c r="L67" s="17">
        <v>3029226.67494134</v>
      </c>
      <c r="M67" s="17">
        <v>618692</v>
      </c>
      <c r="N67" s="17">
        <v>2008601</v>
      </c>
      <c r="O67" s="17">
        <v>2313818</v>
      </c>
      <c r="P67" s="17">
        <v>17718.103448275899</v>
      </c>
      <c r="Q67" s="17">
        <v>23488</v>
      </c>
      <c r="R67" s="17">
        <v>60599</v>
      </c>
      <c r="S67" s="17">
        <v>32023</v>
      </c>
      <c r="T67" s="17">
        <v>1392</v>
      </c>
      <c r="U67" s="17">
        <v>1687</v>
      </c>
      <c r="V67" s="17">
        <v>69932</v>
      </c>
      <c r="W67" s="17">
        <v>118330</v>
      </c>
      <c r="X67" s="17">
        <v>369062</v>
      </c>
      <c r="Y67" s="17">
        <v>299324</v>
      </c>
      <c r="Z67" s="17">
        <v>123391</v>
      </c>
      <c r="AA67" s="17">
        <v>33674</v>
      </c>
      <c r="AB67" s="17">
        <v>10054</v>
      </c>
      <c r="AC67" s="17">
        <v>6895</v>
      </c>
      <c r="AD67" s="17">
        <v>3452</v>
      </c>
      <c r="AE67" s="17">
        <v>6866</v>
      </c>
      <c r="AF67" s="17">
        <v>0</v>
      </c>
      <c r="AG67" s="17">
        <v>387</v>
      </c>
      <c r="AH67" s="17">
        <v>0</v>
      </c>
      <c r="AI67" s="17">
        <v>0</v>
      </c>
      <c r="AJ67" s="54">
        <f t="shared" ref="AJ67:AJ130" si="31">X67+Z67</f>
        <v>492453</v>
      </c>
      <c r="AK67" s="54">
        <f t="shared" ref="AK67:AK130" si="32">Y67+AA67</f>
        <v>332998</v>
      </c>
      <c r="AL67" s="54">
        <f t="shared" ref="AL67:AL130" si="33">AD67+AB67</f>
        <v>13506</v>
      </c>
      <c r="AM67" s="54">
        <f t="shared" ref="AM67:AM130" si="34">AE67+AC67</f>
        <v>13761</v>
      </c>
      <c r="AN67" s="19">
        <v>46087</v>
      </c>
      <c r="AO67" s="487">
        <f t="shared" ref="AO67:AO130" si="35">C67/B67-1</f>
        <v>8.8300650262573832E-3</v>
      </c>
      <c r="AP67" s="487">
        <f t="shared" ref="AP67:AP130" si="36">E67/D67-1</f>
        <v>6.4668878159658494E-2</v>
      </c>
      <c r="AQ67" s="486">
        <f t="shared" ref="AQ67:AQ130" si="37">G67/F67-1</f>
        <v>0.15341369535081872</v>
      </c>
      <c r="AR67" s="486">
        <f t="shared" ref="AR67:AR130" si="38">I67/H67-1</f>
        <v>-0.31388511717352596</v>
      </c>
      <c r="AS67" s="472">
        <f t="shared" ref="AS67:AS130" si="39">O67/N67-1</f>
        <v>0.15195501744746709</v>
      </c>
      <c r="AT67" s="472">
        <f t="shared" ref="AT67:AT130" si="40">Q67/P67-1</f>
        <v>0.32564978348659279</v>
      </c>
      <c r="AU67" s="472">
        <f t="shared" ref="AU67:AU130" si="41">S67/R67-1</f>
        <v>-0.47155893661611581</v>
      </c>
      <c r="AV67" s="472">
        <f t="shared" ref="AV67:AV130" si="42">U67/T67-1</f>
        <v>0.21192528735632177</v>
      </c>
      <c r="AW67" s="472">
        <f t="shared" ref="AW67:AW130" si="43">W67/V67-1</f>
        <v>0.6920722988045529</v>
      </c>
      <c r="AX67" s="472">
        <f t="shared" ref="AX67:AX130" si="44">Y67/X67-1</f>
        <v>-0.18896012052175515</v>
      </c>
      <c r="AY67" s="472">
        <f t="shared" ref="AY67:AY130" si="45">AA67/Z67-1</f>
        <v>-0.72709516901556848</v>
      </c>
      <c r="AZ67" s="472">
        <f t="shared" ref="AZ67:AZ130" si="46">AK67/AJ67-1</f>
        <v>-0.32379739792426887</v>
      </c>
      <c r="BA67" s="472">
        <f t="shared" ref="BA67:BA130" si="47">AC67/AB67-1</f>
        <v>-0.31420330216829118</v>
      </c>
      <c r="BB67" s="472">
        <f t="shared" ref="BB67:BB130" si="48">AE67/AD67-1</f>
        <v>0.98899188876013899</v>
      </c>
      <c r="BC67" s="472">
        <f t="shared" ref="BC67:BC130" si="49">AM67/AL67-1</f>
        <v>1.8880497556641451E-2</v>
      </c>
      <c r="BD67" s="472" t="e">
        <f t="shared" ref="BD67:BD98" si="50">AG67/AF67-1</f>
        <v>#DIV/0!</v>
      </c>
      <c r="BE67" s="472" t="e">
        <f t="shared" ref="BE67:BE98" si="51">AI67/AH67-1</f>
        <v>#DIV/0!</v>
      </c>
    </row>
    <row r="68" spans="1:57" hidden="1" x14ac:dyDescent="0.35">
      <c r="A68" s="19">
        <v>45724</v>
      </c>
      <c r="B68" s="17">
        <v>48982826</v>
      </c>
      <c r="C68" s="17">
        <v>52578844</v>
      </c>
      <c r="D68" s="17">
        <v>2136044.3793103448</v>
      </c>
      <c r="E68" s="17">
        <v>2485014</v>
      </c>
      <c r="F68" s="484">
        <f t="shared" si="27"/>
        <v>1691084.3793103448</v>
      </c>
      <c r="G68" s="484">
        <f t="shared" si="28"/>
        <v>2113681</v>
      </c>
      <c r="H68" s="484">
        <f t="shared" si="29"/>
        <v>444960</v>
      </c>
      <c r="I68" s="484">
        <f t="shared" si="30"/>
        <v>371333</v>
      </c>
      <c r="J68" s="19">
        <v>46088</v>
      </c>
      <c r="K68" s="17">
        <v>3375221.9335819301</v>
      </c>
      <c r="L68" s="17">
        <v>2833361.9335819301</v>
      </c>
      <c r="M68" s="17">
        <v>541860</v>
      </c>
      <c r="N68" s="17">
        <v>1587947</v>
      </c>
      <c r="O68" s="17">
        <v>2036782</v>
      </c>
      <c r="P68" s="17">
        <v>16966.379310344801</v>
      </c>
      <c r="Q68" s="17">
        <v>29622</v>
      </c>
      <c r="R68" s="17">
        <v>27670</v>
      </c>
      <c r="S68" s="17">
        <v>12659</v>
      </c>
      <c r="T68" s="17">
        <v>257</v>
      </c>
      <c r="U68" s="17">
        <v>1118</v>
      </c>
      <c r="V68" s="17">
        <v>58244</v>
      </c>
      <c r="W68" s="17">
        <v>33500</v>
      </c>
      <c r="X68" s="17">
        <v>305214</v>
      </c>
      <c r="Y68" s="17">
        <v>318037</v>
      </c>
      <c r="Z68" s="17">
        <v>118323</v>
      </c>
      <c r="AA68" s="17">
        <v>29312</v>
      </c>
      <c r="AB68" s="17">
        <v>13685</v>
      </c>
      <c r="AC68" s="17">
        <v>16246</v>
      </c>
      <c r="AD68" s="17">
        <v>7738</v>
      </c>
      <c r="AE68" s="17">
        <v>7308</v>
      </c>
      <c r="AF68" s="17">
        <v>0</v>
      </c>
      <c r="AG68" s="17">
        <v>430</v>
      </c>
      <c r="AH68" s="17">
        <v>0</v>
      </c>
      <c r="AI68" s="17">
        <v>0</v>
      </c>
      <c r="AJ68" s="54">
        <f t="shared" si="31"/>
        <v>423537</v>
      </c>
      <c r="AK68" s="54">
        <f t="shared" si="32"/>
        <v>347349</v>
      </c>
      <c r="AL68" s="54">
        <f t="shared" si="33"/>
        <v>21423</v>
      </c>
      <c r="AM68" s="54">
        <f t="shared" si="34"/>
        <v>23554</v>
      </c>
      <c r="AN68" s="19">
        <v>46088</v>
      </c>
      <c r="AO68" s="487">
        <f t="shared" si="35"/>
        <v>7.341385325542471E-2</v>
      </c>
      <c r="AP68" s="487">
        <f t="shared" si="36"/>
        <v>0.16337189623481763</v>
      </c>
      <c r="AQ68" s="486">
        <f t="shared" si="37"/>
        <v>0.249896827065482</v>
      </c>
      <c r="AR68" s="486">
        <f t="shared" si="38"/>
        <v>-0.16546880618482562</v>
      </c>
      <c r="AS68" s="472">
        <f t="shared" si="39"/>
        <v>0.28265112122759772</v>
      </c>
      <c r="AT68" s="472">
        <f t="shared" si="40"/>
        <v>0.74592347949799587</v>
      </c>
      <c r="AU68" s="472">
        <f t="shared" si="41"/>
        <v>-0.54250090350560176</v>
      </c>
      <c r="AV68" s="472">
        <f t="shared" si="42"/>
        <v>3.3501945525291825</v>
      </c>
      <c r="AW68" s="472">
        <f t="shared" si="43"/>
        <v>-0.42483345924043681</v>
      </c>
      <c r="AX68" s="472">
        <f t="shared" si="44"/>
        <v>4.2013144875398867E-2</v>
      </c>
      <c r="AY68" s="472">
        <f t="shared" si="45"/>
        <v>-0.75227132510162864</v>
      </c>
      <c r="AZ68" s="472">
        <f t="shared" si="46"/>
        <v>-0.17988511039177213</v>
      </c>
      <c r="BA68" s="472">
        <f t="shared" si="47"/>
        <v>0.18713920350748992</v>
      </c>
      <c r="BB68" s="472">
        <f t="shared" si="48"/>
        <v>-5.556991470664252E-2</v>
      </c>
      <c r="BC68" s="472">
        <f t="shared" si="49"/>
        <v>9.9472529524343045E-2</v>
      </c>
      <c r="BD68" s="472" t="e">
        <f t="shared" si="50"/>
        <v>#DIV/0!</v>
      </c>
      <c r="BE68" s="472" t="e">
        <f t="shared" si="51"/>
        <v>#DIV/0!</v>
      </c>
    </row>
    <row r="69" spans="1:57" hidden="1" x14ac:dyDescent="0.35">
      <c r="A69" s="16">
        <v>45725</v>
      </c>
      <c r="B69" s="17">
        <v>48219670</v>
      </c>
      <c r="C69" s="17">
        <v>53652093</v>
      </c>
      <c r="D69" s="17">
        <v>2522476.7931034481</v>
      </c>
      <c r="E69" s="17">
        <v>4678443</v>
      </c>
      <c r="F69" s="484">
        <f t="shared" si="27"/>
        <v>2012901.7931034483</v>
      </c>
      <c r="G69" s="484">
        <f t="shared" si="28"/>
        <v>4190570</v>
      </c>
      <c r="H69" s="484">
        <f t="shared" si="29"/>
        <v>509575</v>
      </c>
      <c r="I69" s="484">
        <f t="shared" si="30"/>
        <v>487873</v>
      </c>
      <c r="J69" s="19">
        <v>46089</v>
      </c>
      <c r="K69" s="17">
        <v>2893557.5762682199</v>
      </c>
      <c r="L69" s="17">
        <v>2220072.5762682199</v>
      </c>
      <c r="M69" s="17">
        <v>673485</v>
      </c>
      <c r="N69" s="17">
        <v>1877757</v>
      </c>
      <c r="O69" s="17">
        <v>4090457</v>
      </c>
      <c r="P69" s="17">
        <v>21363.793103448301</v>
      </c>
      <c r="Q69" s="17">
        <v>21953</v>
      </c>
      <c r="R69" s="17">
        <v>18440</v>
      </c>
      <c r="S69" s="17">
        <v>-800</v>
      </c>
      <c r="T69" s="17">
        <v>10318</v>
      </c>
      <c r="U69" s="17">
        <v>2170</v>
      </c>
      <c r="V69" s="17">
        <v>85023</v>
      </c>
      <c r="W69" s="17">
        <v>76790</v>
      </c>
      <c r="X69" s="17">
        <v>365073</v>
      </c>
      <c r="Y69" s="17">
        <v>438569</v>
      </c>
      <c r="Z69" s="17">
        <v>119743</v>
      </c>
      <c r="AA69" s="17">
        <v>28025</v>
      </c>
      <c r="AB69" s="17">
        <v>17150</v>
      </c>
      <c r="AC69" s="17">
        <v>15404</v>
      </c>
      <c r="AD69" s="17">
        <v>7609</v>
      </c>
      <c r="AE69" s="17">
        <v>5875</v>
      </c>
      <c r="AF69" s="17">
        <v>0</v>
      </c>
      <c r="AG69" s="17">
        <v>0</v>
      </c>
      <c r="AH69" s="17">
        <v>0</v>
      </c>
      <c r="AI69" s="17">
        <v>0</v>
      </c>
      <c r="AJ69" s="54">
        <f t="shared" si="31"/>
        <v>484816</v>
      </c>
      <c r="AK69" s="54">
        <f t="shared" si="32"/>
        <v>466594</v>
      </c>
      <c r="AL69" s="54">
        <f t="shared" si="33"/>
        <v>24759</v>
      </c>
      <c r="AM69" s="54">
        <f t="shared" si="34"/>
        <v>21279</v>
      </c>
      <c r="AN69" s="19">
        <v>46089</v>
      </c>
      <c r="AO69" s="487">
        <f t="shared" si="35"/>
        <v>0.11265989584748293</v>
      </c>
      <c r="AP69" s="487">
        <f t="shared" si="36"/>
        <v>0.85470209787104845</v>
      </c>
      <c r="AQ69" s="486">
        <f t="shared" si="37"/>
        <v>1.0818551676776393</v>
      </c>
      <c r="AR69" s="486">
        <f t="shared" si="38"/>
        <v>-4.2588431536083937E-2</v>
      </c>
      <c r="AS69" s="472">
        <f t="shared" si="39"/>
        <v>1.1783739855583018</v>
      </c>
      <c r="AT69" s="472">
        <f t="shared" si="40"/>
        <v>2.7579694939874555E-2</v>
      </c>
      <c r="AU69" s="472">
        <f t="shared" si="41"/>
        <v>-1.0433839479392624</v>
      </c>
      <c r="AV69" s="472">
        <f t="shared" si="42"/>
        <v>-0.78968792401628218</v>
      </c>
      <c r="AW69" s="472">
        <f t="shared" si="43"/>
        <v>-9.6832621761170468E-2</v>
      </c>
      <c r="AX69" s="472">
        <f t="shared" si="44"/>
        <v>0.20131864038151281</v>
      </c>
      <c r="AY69" s="472">
        <f t="shared" si="45"/>
        <v>-0.76595709143749535</v>
      </c>
      <c r="AZ69" s="472">
        <f t="shared" si="46"/>
        <v>-3.7585393221345798E-2</v>
      </c>
      <c r="BA69" s="472">
        <f t="shared" si="47"/>
        <v>-0.10180758017492708</v>
      </c>
      <c r="BB69" s="472">
        <f t="shared" si="48"/>
        <v>-0.2278880273360494</v>
      </c>
      <c r="BC69" s="472">
        <f t="shared" si="49"/>
        <v>-0.14055494971525506</v>
      </c>
      <c r="BD69" s="472" t="e">
        <f t="shared" si="50"/>
        <v>#DIV/0!</v>
      </c>
      <c r="BE69" s="472" t="e">
        <f t="shared" si="51"/>
        <v>#DIV/0!</v>
      </c>
    </row>
    <row r="70" spans="1:57" hidden="1" x14ac:dyDescent="0.35">
      <c r="A70" s="19">
        <v>45726</v>
      </c>
      <c r="B70" s="17">
        <v>29158858</v>
      </c>
      <c r="C70" s="17">
        <v>31554878</v>
      </c>
      <c r="D70" s="17">
        <v>3729949.6551724137</v>
      </c>
      <c r="E70" s="17">
        <v>4542044</v>
      </c>
      <c r="F70" s="484">
        <f t="shared" si="27"/>
        <v>3195442.6551724137</v>
      </c>
      <c r="G70" s="484">
        <f t="shared" si="28"/>
        <v>4094413</v>
      </c>
      <c r="H70" s="484">
        <f t="shared" si="29"/>
        <v>534507</v>
      </c>
      <c r="I70" s="484">
        <f t="shared" si="30"/>
        <v>447631</v>
      </c>
      <c r="J70" s="19">
        <v>46090</v>
      </c>
      <c r="K70" s="17">
        <v>3416113.71282834</v>
      </c>
      <c r="L70" s="17">
        <v>2642557.71282834</v>
      </c>
      <c r="M70" s="17">
        <v>773556</v>
      </c>
      <c r="N70" s="17">
        <v>3068514</v>
      </c>
      <c r="O70" s="17">
        <v>3929406</v>
      </c>
      <c r="P70" s="17">
        <v>17939.655172413801</v>
      </c>
      <c r="Q70" s="17">
        <v>31783</v>
      </c>
      <c r="R70" s="17">
        <v>54141</v>
      </c>
      <c r="S70" s="17">
        <v>29516</v>
      </c>
      <c r="T70" s="17">
        <v>9922</v>
      </c>
      <c r="U70" s="17">
        <v>5855</v>
      </c>
      <c r="V70" s="17">
        <v>44926</v>
      </c>
      <c r="W70" s="17">
        <v>97853</v>
      </c>
      <c r="X70" s="17">
        <v>397940</v>
      </c>
      <c r="Y70" s="17">
        <v>392149</v>
      </c>
      <c r="Z70" s="17">
        <v>105887</v>
      </c>
      <c r="AA70" s="17">
        <v>38657</v>
      </c>
      <c r="AB70" s="17">
        <v>23153</v>
      </c>
      <c r="AC70" s="17">
        <v>9352</v>
      </c>
      <c r="AD70" s="17">
        <v>7527</v>
      </c>
      <c r="AE70" s="17">
        <v>7473</v>
      </c>
      <c r="AF70" s="17">
        <v>0</v>
      </c>
      <c r="AG70" s="17">
        <v>0</v>
      </c>
      <c r="AH70" s="17">
        <v>0</v>
      </c>
      <c r="AI70" s="17">
        <v>0</v>
      </c>
      <c r="AJ70" s="54">
        <f t="shared" si="31"/>
        <v>503827</v>
      </c>
      <c r="AK70" s="54">
        <f t="shared" si="32"/>
        <v>430806</v>
      </c>
      <c r="AL70" s="54">
        <f t="shared" si="33"/>
        <v>30680</v>
      </c>
      <c r="AM70" s="54">
        <f t="shared" si="34"/>
        <v>16825</v>
      </c>
      <c r="AN70" s="19">
        <v>46090</v>
      </c>
      <c r="AO70" s="487">
        <f t="shared" si="35"/>
        <v>8.2171256501197609E-2</v>
      </c>
      <c r="AP70" s="487">
        <f t="shared" si="36"/>
        <v>0.21772260215400885</v>
      </c>
      <c r="AQ70" s="486">
        <f t="shared" si="37"/>
        <v>0.28132889300092323</v>
      </c>
      <c r="AR70" s="486">
        <f t="shared" si="38"/>
        <v>-0.16253482180775924</v>
      </c>
      <c r="AS70" s="472">
        <f t="shared" si="39"/>
        <v>0.28055664728920915</v>
      </c>
      <c r="AT70" s="472">
        <f t="shared" si="40"/>
        <v>0.77166170110523713</v>
      </c>
      <c r="AU70" s="472">
        <f t="shared" si="41"/>
        <v>-0.45483090449012764</v>
      </c>
      <c r="AV70" s="472">
        <f t="shared" si="42"/>
        <v>-0.40989719814553516</v>
      </c>
      <c r="AW70" s="472">
        <f t="shared" si="43"/>
        <v>1.1780928638205048</v>
      </c>
      <c r="AX70" s="472">
        <f t="shared" si="44"/>
        <v>-1.4552445092224975E-2</v>
      </c>
      <c r="AY70" s="472">
        <f t="shared" si="45"/>
        <v>-0.6349221339730089</v>
      </c>
      <c r="AZ70" s="472">
        <f t="shared" si="46"/>
        <v>-0.14493268522727043</v>
      </c>
      <c r="BA70" s="472">
        <f t="shared" si="47"/>
        <v>-0.59607826199628555</v>
      </c>
      <c r="BB70" s="472">
        <f t="shared" si="48"/>
        <v>-7.1741729772817342E-3</v>
      </c>
      <c r="BC70" s="472">
        <f t="shared" si="49"/>
        <v>-0.45159713168187743</v>
      </c>
      <c r="BD70" s="472" t="e">
        <f t="shared" si="50"/>
        <v>#DIV/0!</v>
      </c>
      <c r="BE70" s="472" t="e">
        <f t="shared" si="51"/>
        <v>#DIV/0!</v>
      </c>
    </row>
    <row r="71" spans="1:57" hidden="1" x14ac:dyDescent="0.35">
      <c r="A71" s="16">
        <v>45727</v>
      </c>
      <c r="B71" s="17">
        <v>32602787</v>
      </c>
      <c r="C71" s="17">
        <v>32083406</v>
      </c>
      <c r="D71" s="17">
        <v>3884872.1379310344</v>
      </c>
      <c r="E71" s="17">
        <v>4789857</v>
      </c>
      <c r="F71" s="484">
        <f t="shared" si="27"/>
        <v>3283845.1379310344</v>
      </c>
      <c r="G71" s="484">
        <f t="shared" si="28"/>
        <v>4127182</v>
      </c>
      <c r="H71" s="484">
        <f t="shared" si="29"/>
        <v>601027</v>
      </c>
      <c r="I71" s="484">
        <f t="shared" si="30"/>
        <v>662675</v>
      </c>
      <c r="J71" s="19">
        <v>46091</v>
      </c>
      <c r="K71" s="17">
        <v>4894349.2464806996</v>
      </c>
      <c r="L71" s="17">
        <v>4195009.2464806996</v>
      </c>
      <c r="M71" s="17">
        <v>699340</v>
      </c>
      <c r="N71" s="17">
        <v>3074978</v>
      </c>
      <c r="O71" s="17">
        <v>3911691</v>
      </c>
      <c r="P71" s="17">
        <v>18699.1379310345</v>
      </c>
      <c r="Q71" s="17">
        <v>24886</v>
      </c>
      <c r="R71" s="17">
        <v>92616</v>
      </c>
      <c r="S71" s="17">
        <v>70786</v>
      </c>
      <c r="T71" s="17">
        <v>13747</v>
      </c>
      <c r="U71" s="17">
        <v>1807</v>
      </c>
      <c r="V71" s="17">
        <v>83805</v>
      </c>
      <c r="W71" s="17">
        <v>118012</v>
      </c>
      <c r="X71" s="17">
        <v>459672</v>
      </c>
      <c r="Y71" s="17">
        <v>576157</v>
      </c>
      <c r="Z71" s="17">
        <v>109568</v>
      </c>
      <c r="AA71" s="17">
        <v>72081</v>
      </c>
      <c r="AB71" s="17">
        <v>23342</v>
      </c>
      <c r="AC71" s="17">
        <v>6863</v>
      </c>
      <c r="AD71" s="17">
        <v>8445</v>
      </c>
      <c r="AE71" s="17">
        <v>7574</v>
      </c>
      <c r="AF71" s="17">
        <v>0</v>
      </c>
      <c r="AG71" s="17">
        <v>0</v>
      </c>
      <c r="AH71" s="17">
        <v>0</v>
      </c>
      <c r="AI71" s="17">
        <v>0</v>
      </c>
      <c r="AJ71" s="54">
        <f t="shared" si="31"/>
        <v>569240</v>
      </c>
      <c r="AK71" s="54">
        <f t="shared" si="32"/>
        <v>648238</v>
      </c>
      <c r="AL71" s="54">
        <f t="shared" si="33"/>
        <v>31787</v>
      </c>
      <c r="AM71" s="54">
        <f t="shared" si="34"/>
        <v>14437</v>
      </c>
      <c r="AN71" s="19">
        <v>46091</v>
      </c>
      <c r="AO71" s="487">
        <f t="shared" si="35"/>
        <v>-1.5930570598151617E-2</v>
      </c>
      <c r="AP71" s="487">
        <f t="shared" si="36"/>
        <v>0.23295100326028573</v>
      </c>
      <c r="AQ71" s="486">
        <f t="shared" si="37"/>
        <v>0.25681383458913798</v>
      </c>
      <c r="AR71" s="486">
        <f t="shared" si="38"/>
        <v>0.10257109913531348</v>
      </c>
      <c r="AS71" s="472">
        <f t="shared" si="39"/>
        <v>0.27210373537631805</v>
      </c>
      <c r="AT71" s="472">
        <f t="shared" si="40"/>
        <v>0.33086349177077934</v>
      </c>
      <c r="AU71" s="472">
        <f t="shared" si="41"/>
        <v>-0.23570441392415997</v>
      </c>
      <c r="AV71" s="472">
        <f t="shared" si="42"/>
        <v>-0.86855313886666186</v>
      </c>
      <c r="AW71" s="472">
        <f t="shared" si="43"/>
        <v>0.40817373665055778</v>
      </c>
      <c r="AX71" s="472">
        <f t="shared" si="44"/>
        <v>0.25340895247045725</v>
      </c>
      <c r="AY71" s="472">
        <f t="shared" si="45"/>
        <v>-0.34213456483644855</v>
      </c>
      <c r="AZ71" s="472">
        <f t="shared" si="46"/>
        <v>0.13877801981589477</v>
      </c>
      <c r="BA71" s="472">
        <f t="shared" si="47"/>
        <v>-0.70598063576385917</v>
      </c>
      <c r="BB71" s="472">
        <f t="shared" si="48"/>
        <v>-0.10313795145056248</v>
      </c>
      <c r="BC71" s="472">
        <f t="shared" si="49"/>
        <v>-0.54582061849183627</v>
      </c>
      <c r="BD71" s="472" t="e">
        <f t="shared" si="50"/>
        <v>#DIV/0!</v>
      </c>
      <c r="BE71" s="472" t="e">
        <f t="shared" si="51"/>
        <v>#DIV/0!</v>
      </c>
    </row>
    <row r="72" spans="1:57" hidden="1" x14ac:dyDescent="0.35">
      <c r="A72" s="19">
        <v>45728</v>
      </c>
      <c r="B72" s="17">
        <v>34731472</v>
      </c>
      <c r="C72" s="17">
        <v>34020740</v>
      </c>
      <c r="D72" s="17">
        <v>3696035.4827586208</v>
      </c>
      <c r="E72" s="17">
        <v>4380097</v>
      </c>
      <c r="F72" s="484">
        <f t="shared" si="27"/>
        <v>3253660.4827586208</v>
      </c>
      <c r="G72" s="484">
        <f t="shared" si="28"/>
        <v>3781524</v>
      </c>
      <c r="H72" s="484">
        <f t="shared" si="29"/>
        <v>442375</v>
      </c>
      <c r="I72" s="484">
        <f t="shared" si="30"/>
        <v>598573</v>
      </c>
      <c r="J72" s="19">
        <v>46092</v>
      </c>
      <c r="K72" s="17">
        <v>5073230.9146942999</v>
      </c>
      <c r="L72" s="17">
        <v>4311064.9146942999</v>
      </c>
      <c r="M72" s="17">
        <v>762166</v>
      </c>
      <c r="N72" s="17">
        <v>3121984</v>
      </c>
      <c r="O72" s="17">
        <v>3585730</v>
      </c>
      <c r="P72" s="17">
        <v>20284.482758620699</v>
      </c>
      <c r="Q72" s="17">
        <v>24993</v>
      </c>
      <c r="R72" s="17">
        <v>49307</v>
      </c>
      <c r="S72" s="17">
        <v>75058</v>
      </c>
      <c r="T72" s="17">
        <v>2001</v>
      </c>
      <c r="U72" s="17">
        <v>1008</v>
      </c>
      <c r="V72" s="17">
        <v>60084</v>
      </c>
      <c r="W72" s="17">
        <v>94735</v>
      </c>
      <c r="X72" s="17">
        <v>316270</v>
      </c>
      <c r="Y72" s="17">
        <v>482545</v>
      </c>
      <c r="Z72" s="17">
        <v>103062</v>
      </c>
      <c r="AA72" s="17">
        <v>88078</v>
      </c>
      <c r="AB72" s="17">
        <v>15545</v>
      </c>
      <c r="AC72" s="17">
        <v>16703</v>
      </c>
      <c r="AD72" s="17">
        <v>7498</v>
      </c>
      <c r="AE72" s="17">
        <v>11247</v>
      </c>
      <c r="AF72" s="17">
        <v>0</v>
      </c>
      <c r="AG72" s="17">
        <v>0</v>
      </c>
      <c r="AH72" s="17">
        <v>0</v>
      </c>
      <c r="AI72" s="17">
        <v>0</v>
      </c>
      <c r="AJ72" s="54">
        <f t="shared" si="31"/>
        <v>419332</v>
      </c>
      <c r="AK72" s="54">
        <f t="shared" si="32"/>
        <v>570623</v>
      </c>
      <c r="AL72" s="54">
        <f t="shared" si="33"/>
        <v>23043</v>
      </c>
      <c r="AM72" s="54">
        <f t="shared" si="34"/>
        <v>27950</v>
      </c>
      <c r="AN72" s="19">
        <v>46092</v>
      </c>
      <c r="AO72" s="487">
        <f t="shared" si="35"/>
        <v>-2.0463630219876627E-2</v>
      </c>
      <c r="AP72" s="487">
        <f t="shared" si="36"/>
        <v>0.18507980251607714</v>
      </c>
      <c r="AQ72" s="486">
        <f t="shared" si="37"/>
        <v>0.16223681605335449</v>
      </c>
      <c r="AR72" s="486">
        <f t="shared" si="38"/>
        <v>0.35308957332579816</v>
      </c>
      <c r="AS72" s="472">
        <f t="shared" si="39"/>
        <v>0.14854208093315013</v>
      </c>
      <c r="AT72" s="472">
        <f t="shared" si="40"/>
        <v>0.23212409689757707</v>
      </c>
      <c r="AU72" s="472">
        <f t="shared" si="41"/>
        <v>0.52225850284949393</v>
      </c>
      <c r="AV72" s="472">
        <f t="shared" si="42"/>
        <v>-0.49625187406296856</v>
      </c>
      <c r="AW72" s="472">
        <f t="shared" si="43"/>
        <v>0.57670927368350977</v>
      </c>
      <c r="AX72" s="472">
        <f t="shared" si="44"/>
        <v>0.52573750276662334</v>
      </c>
      <c r="AY72" s="472">
        <f t="shared" si="45"/>
        <v>-0.14538821292037807</v>
      </c>
      <c r="AZ72" s="472">
        <f t="shared" si="46"/>
        <v>0.36079049535928576</v>
      </c>
      <c r="BA72" s="472">
        <f t="shared" si="47"/>
        <v>7.449340623994849E-2</v>
      </c>
      <c r="BB72" s="472">
        <f t="shared" si="48"/>
        <v>0.5</v>
      </c>
      <c r="BC72" s="472">
        <f t="shared" si="49"/>
        <v>0.21294970272967939</v>
      </c>
      <c r="BD72" s="472" t="e">
        <f t="shared" si="50"/>
        <v>#DIV/0!</v>
      </c>
      <c r="BE72" s="472" t="e">
        <f t="shared" si="51"/>
        <v>#DIV/0!</v>
      </c>
    </row>
    <row r="73" spans="1:57" hidden="1" x14ac:dyDescent="0.35">
      <c r="A73" s="16">
        <v>45729</v>
      </c>
      <c r="B73" s="17">
        <v>39500465</v>
      </c>
      <c r="C73" s="17">
        <v>39021599</v>
      </c>
      <c r="D73" s="17">
        <v>2919718.3793103448</v>
      </c>
      <c r="E73" s="17">
        <v>3366718</v>
      </c>
      <c r="F73" s="484">
        <f t="shared" si="27"/>
        <v>2381494.3793103448</v>
      </c>
      <c r="G73" s="484">
        <f t="shared" si="28"/>
        <v>2707620</v>
      </c>
      <c r="H73" s="484">
        <f t="shared" si="29"/>
        <v>538224</v>
      </c>
      <c r="I73" s="484">
        <f t="shared" si="30"/>
        <v>659098</v>
      </c>
      <c r="J73" s="19">
        <v>46093</v>
      </c>
      <c r="K73" s="17">
        <v>4960834.1958905198</v>
      </c>
      <c r="L73" s="17">
        <v>4271438.1958905198</v>
      </c>
      <c r="M73" s="17">
        <v>689396</v>
      </c>
      <c r="N73" s="17">
        <v>2241196</v>
      </c>
      <c r="O73" s="17">
        <v>2569096</v>
      </c>
      <c r="P73" s="17">
        <v>20541.379310344801</v>
      </c>
      <c r="Q73" s="17">
        <v>25789</v>
      </c>
      <c r="R73" s="17">
        <v>35516</v>
      </c>
      <c r="S73" s="17">
        <v>27546</v>
      </c>
      <c r="T73" s="17">
        <v>3738</v>
      </c>
      <c r="U73" s="17">
        <v>2372</v>
      </c>
      <c r="V73" s="17">
        <v>80503</v>
      </c>
      <c r="W73" s="17">
        <v>82817</v>
      </c>
      <c r="X73" s="17">
        <v>406345</v>
      </c>
      <c r="Y73" s="17">
        <v>528144</v>
      </c>
      <c r="Z73" s="17">
        <v>108540</v>
      </c>
      <c r="AA73" s="17">
        <v>114102</v>
      </c>
      <c r="AB73" s="17">
        <v>17978</v>
      </c>
      <c r="AC73" s="17">
        <v>9692</v>
      </c>
      <c r="AD73" s="17">
        <v>5361</v>
      </c>
      <c r="AE73" s="17">
        <v>6730</v>
      </c>
      <c r="AF73" s="17">
        <v>0</v>
      </c>
      <c r="AG73" s="17">
        <v>430</v>
      </c>
      <c r="AH73" s="17">
        <v>0</v>
      </c>
      <c r="AI73" s="17">
        <v>0</v>
      </c>
      <c r="AJ73" s="54">
        <f t="shared" si="31"/>
        <v>514885</v>
      </c>
      <c r="AK73" s="54">
        <f t="shared" si="32"/>
        <v>642246</v>
      </c>
      <c r="AL73" s="54">
        <f t="shared" si="33"/>
        <v>23339</v>
      </c>
      <c r="AM73" s="54">
        <f t="shared" si="34"/>
        <v>16422</v>
      </c>
      <c r="AN73" s="19">
        <v>46093</v>
      </c>
      <c r="AO73" s="487">
        <f t="shared" si="35"/>
        <v>-1.2123047159065092E-2</v>
      </c>
      <c r="AP73" s="487">
        <f t="shared" si="36"/>
        <v>0.15309682737115193</v>
      </c>
      <c r="AQ73" s="486">
        <f t="shared" si="37"/>
        <v>0.13694158740114171</v>
      </c>
      <c r="AR73" s="486">
        <f t="shared" si="38"/>
        <v>0.22457935729361744</v>
      </c>
      <c r="AS73" s="472">
        <f t="shared" si="39"/>
        <v>0.14630581171838597</v>
      </c>
      <c r="AT73" s="472">
        <f t="shared" si="40"/>
        <v>0.25546583850931848</v>
      </c>
      <c r="AU73" s="472">
        <f t="shared" si="41"/>
        <v>-0.22440590156549156</v>
      </c>
      <c r="AV73" s="472">
        <f t="shared" si="42"/>
        <v>-0.36543606206527557</v>
      </c>
      <c r="AW73" s="472">
        <f t="shared" si="43"/>
        <v>2.8744270399860827E-2</v>
      </c>
      <c r="AX73" s="472">
        <f t="shared" si="44"/>
        <v>0.29974282936913221</v>
      </c>
      <c r="AY73" s="472">
        <f t="shared" si="45"/>
        <v>5.124378109452743E-2</v>
      </c>
      <c r="AZ73" s="472">
        <f t="shared" si="46"/>
        <v>0.24735814793594679</v>
      </c>
      <c r="BA73" s="472">
        <f t="shared" si="47"/>
        <v>-0.46089665146289915</v>
      </c>
      <c r="BB73" s="472">
        <f t="shared" si="48"/>
        <v>0.25536280544674494</v>
      </c>
      <c r="BC73" s="472">
        <f t="shared" si="49"/>
        <v>-0.29637088135738465</v>
      </c>
      <c r="BD73" s="472" t="e">
        <f t="shared" si="50"/>
        <v>#DIV/0!</v>
      </c>
      <c r="BE73" s="472" t="e">
        <f t="shared" si="51"/>
        <v>#DIV/0!</v>
      </c>
    </row>
    <row r="74" spans="1:57" hidden="1" x14ac:dyDescent="0.35">
      <c r="A74" s="19">
        <v>45730</v>
      </c>
      <c r="B74" s="17">
        <v>40508948</v>
      </c>
      <c r="C74" s="17">
        <v>42853042</v>
      </c>
      <c r="D74" s="17">
        <v>2652961.1379310344</v>
      </c>
      <c r="E74" s="17">
        <v>3042459</v>
      </c>
      <c r="F74" s="484">
        <f t="shared" si="27"/>
        <v>2199263.1379310344</v>
      </c>
      <c r="G74" s="484">
        <f t="shared" si="28"/>
        <v>2474434</v>
      </c>
      <c r="H74" s="484">
        <f t="shared" si="29"/>
        <v>453698</v>
      </c>
      <c r="I74" s="484">
        <f t="shared" si="30"/>
        <v>568025</v>
      </c>
      <c r="J74" s="19">
        <v>46094</v>
      </c>
      <c r="K74" s="17">
        <v>3809914.76603708</v>
      </c>
      <c r="L74" s="17">
        <v>3126449.76603708</v>
      </c>
      <c r="M74" s="17">
        <v>683465</v>
      </c>
      <c r="N74" s="17">
        <v>2063367</v>
      </c>
      <c r="O74" s="17">
        <v>2352964</v>
      </c>
      <c r="P74" s="17">
        <v>19974.1379310345</v>
      </c>
      <c r="Q74" s="17">
        <v>25240</v>
      </c>
      <c r="R74" s="17">
        <v>42958</v>
      </c>
      <c r="S74" s="17">
        <v>10254</v>
      </c>
      <c r="T74" s="17">
        <v>2014</v>
      </c>
      <c r="U74" s="17">
        <v>1229</v>
      </c>
      <c r="V74" s="17">
        <v>70950</v>
      </c>
      <c r="W74" s="17">
        <v>84747</v>
      </c>
      <c r="X74" s="17">
        <v>344615</v>
      </c>
      <c r="Y74" s="17">
        <v>449788</v>
      </c>
      <c r="Z74" s="17">
        <v>79899</v>
      </c>
      <c r="AA74" s="17">
        <v>88592</v>
      </c>
      <c r="AB74" s="17">
        <v>19325</v>
      </c>
      <c r="AC74" s="17">
        <v>15754</v>
      </c>
      <c r="AD74" s="17">
        <v>9859</v>
      </c>
      <c r="AE74" s="17">
        <v>13891</v>
      </c>
      <c r="AF74" s="17">
        <v>0</v>
      </c>
      <c r="AG74" s="17">
        <v>0</v>
      </c>
      <c r="AH74" s="17">
        <v>0</v>
      </c>
      <c r="AI74" s="17">
        <v>0</v>
      </c>
      <c r="AJ74" s="54">
        <f t="shared" si="31"/>
        <v>424514</v>
      </c>
      <c r="AK74" s="54">
        <f t="shared" si="32"/>
        <v>538380</v>
      </c>
      <c r="AL74" s="54">
        <f t="shared" si="33"/>
        <v>29184</v>
      </c>
      <c r="AM74" s="54">
        <f t="shared" si="34"/>
        <v>29645</v>
      </c>
      <c r="AN74" s="19">
        <v>46094</v>
      </c>
      <c r="AO74" s="487">
        <f t="shared" si="35"/>
        <v>5.7866079365971101E-2</v>
      </c>
      <c r="AP74" s="487">
        <f t="shared" si="36"/>
        <v>0.14681627126009222</v>
      </c>
      <c r="AQ74" s="486">
        <f t="shared" si="37"/>
        <v>0.12511957178886446</v>
      </c>
      <c r="AR74" s="486">
        <f t="shared" si="38"/>
        <v>0.25198920868066432</v>
      </c>
      <c r="AS74" s="472">
        <f t="shared" si="39"/>
        <v>0.14035166792916631</v>
      </c>
      <c r="AT74" s="472">
        <f t="shared" si="40"/>
        <v>0.26363400949503557</v>
      </c>
      <c r="AU74" s="472">
        <f t="shared" si="41"/>
        <v>-0.76130173657991529</v>
      </c>
      <c r="AV74" s="472">
        <f t="shared" si="42"/>
        <v>-0.38977159880834156</v>
      </c>
      <c r="AW74" s="472">
        <f t="shared" si="43"/>
        <v>0.19446088794925998</v>
      </c>
      <c r="AX74" s="472">
        <f t="shared" si="44"/>
        <v>0.30518984954224271</v>
      </c>
      <c r="AY74" s="472">
        <f t="shared" si="45"/>
        <v>0.10879985982302665</v>
      </c>
      <c r="AZ74" s="472">
        <f t="shared" si="46"/>
        <v>0.26822672514922941</v>
      </c>
      <c r="BA74" s="472">
        <f t="shared" si="47"/>
        <v>-0.18478654592496768</v>
      </c>
      <c r="BB74" s="472">
        <f t="shared" si="48"/>
        <v>0.40896642661527549</v>
      </c>
      <c r="BC74" s="472">
        <f t="shared" si="49"/>
        <v>1.5796326754385914E-2</v>
      </c>
      <c r="BD74" s="472" t="e">
        <f t="shared" si="50"/>
        <v>#DIV/0!</v>
      </c>
      <c r="BE74" s="472" t="e">
        <f t="shared" si="51"/>
        <v>#DIV/0!</v>
      </c>
    </row>
    <row r="75" spans="1:57" hidden="1" x14ac:dyDescent="0.35">
      <c r="A75" s="16">
        <v>45731</v>
      </c>
      <c r="B75" s="17">
        <v>50785730</v>
      </c>
      <c r="C75" s="17">
        <v>51179806</v>
      </c>
      <c r="D75" s="17">
        <v>2383369.1379310344</v>
      </c>
      <c r="E75" s="17">
        <v>2706815</v>
      </c>
      <c r="F75" s="484">
        <f t="shared" si="27"/>
        <v>1863114.1379310344</v>
      </c>
      <c r="G75" s="484">
        <f t="shared" si="28"/>
        <v>2135069</v>
      </c>
      <c r="H75" s="484">
        <f t="shared" si="29"/>
        <v>520255</v>
      </c>
      <c r="I75" s="484">
        <f t="shared" si="30"/>
        <v>571746</v>
      </c>
      <c r="J75" s="19">
        <v>46095</v>
      </c>
      <c r="K75" s="17">
        <v>3495543.76009935</v>
      </c>
      <c r="L75" s="17">
        <v>2887214.76009935</v>
      </c>
      <c r="M75" s="17">
        <v>608329</v>
      </c>
      <c r="N75" s="17">
        <v>1765846</v>
      </c>
      <c r="O75" s="17">
        <v>2001768</v>
      </c>
      <c r="P75" s="17">
        <v>21924.1379310345</v>
      </c>
      <c r="Q75" s="17">
        <v>28216</v>
      </c>
      <c r="R75" s="17">
        <v>20436</v>
      </c>
      <c r="S75" s="17">
        <v>14927</v>
      </c>
      <c r="T75" s="17">
        <v>10353</v>
      </c>
      <c r="U75" s="17">
        <v>2224</v>
      </c>
      <c r="V75" s="17">
        <v>44555</v>
      </c>
      <c r="W75" s="17">
        <v>87934</v>
      </c>
      <c r="X75" s="17">
        <v>376445</v>
      </c>
      <c r="Y75" s="17">
        <v>481251</v>
      </c>
      <c r="Z75" s="17">
        <v>119373</v>
      </c>
      <c r="AA75" s="17">
        <v>65098</v>
      </c>
      <c r="AB75" s="17">
        <v>15604</v>
      </c>
      <c r="AC75" s="17">
        <v>17234</v>
      </c>
      <c r="AD75" s="17">
        <v>8833</v>
      </c>
      <c r="AE75" s="17">
        <v>7560</v>
      </c>
      <c r="AF75" s="17">
        <v>0</v>
      </c>
      <c r="AG75" s="17">
        <v>0</v>
      </c>
      <c r="AH75" s="17">
        <v>0</v>
      </c>
      <c r="AI75" s="17">
        <v>603</v>
      </c>
      <c r="AJ75" s="54">
        <f t="shared" si="31"/>
        <v>495818</v>
      </c>
      <c r="AK75" s="54">
        <f t="shared" si="32"/>
        <v>546349</v>
      </c>
      <c r="AL75" s="54">
        <f t="shared" si="33"/>
        <v>24437</v>
      </c>
      <c r="AM75" s="54">
        <f t="shared" si="34"/>
        <v>24794</v>
      </c>
      <c r="AN75" s="19">
        <v>46095</v>
      </c>
      <c r="AO75" s="487">
        <f t="shared" si="35"/>
        <v>7.7595812839552636E-3</v>
      </c>
      <c r="AP75" s="487">
        <f t="shared" si="36"/>
        <v>0.13570951176692003</v>
      </c>
      <c r="AQ75" s="486">
        <f t="shared" si="37"/>
        <v>0.1459679020905118</v>
      </c>
      <c r="AR75" s="486">
        <f t="shared" si="38"/>
        <v>9.8972619196355582E-2</v>
      </c>
      <c r="AS75" s="472">
        <f t="shared" si="39"/>
        <v>0.13360281700669252</v>
      </c>
      <c r="AT75" s="472">
        <f t="shared" si="40"/>
        <v>0.28698332809059357</v>
      </c>
      <c r="AU75" s="472">
        <f t="shared" si="41"/>
        <v>-0.26957330201605012</v>
      </c>
      <c r="AV75" s="472">
        <f t="shared" si="42"/>
        <v>-0.78518303873273454</v>
      </c>
      <c r="AW75" s="472">
        <f t="shared" si="43"/>
        <v>0.97360565593087189</v>
      </c>
      <c r="AX75" s="472">
        <f t="shared" si="44"/>
        <v>0.27840986067021745</v>
      </c>
      <c r="AY75" s="472">
        <f t="shared" si="45"/>
        <v>-0.45466730332654792</v>
      </c>
      <c r="AZ75" s="472">
        <f t="shared" si="46"/>
        <v>0.10191441214316543</v>
      </c>
      <c r="BA75" s="472">
        <f t="shared" si="47"/>
        <v>0.10446039477057156</v>
      </c>
      <c r="BB75" s="472">
        <f t="shared" si="48"/>
        <v>-0.14411864598664104</v>
      </c>
      <c r="BC75" s="472">
        <f t="shared" si="49"/>
        <v>1.4608994557433475E-2</v>
      </c>
      <c r="BD75" s="472" t="e">
        <f t="shared" si="50"/>
        <v>#DIV/0!</v>
      </c>
      <c r="BE75" s="472" t="e">
        <f t="shared" si="51"/>
        <v>#DIV/0!</v>
      </c>
    </row>
    <row r="76" spans="1:57" hidden="1" x14ac:dyDescent="0.35">
      <c r="A76" s="19">
        <v>45732</v>
      </c>
      <c r="B76" s="17">
        <v>46643284</v>
      </c>
      <c r="C76" s="17">
        <v>49926015</v>
      </c>
      <c r="D76" s="17">
        <v>2499045.6896551726</v>
      </c>
      <c r="E76" s="17">
        <v>3115933</v>
      </c>
      <c r="F76" s="484">
        <f t="shared" si="27"/>
        <v>1898065.6896551724</v>
      </c>
      <c r="G76" s="484">
        <f t="shared" si="28"/>
        <v>2491926</v>
      </c>
      <c r="H76" s="484">
        <f t="shared" si="29"/>
        <v>600980</v>
      </c>
      <c r="I76" s="484">
        <f t="shared" si="30"/>
        <v>624007</v>
      </c>
      <c r="J76" s="19">
        <v>46096</v>
      </c>
      <c r="K76" s="17">
        <v>3092104.9730690098</v>
      </c>
      <c r="L76" s="17">
        <v>2445914.9730690098</v>
      </c>
      <c r="M76" s="17">
        <v>646190</v>
      </c>
      <c r="N76" s="17">
        <v>1783206</v>
      </c>
      <c r="O76" s="17">
        <v>2324978</v>
      </c>
      <c r="P76" s="17">
        <v>22420.689655172398</v>
      </c>
      <c r="Q76" s="17">
        <v>29697</v>
      </c>
      <c r="R76" s="17">
        <v>15356</v>
      </c>
      <c r="S76" s="17">
        <v>6793</v>
      </c>
      <c r="T76" s="17">
        <v>4841</v>
      </c>
      <c r="U76" s="17">
        <v>2651</v>
      </c>
      <c r="V76" s="17">
        <v>72242</v>
      </c>
      <c r="W76" s="17">
        <v>127807</v>
      </c>
      <c r="X76" s="17">
        <v>420638</v>
      </c>
      <c r="Y76" s="17">
        <v>506009</v>
      </c>
      <c r="Z76" s="17">
        <v>153175</v>
      </c>
      <c r="AA76" s="17">
        <v>90650</v>
      </c>
      <c r="AB76" s="17">
        <v>16158</v>
      </c>
      <c r="AC76" s="17">
        <v>17281</v>
      </c>
      <c r="AD76" s="17">
        <v>11009</v>
      </c>
      <c r="AE76" s="17">
        <v>7630</v>
      </c>
      <c r="AF76" s="17">
        <v>0</v>
      </c>
      <c r="AG76" s="17">
        <v>1791</v>
      </c>
      <c r="AH76" s="17">
        <v>0</v>
      </c>
      <c r="AI76" s="17">
        <v>646</v>
      </c>
      <c r="AJ76" s="54">
        <f t="shared" si="31"/>
        <v>573813</v>
      </c>
      <c r="AK76" s="54">
        <f t="shared" si="32"/>
        <v>596659</v>
      </c>
      <c r="AL76" s="54">
        <f t="shared" si="33"/>
        <v>27167</v>
      </c>
      <c r="AM76" s="54">
        <f t="shared" si="34"/>
        <v>24911</v>
      </c>
      <c r="AN76" s="19">
        <v>46096</v>
      </c>
      <c r="AO76" s="487">
        <f t="shared" si="35"/>
        <v>7.0379499865403927E-2</v>
      </c>
      <c r="AP76" s="487">
        <f t="shared" si="36"/>
        <v>0.24684915241783667</v>
      </c>
      <c r="AQ76" s="486">
        <f t="shared" si="37"/>
        <v>0.31287658461004897</v>
      </c>
      <c r="AR76" s="486">
        <f t="shared" si="38"/>
        <v>3.8315750940131066E-2</v>
      </c>
      <c r="AS76" s="472">
        <f t="shared" si="39"/>
        <v>0.30381907642751305</v>
      </c>
      <c r="AT76" s="472">
        <f t="shared" si="40"/>
        <v>0.32453552752999171</v>
      </c>
      <c r="AU76" s="472">
        <f t="shared" si="41"/>
        <v>-0.55763219588434487</v>
      </c>
      <c r="AV76" s="472">
        <f t="shared" si="42"/>
        <v>-0.45238587068787439</v>
      </c>
      <c r="AW76" s="472">
        <f t="shared" si="43"/>
        <v>0.76915090944326026</v>
      </c>
      <c r="AX76" s="472">
        <f t="shared" si="44"/>
        <v>0.20295598590712194</v>
      </c>
      <c r="AY76" s="472">
        <f t="shared" si="45"/>
        <v>-0.40819324302268645</v>
      </c>
      <c r="AZ76" s="472">
        <f t="shared" si="46"/>
        <v>3.9814364610073261E-2</v>
      </c>
      <c r="BA76" s="472">
        <f t="shared" si="47"/>
        <v>6.9501175888105005E-2</v>
      </c>
      <c r="BB76" s="472">
        <f t="shared" si="48"/>
        <v>-0.30693069306930698</v>
      </c>
      <c r="BC76" s="472">
        <f t="shared" si="49"/>
        <v>-8.304192586594028E-2</v>
      </c>
      <c r="BD76" s="472" t="e">
        <f t="shared" si="50"/>
        <v>#DIV/0!</v>
      </c>
      <c r="BE76" s="472" t="e">
        <f t="shared" si="51"/>
        <v>#DIV/0!</v>
      </c>
    </row>
    <row r="77" spans="1:57" hidden="1" x14ac:dyDescent="0.35">
      <c r="A77" s="16">
        <v>45733</v>
      </c>
      <c r="B77" s="17">
        <v>47608877</v>
      </c>
      <c r="C77" s="17">
        <v>48089099</v>
      </c>
      <c r="D77" s="17">
        <v>3266815.4482758623</v>
      </c>
      <c r="E77" s="17">
        <v>4210851</v>
      </c>
      <c r="F77" s="484">
        <f t="shared" si="27"/>
        <v>2597503.4482758623</v>
      </c>
      <c r="G77" s="484">
        <f t="shared" si="28"/>
        <v>3526926</v>
      </c>
      <c r="H77" s="484">
        <f t="shared" si="29"/>
        <v>669312</v>
      </c>
      <c r="I77" s="484">
        <f t="shared" si="30"/>
        <v>683925</v>
      </c>
      <c r="J77" s="19">
        <v>46097</v>
      </c>
      <c r="K77" s="17">
        <v>3188666.7215949399</v>
      </c>
      <c r="L77" s="17">
        <v>2491799.7215949399</v>
      </c>
      <c r="M77" s="17">
        <v>696867</v>
      </c>
      <c r="N77" s="17">
        <v>2491693</v>
      </c>
      <c r="O77" s="17">
        <v>3399452</v>
      </c>
      <c r="P77" s="17">
        <v>27203.448275862102</v>
      </c>
      <c r="Q77" s="17">
        <v>29457</v>
      </c>
      <c r="R77" s="17">
        <v>16130</v>
      </c>
      <c r="S77" s="17">
        <v>1988</v>
      </c>
      <c r="T77" s="17">
        <v>128</v>
      </c>
      <c r="U77" s="17">
        <v>8157</v>
      </c>
      <c r="V77" s="17">
        <v>62349</v>
      </c>
      <c r="W77" s="17">
        <v>87872</v>
      </c>
      <c r="X77" s="17">
        <v>466542</v>
      </c>
      <c r="Y77" s="17">
        <v>560507</v>
      </c>
      <c r="Z77" s="17">
        <v>176254</v>
      </c>
      <c r="AA77" s="17">
        <v>93974</v>
      </c>
      <c r="AB77" s="17">
        <v>16451</v>
      </c>
      <c r="AC77" s="17">
        <v>17848</v>
      </c>
      <c r="AD77" s="17">
        <v>10065</v>
      </c>
      <c r="AE77" s="17">
        <v>11596</v>
      </c>
      <c r="AF77" s="17">
        <v>0</v>
      </c>
      <c r="AG77" s="17">
        <v>0</v>
      </c>
      <c r="AH77" s="17">
        <v>0</v>
      </c>
      <c r="AI77" s="17">
        <v>0</v>
      </c>
      <c r="AJ77" s="54">
        <f t="shared" si="31"/>
        <v>642796</v>
      </c>
      <c r="AK77" s="54">
        <f t="shared" si="32"/>
        <v>654481</v>
      </c>
      <c r="AL77" s="54">
        <f t="shared" si="33"/>
        <v>26516</v>
      </c>
      <c r="AM77" s="54">
        <f t="shared" si="34"/>
        <v>29444</v>
      </c>
      <c r="AN77" s="19">
        <v>46097</v>
      </c>
      <c r="AO77" s="487">
        <f t="shared" si="35"/>
        <v>1.0086816372501195E-2</v>
      </c>
      <c r="AP77" s="487">
        <f t="shared" si="36"/>
        <v>0.28897731343298694</v>
      </c>
      <c r="AQ77" s="486">
        <f t="shared" si="37"/>
        <v>0.3578137893680402</v>
      </c>
      <c r="AR77" s="486">
        <f t="shared" si="38"/>
        <v>2.183286718301769E-2</v>
      </c>
      <c r="AS77" s="472">
        <f t="shared" si="39"/>
        <v>0.36431414303447496</v>
      </c>
      <c r="AT77" s="472">
        <f t="shared" si="40"/>
        <v>8.2840664215995563E-2</v>
      </c>
      <c r="AU77" s="472">
        <f t="shared" si="41"/>
        <v>-0.87675139491630505</v>
      </c>
      <c r="AV77" s="472">
        <f t="shared" si="42"/>
        <v>62.7265625</v>
      </c>
      <c r="AW77" s="472">
        <f t="shared" si="43"/>
        <v>0.40935700652777118</v>
      </c>
      <c r="AX77" s="472">
        <f t="shared" si="44"/>
        <v>0.20140737597043779</v>
      </c>
      <c r="AY77" s="472">
        <f t="shared" si="45"/>
        <v>-0.46682628479353661</v>
      </c>
      <c r="AZ77" s="472">
        <f t="shared" si="46"/>
        <v>1.8178395634073752E-2</v>
      </c>
      <c r="BA77" s="472">
        <f t="shared" si="47"/>
        <v>8.4918849917938077E-2</v>
      </c>
      <c r="BB77" s="472">
        <f t="shared" si="48"/>
        <v>0.15211127670144053</v>
      </c>
      <c r="BC77" s="472">
        <f t="shared" si="49"/>
        <v>0.1104238950067884</v>
      </c>
      <c r="BD77" s="472" t="e">
        <f t="shared" si="50"/>
        <v>#DIV/0!</v>
      </c>
      <c r="BE77" s="472" t="e">
        <f t="shared" si="51"/>
        <v>#DIV/0!</v>
      </c>
    </row>
    <row r="78" spans="1:57" hidden="1" x14ac:dyDescent="0.35">
      <c r="A78" s="19">
        <v>45734</v>
      </c>
      <c r="B78" s="17">
        <v>29669203</v>
      </c>
      <c r="C78" s="17">
        <v>29095609</v>
      </c>
      <c r="D78" s="17">
        <v>3813817.2758620689</v>
      </c>
      <c r="E78" s="17">
        <v>4649751</v>
      </c>
      <c r="F78" s="484">
        <f t="shared" si="27"/>
        <v>3235989.2758620689</v>
      </c>
      <c r="G78" s="484">
        <f t="shared" si="28"/>
        <v>4042906</v>
      </c>
      <c r="H78" s="484">
        <f t="shared" si="29"/>
        <v>577828</v>
      </c>
      <c r="I78" s="484">
        <f t="shared" si="30"/>
        <v>606845</v>
      </c>
      <c r="J78" s="19">
        <v>46098</v>
      </c>
      <c r="K78" s="17">
        <v>4195600.6436511902</v>
      </c>
      <c r="L78" s="17">
        <v>3410028.6436511902</v>
      </c>
      <c r="M78" s="17">
        <v>785572</v>
      </c>
      <c r="N78" s="17">
        <v>3071084</v>
      </c>
      <c r="O78" s="17">
        <v>3855703</v>
      </c>
      <c r="P78" s="17">
        <v>18998.275862069</v>
      </c>
      <c r="Q78" s="17">
        <v>23686</v>
      </c>
      <c r="R78" s="17">
        <v>73572</v>
      </c>
      <c r="S78" s="17">
        <v>50602</v>
      </c>
      <c r="T78" s="17">
        <v>-818</v>
      </c>
      <c r="U78" s="17">
        <v>-430</v>
      </c>
      <c r="V78" s="17">
        <v>73153</v>
      </c>
      <c r="W78" s="17">
        <v>113345</v>
      </c>
      <c r="X78" s="17">
        <v>419718</v>
      </c>
      <c r="Y78" s="17">
        <v>500176</v>
      </c>
      <c r="Z78" s="17">
        <v>123367</v>
      </c>
      <c r="AA78" s="17">
        <v>79938</v>
      </c>
      <c r="AB78" s="17">
        <v>22898</v>
      </c>
      <c r="AC78" s="17">
        <v>15249</v>
      </c>
      <c r="AD78" s="17">
        <v>11845</v>
      </c>
      <c r="AE78" s="17">
        <v>11085</v>
      </c>
      <c r="AF78" s="17">
        <v>0</v>
      </c>
      <c r="AG78" s="17">
        <v>397</v>
      </c>
      <c r="AH78" s="17">
        <v>0</v>
      </c>
      <c r="AI78" s="17">
        <v>0</v>
      </c>
      <c r="AJ78" s="54">
        <f t="shared" si="31"/>
        <v>543085</v>
      </c>
      <c r="AK78" s="54">
        <f t="shared" si="32"/>
        <v>580114</v>
      </c>
      <c r="AL78" s="54">
        <f t="shared" si="33"/>
        <v>34743</v>
      </c>
      <c r="AM78" s="54">
        <f t="shared" si="34"/>
        <v>26334</v>
      </c>
      <c r="AN78" s="19">
        <v>46098</v>
      </c>
      <c r="AO78" s="487">
        <f t="shared" si="35"/>
        <v>-1.9332976352617215E-2</v>
      </c>
      <c r="AP78" s="487">
        <f t="shared" si="36"/>
        <v>0.21918557279306938</v>
      </c>
      <c r="AQ78" s="486">
        <f t="shared" si="37"/>
        <v>0.24935704520311441</v>
      </c>
      <c r="AR78" s="486">
        <f t="shared" si="38"/>
        <v>5.021736572128721E-2</v>
      </c>
      <c r="AS78" s="472">
        <f t="shared" si="39"/>
        <v>0.25548601080270039</v>
      </c>
      <c r="AT78" s="472">
        <f t="shared" si="40"/>
        <v>0.24674471367637496</v>
      </c>
      <c r="AU78" s="472">
        <f t="shared" si="41"/>
        <v>-0.31221116729190457</v>
      </c>
      <c r="AV78" s="472">
        <f t="shared" si="42"/>
        <v>-0.47432762836185816</v>
      </c>
      <c r="AW78" s="472">
        <f t="shared" si="43"/>
        <v>0.54942381037004639</v>
      </c>
      <c r="AX78" s="472">
        <f t="shared" si="44"/>
        <v>0.19169537641940537</v>
      </c>
      <c r="AY78" s="472">
        <f t="shared" si="45"/>
        <v>-0.35203093209691405</v>
      </c>
      <c r="AZ78" s="472">
        <f t="shared" si="46"/>
        <v>6.8182696999548931E-2</v>
      </c>
      <c r="BA78" s="472">
        <f t="shared" si="47"/>
        <v>-0.33404664162808984</v>
      </c>
      <c r="BB78" s="472">
        <f t="shared" si="48"/>
        <v>-6.416209371042636E-2</v>
      </c>
      <c r="BC78" s="472">
        <f t="shared" si="49"/>
        <v>-0.24203436663500566</v>
      </c>
      <c r="BD78" s="472" t="e">
        <f t="shared" si="50"/>
        <v>#DIV/0!</v>
      </c>
      <c r="BE78" s="472" t="e">
        <f t="shared" si="51"/>
        <v>#DIV/0!</v>
      </c>
    </row>
    <row r="79" spans="1:57" hidden="1" x14ac:dyDescent="0.35">
      <c r="A79" s="16">
        <v>45735</v>
      </c>
      <c r="B79" s="17">
        <v>31648239</v>
      </c>
      <c r="C79" s="17">
        <v>33761513</v>
      </c>
      <c r="D79" s="17">
        <v>3646038.6551724137</v>
      </c>
      <c r="E79" s="17">
        <v>4534180</v>
      </c>
      <c r="F79" s="484">
        <f t="shared" si="27"/>
        <v>3141619.6551724137</v>
      </c>
      <c r="G79" s="484">
        <f t="shared" si="28"/>
        <v>3880211</v>
      </c>
      <c r="H79" s="484">
        <f t="shared" si="29"/>
        <v>504419</v>
      </c>
      <c r="I79" s="484">
        <f t="shared" si="30"/>
        <v>653969</v>
      </c>
      <c r="J79" s="19">
        <v>46099</v>
      </c>
      <c r="K79" s="17">
        <v>4962094.2578005204</v>
      </c>
      <c r="L79" s="17">
        <v>4248239.2578005204</v>
      </c>
      <c r="M79" s="17">
        <v>713855</v>
      </c>
      <c r="N79" s="17">
        <v>2976626</v>
      </c>
      <c r="O79" s="17">
        <v>3737072</v>
      </c>
      <c r="P79" s="17">
        <v>19664.655172413801</v>
      </c>
      <c r="Q79" s="17">
        <v>19698</v>
      </c>
      <c r="R79" s="17">
        <v>74611</v>
      </c>
      <c r="S79" s="17">
        <v>39710</v>
      </c>
      <c r="T79" s="17">
        <v>-1496</v>
      </c>
      <c r="U79" s="17">
        <v>5715</v>
      </c>
      <c r="V79" s="17">
        <v>72214</v>
      </c>
      <c r="W79" s="17">
        <v>78016</v>
      </c>
      <c r="X79" s="17">
        <v>365376</v>
      </c>
      <c r="Y79" s="17">
        <v>524686</v>
      </c>
      <c r="Z79" s="17">
        <v>116910</v>
      </c>
      <c r="AA79" s="17">
        <v>102274</v>
      </c>
      <c r="AB79" s="17">
        <v>13598</v>
      </c>
      <c r="AC79" s="17">
        <v>18601</v>
      </c>
      <c r="AD79" s="17">
        <v>8535</v>
      </c>
      <c r="AE79" s="17">
        <v>8408</v>
      </c>
      <c r="AF79" s="17">
        <v>0</v>
      </c>
      <c r="AG79" s="17">
        <v>0</v>
      </c>
      <c r="AH79" s="17">
        <v>0</v>
      </c>
      <c r="AI79" s="17">
        <v>0</v>
      </c>
      <c r="AJ79" s="54">
        <f t="shared" si="31"/>
        <v>482286</v>
      </c>
      <c r="AK79" s="54">
        <f t="shared" si="32"/>
        <v>626960</v>
      </c>
      <c r="AL79" s="54">
        <f t="shared" si="33"/>
        <v>22133</v>
      </c>
      <c r="AM79" s="54">
        <f t="shared" si="34"/>
        <v>27009</v>
      </c>
      <c r="AN79" s="19">
        <v>46099</v>
      </c>
      <c r="AO79" s="487">
        <f t="shared" si="35"/>
        <v>6.6773825867531E-2</v>
      </c>
      <c r="AP79" s="487">
        <f t="shared" si="36"/>
        <v>0.24359076488880183</v>
      </c>
      <c r="AQ79" s="486">
        <f t="shared" si="37"/>
        <v>0.235098906263703</v>
      </c>
      <c r="AR79" s="486">
        <f t="shared" si="38"/>
        <v>0.29647971230266901</v>
      </c>
      <c r="AS79" s="472">
        <f t="shared" si="39"/>
        <v>0.25547247118045724</v>
      </c>
      <c r="AT79" s="472">
        <f t="shared" si="40"/>
        <v>1.6956731401513991E-3</v>
      </c>
      <c r="AU79" s="472">
        <f t="shared" si="41"/>
        <v>-0.46777284850759271</v>
      </c>
      <c r="AV79" s="472">
        <f t="shared" si="42"/>
        <v>-4.8201871657754012</v>
      </c>
      <c r="AW79" s="472">
        <f t="shared" si="43"/>
        <v>8.0344531531282071E-2</v>
      </c>
      <c r="AX79" s="472">
        <f t="shared" si="44"/>
        <v>0.43601659660185677</v>
      </c>
      <c r="AY79" s="472">
        <f t="shared" si="45"/>
        <v>-0.12519031733812336</v>
      </c>
      <c r="AZ79" s="472">
        <f t="shared" si="46"/>
        <v>0.29997553318984993</v>
      </c>
      <c r="BA79" s="472">
        <f t="shared" si="47"/>
        <v>0.36792175319899978</v>
      </c>
      <c r="BB79" s="472">
        <f t="shared" si="48"/>
        <v>-1.4879906268306931E-2</v>
      </c>
      <c r="BC79" s="472">
        <f t="shared" si="49"/>
        <v>0.22030452265847367</v>
      </c>
      <c r="BD79" s="472" t="e">
        <f t="shared" si="50"/>
        <v>#DIV/0!</v>
      </c>
      <c r="BE79" s="472" t="e">
        <f t="shared" si="51"/>
        <v>#DIV/0!</v>
      </c>
    </row>
    <row r="80" spans="1:57" hidden="1" x14ac:dyDescent="0.35">
      <c r="A80" s="19">
        <v>45736</v>
      </c>
      <c r="B80" s="17">
        <v>34622687</v>
      </c>
      <c r="C80" s="17">
        <v>37697073</v>
      </c>
      <c r="D80" s="17">
        <v>2948517.3103448278</v>
      </c>
      <c r="E80" s="17">
        <v>3766928</v>
      </c>
      <c r="F80" s="484">
        <f t="shared" si="27"/>
        <v>2352569.3103448278</v>
      </c>
      <c r="G80" s="484">
        <f t="shared" si="28"/>
        <v>3191204</v>
      </c>
      <c r="H80" s="484">
        <f t="shared" si="29"/>
        <v>595948</v>
      </c>
      <c r="I80" s="484">
        <f t="shared" si="30"/>
        <v>575724</v>
      </c>
      <c r="J80" s="19">
        <v>46100</v>
      </c>
      <c r="K80" s="17">
        <v>4800393.87091411</v>
      </c>
      <c r="L80" s="17">
        <v>4124349.87091411</v>
      </c>
      <c r="M80" s="17">
        <v>676044</v>
      </c>
      <c r="N80" s="17">
        <v>2194292</v>
      </c>
      <c r="O80" s="17">
        <v>3081196</v>
      </c>
      <c r="P80" s="17">
        <v>18904.310344827602</v>
      </c>
      <c r="Q80" s="17">
        <v>22547</v>
      </c>
      <c r="R80" s="17">
        <v>70889</v>
      </c>
      <c r="S80" s="17">
        <v>983</v>
      </c>
      <c r="T80" s="17">
        <v>0</v>
      </c>
      <c r="U80" s="17">
        <v>3306</v>
      </c>
      <c r="V80" s="17">
        <v>68484</v>
      </c>
      <c r="W80" s="17">
        <v>83172</v>
      </c>
      <c r="X80" s="17">
        <v>455909</v>
      </c>
      <c r="Y80" s="17">
        <v>498101</v>
      </c>
      <c r="Z80" s="17">
        <v>113508</v>
      </c>
      <c r="AA80" s="17">
        <v>60356</v>
      </c>
      <c r="AB80" s="17">
        <v>13831</v>
      </c>
      <c r="AC80" s="17">
        <v>12568</v>
      </c>
      <c r="AD80" s="17">
        <v>12700</v>
      </c>
      <c r="AE80" s="17">
        <v>4699</v>
      </c>
      <c r="AF80" s="17">
        <v>0</v>
      </c>
      <c r="AG80" s="17">
        <v>0</v>
      </c>
      <c r="AH80" s="17">
        <v>0</v>
      </c>
      <c r="AI80" s="17">
        <v>0</v>
      </c>
      <c r="AJ80" s="54">
        <f t="shared" si="31"/>
        <v>569417</v>
      </c>
      <c r="AK80" s="54">
        <f t="shared" si="32"/>
        <v>558457</v>
      </c>
      <c r="AL80" s="54">
        <f t="shared" si="33"/>
        <v>26531</v>
      </c>
      <c r="AM80" s="54">
        <f t="shared" si="34"/>
        <v>17267</v>
      </c>
      <c r="AN80" s="19">
        <v>46100</v>
      </c>
      <c r="AO80" s="487">
        <f t="shared" si="35"/>
        <v>8.879686316662827E-2</v>
      </c>
      <c r="AP80" s="487">
        <f t="shared" si="36"/>
        <v>0.27756685937836978</v>
      </c>
      <c r="AQ80" s="486">
        <f t="shared" si="37"/>
        <v>0.35647608168970346</v>
      </c>
      <c r="AR80" s="486">
        <f t="shared" si="38"/>
        <v>-3.3935846751730003E-2</v>
      </c>
      <c r="AS80" s="472">
        <f t="shared" si="39"/>
        <v>0.40418686300638207</v>
      </c>
      <c r="AT80" s="472">
        <f t="shared" si="40"/>
        <v>0.19269095717998908</v>
      </c>
      <c r="AU80" s="472">
        <f t="shared" si="41"/>
        <v>-0.98613325057484236</v>
      </c>
      <c r="AV80" s="472" t="e">
        <f t="shared" si="42"/>
        <v>#DIV/0!</v>
      </c>
      <c r="AW80" s="472">
        <f t="shared" si="43"/>
        <v>0.21447345365340809</v>
      </c>
      <c r="AX80" s="472">
        <f t="shared" si="44"/>
        <v>9.2544784156487259E-2</v>
      </c>
      <c r="AY80" s="472">
        <f t="shared" si="45"/>
        <v>-0.46826655389928462</v>
      </c>
      <c r="AZ80" s="472">
        <f t="shared" si="46"/>
        <v>-1.9247756916284553E-2</v>
      </c>
      <c r="BA80" s="472">
        <f t="shared" si="47"/>
        <v>-9.1316607620562484E-2</v>
      </c>
      <c r="BB80" s="472">
        <f t="shared" si="48"/>
        <v>-0.63</v>
      </c>
      <c r="BC80" s="472">
        <f t="shared" si="49"/>
        <v>-0.3491764351136406</v>
      </c>
      <c r="BD80" s="472" t="e">
        <f t="shared" si="50"/>
        <v>#DIV/0!</v>
      </c>
      <c r="BE80" s="472" t="e">
        <f t="shared" si="51"/>
        <v>#DIV/0!</v>
      </c>
    </row>
    <row r="81" spans="1:57" hidden="1" x14ac:dyDescent="0.35">
      <c r="A81" s="16">
        <v>45737</v>
      </c>
      <c r="B81" s="17">
        <v>37975369</v>
      </c>
      <c r="C81" s="17">
        <v>35305337</v>
      </c>
      <c r="D81" s="17">
        <v>2432941.7241379311</v>
      </c>
      <c r="E81" s="17">
        <v>3315990</v>
      </c>
      <c r="F81" s="484">
        <f t="shared" si="27"/>
        <v>1888305.7241379309</v>
      </c>
      <c r="G81" s="484">
        <f t="shared" si="28"/>
        <v>2721539</v>
      </c>
      <c r="H81" s="484">
        <f t="shared" si="29"/>
        <v>544636</v>
      </c>
      <c r="I81" s="484">
        <f t="shared" si="30"/>
        <v>594451</v>
      </c>
      <c r="J81" s="19">
        <v>46101</v>
      </c>
      <c r="K81" s="17">
        <v>3757465.64467031</v>
      </c>
      <c r="L81" s="17">
        <v>3088476.64467031</v>
      </c>
      <c r="M81" s="17">
        <v>668989</v>
      </c>
      <c r="N81" s="17">
        <v>1684468</v>
      </c>
      <c r="O81" s="17">
        <v>2534659</v>
      </c>
      <c r="P81" s="17">
        <v>18401.724137931</v>
      </c>
      <c r="Q81" s="17">
        <v>20797</v>
      </c>
      <c r="R81" s="17">
        <v>87171</v>
      </c>
      <c r="S81" s="17">
        <v>80650</v>
      </c>
      <c r="T81" s="17">
        <v>-2861</v>
      </c>
      <c r="U81" s="17">
        <v>1003</v>
      </c>
      <c r="V81" s="17">
        <v>101126</v>
      </c>
      <c r="W81" s="17">
        <v>84430</v>
      </c>
      <c r="X81" s="17">
        <v>425643</v>
      </c>
      <c r="Y81" s="17">
        <v>508388</v>
      </c>
      <c r="Z81" s="17">
        <v>104286</v>
      </c>
      <c r="AA81" s="17">
        <v>64656</v>
      </c>
      <c r="AB81" s="17">
        <v>5964</v>
      </c>
      <c r="AC81" s="17">
        <v>10353</v>
      </c>
      <c r="AD81" s="17">
        <v>8743</v>
      </c>
      <c r="AE81" s="17">
        <v>10150</v>
      </c>
      <c r="AF81" s="17">
        <v>0</v>
      </c>
      <c r="AG81" s="17">
        <v>-387</v>
      </c>
      <c r="AH81" s="17">
        <v>0</v>
      </c>
      <c r="AI81" s="17">
        <v>1291</v>
      </c>
      <c r="AJ81" s="54">
        <f t="shared" si="31"/>
        <v>529929</v>
      </c>
      <c r="AK81" s="54">
        <f t="shared" si="32"/>
        <v>573044</v>
      </c>
      <c r="AL81" s="54">
        <f t="shared" si="33"/>
        <v>14707</v>
      </c>
      <c r="AM81" s="54">
        <f t="shared" si="34"/>
        <v>20503</v>
      </c>
      <c r="AN81" s="19">
        <v>46101</v>
      </c>
      <c r="AO81" s="487">
        <f t="shared" si="35"/>
        <v>-7.030957355542744E-2</v>
      </c>
      <c r="AP81" s="487">
        <f t="shared" si="36"/>
        <v>0.36295496398499272</v>
      </c>
      <c r="AQ81" s="486">
        <f t="shared" si="37"/>
        <v>0.44125973099110616</v>
      </c>
      <c r="AR81" s="486">
        <f t="shared" si="38"/>
        <v>9.1464758113675826E-2</v>
      </c>
      <c r="AS81" s="472">
        <f t="shared" si="39"/>
        <v>0.5047237466072374</v>
      </c>
      <c r="AT81" s="472">
        <f t="shared" si="40"/>
        <v>0.13016583903307621</v>
      </c>
      <c r="AU81" s="472">
        <f t="shared" si="41"/>
        <v>-7.4806988562710064E-2</v>
      </c>
      <c r="AV81" s="472">
        <f t="shared" si="42"/>
        <v>-1.3505767214260749</v>
      </c>
      <c r="AW81" s="472">
        <f t="shared" si="43"/>
        <v>-0.1651009631548761</v>
      </c>
      <c r="AX81" s="472">
        <f t="shared" si="44"/>
        <v>0.19440000187950934</v>
      </c>
      <c r="AY81" s="472">
        <f t="shared" si="45"/>
        <v>-0.38001265749956847</v>
      </c>
      <c r="AZ81" s="472">
        <f t="shared" si="46"/>
        <v>8.135995576765942E-2</v>
      </c>
      <c r="BA81" s="472">
        <f t="shared" si="47"/>
        <v>0.7359154929577465</v>
      </c>
      <c r="BB81" s="472">
        <f t="shared" si="48"/>
        <v>0.16092874299439552</v>
      </c>
      <c r="BC81" s="472">
        <f t="shared" si="49"/>
        <v>0.39409804854831032</v>
      </c>
      <c r="BD81" s="472" t="e">
        <f t="shared" si="50"/>
        <v>#DIV/0!</v>
      </c>
      <c r="BE81" s="472" t="e">
        <f t="shared" si="51"/>
        <v>#DIV/0!</v>
      </c>
    </row>
    <row r="82" spans="1:57" hidden="1" x14ac:dyDescent="0.35">
      <c r="A82" s="19">
        <v>45738</v>
      </c>
      <c r="B82" s="17">
        <v>43118954</v>
      </c>
      <c r="C82" s="17">
        <v>47045887</v>
      </c>
      <c r="D82" s="17">
        <v>1948887.8620689656</v>
      </c>
      <c r="E82" s="17">
        <v>2709002</v>
      </c>
      <c r="F82" s="484">
        <f t="shared" si="27"/>
        <v>1472007.8620689656</v>
      </c>
      <c r="G82" s="484">
        <f t="shared" si="28"/>
        <v>2240236</v>
      </c>
      <c r="H82" s="484">
        <f t="shared" si="29"/>
        <v>476880</v>
      </c>
      <c r="I82" s="484">
        <f t="shared" si="30"/>
        <v>468766</v>
      </c>
      <c r="J82" s="19">
        <v>46102</v>
      </c>
      <c r="K82" s="17">
        <v>3134941.7407317399</v>
      </c>
      <c r="L82" s="17">
        <v>2478986.7407317399</v>
      </c>
      <c r="M82" s="17">
        <v>655955</v>
      </c>
      <c r="N82" s="17">
        <v>1375650</v>
      </c>
      <c r="O82" s="17">
        <v>2128572</v>
      </c>
      <c r="P82" s="17">
        <v>18050.8620689655</v>
      </c>
      <c r="Q82" s="17">
        <v>23927</v>
      </c>
      <c r="R82" s="17">
        <v>29277</v>
      </c>
      <c r="S82" s="17">
        <v>4877</v>
      </c>
      <c r="T82" s="17">
        <v>3421</v>
      </c>
      <c r="U82" s="17">
        <v>-1018</v>
      </c>
      <c r="V82" s="17">
        <v>45609</v>
      </c>
      <c r="W82" s="17">
        <v>83878</v>
      </c>
      <c r="X82" s="17">
        <v>352550</v>
      </c>
      <c r="Y82" s="17">
        <v>391543</v>
      </c>
      <c r="Z82" s="17">
        <v>96081</v>
      </c>
      <c r="AA82" s="17">
        <v>53191</v>
      </c>
      <c r="AB82" s="17">
        <v>18519</v>
      </c>
      <c r="AC82" s="17">
        <v>10847</v>
      </c>
      <c r="AD82" s="17">
        <v>9730</v>
      </c>
      <c r="AE82" s="17">
        <v>11032</v>
      </c>
      <c r="AF82" s="17">
        <v>0</v>
      </c>
      <c r="AG82" s="17">
        <v>0</v>
      </c>
      <c r="AH82" s="17">
        <v>0</v>
      </c>
      <c r="AI82" s="17">
        <v>2153</v>
      </c>
      <c r="AJ82" s="54">
        <f t="shared" si="31"/>
        <v>448631</v>
      </c>
      <c r="AK82" s="54">
        <f t="shared" si="32"/>
        <v>444734</v>
      </c>
      <c r="AL82" s="54">
        <f t="shared" si="33"/>
        <v>28249</v>
      </c>
      <c r="AM82" s="54">
        <f t="shared" si="34"/>
        <v>21879</v>
      </c>
      <c r="AN82" s="19">
        <v>46102</v>
      </c>
      <c r="AO82" s="487">
        <f t="shared" si="35"/>
        <v>9.1072083984226504E-2</v>
      </c>
      <c r="AP82" s="487">
        <f t="shared" si="36"/>
        <v>0.39002456361141635</v>
      </c>
      <c r="AQ82" s="486">
        <f t="shared" si="37"/>
        <v>0.52189132797922655</v>
      </c>
      <c r="AR82" s="486">
        <f t="shared" si="38"/>
        <v>-1.7014762623720814E-2</v>
      </c>
      <c r="AS82" s="472">
        <f t="shared" si="39"/>
        <v>0.54732090284592738</v>
      </c>
      <c r="AT82" s="472">
        <f t="shared" si="40"/>
        <v>0.32553226037537741</v>
      </c>
      <c r="AU82" s="472">
        <f t="shared" si="41"/>
        <v>-0.83341872459609934</v>
      </c>
      <c r="AV82" s="472">
        <f t="shared" si="42"/>
        <v>-1.2975738088278281</v>
      </c>
      <c r="AW82" s="472">
        <f t="shared" si="43"/>
        <v>0.83906685084084276</v>
      </c>
      <c r="AX82" s="472">
        <f t="shared" si="44"/>
        <v>0.11060275138278253</v>
      </c>
      <c r="AY82" s="472">
        <f t="shared" si="45"/>
        <v>-0.44639418823700838</v>
      </c>
      <c r="AZ82" s="472">
        <f t="shared" si="46"/>
        <v>-8.6864260383254788E-3</v>
      </c>
      <c r="BA82" s="472">
        <f t="shared" si="47"/>
        <v>-0.41427722879205142</v>
      </c>
      <c r="BB82" s="472">
        <f t="shared" si="48"/>
        <v>0.13381294964028778</v>
      </c>
      <c r="BC82" s="472">
        <f t="shared" si="49"/>
        <v>-0.22549470777726643</v>
      </c>
      <c r="BD82" s="472" t="e">
        <f t="shared" si="50"/>
        <v>#DIV/0!</v>
      </c>
      <c r="BE82" s="472" t="e">
        <f t="shared" si="51"/>
        <v>#DIV/0!</v>
      </c>
    </row>
    <row r="83" spans="1:57" hidden="1" x14ac:dyDescent="0.35">
      <c r="A83" s="16">
        <v>45739</v>
      </c>
      <c r="B83" s="17">
        <v>43154994</v>
      </c>
      <c r="C83" s="17">
        <v>47447277</v>
      </c>
      <c r="D83" s="17">
        <v>2263128.7931034481</v>
      </c>
      <c r="E83" s="17">
        <v>3476583</v>
      </c>
      <c r="F83" s="484">
        <f t="shared" si="27"/>
        <v>1680709.7931034483</v>
      </c>
      <c r="G83" s="484">
        <f t="shared" si="28"/>
        <v>2800938</v>
      </c>
      <c r="H83" s="484">
        <f t="shared" si="29"/>
        <v>582419</v>
      </c>
      <c r="I83" s="484">
        <f t="shared" si="30"/>
        <v>675645</v>
      </c>
      <c r="J83" s="19">
        <v>46103</v>
      </c>
      <c r="K83" s="17">
        <v>2622953.7217157199</v>
      </c>
      <c r="L83" s="17">
        <v>1932466.7217157199</v>
      </c>
      <c r="M83" s="17">
        <v>690487</v>
      </c>
      <c r="N83" s="17">
        <v>1610627</v>
      </c>
      <c r="O83" s="17">
        <v>2696322</v>
      </c>
      <c r="P83" s="17">
        <v>19763.793103448301</v>
      </c>
      <c r="Q83" s="17">
        <v>24803</v>
      </c>
      <c r="R83" s="17">
        <v>13804</v>
      </c>
      <c r="S83" s="17">
        <v>11387</v>
      </c>
      <c r="T83" s="17">
        <v>693</v>
      </c>
      <c r="U83" s="17">
        <v>6523</v>
      </c>
      <c r="V83" s="17">
        <v>35822</v>
      </c>
      <c r="W83" s="17">
        <v>61903</v>
      </c>
      <c r="X83" s="17">
        <v>412452</v>
      </c>
      <c r="Y83" s="17">
        <v>584128</v>
      </c>
      <c r="Z83" s="17">
        <v>148039</v>
      </c>
      <c r="AA83" s="17">
        <v>66334</v>
      </c>
      <c r="AB83" s="17">
        <v>13860</v>
      </c>
      <c r="AC83" s="17">
        <v>14472</v>
      </c>
      <c r="AD83" s="17">
        <v>8068</v>
      </c>
      <c r="AE83" s="17">
        <v>10711</v>
      </c>
      <c r="AF83" s="17">
        <v>0</v>
      </c>
      <c r="AG83" s="17">
        <v>0</v>
      </c>
      <c r="AH83" s="17">
        <v>0</v>
      </c>
      <c r="AI83" s="17">
        <v>0</v>
      </c>
      <c r="AJ83" s="54">
        <f t="shared" si="31"/>
        <v>560491</v>
      </c>
      <c r="AK83" s="54">
        <f t="shared" si="32"/>
        <v>650462</v>
      </c>
      <c r="AL83" s="54">
        <f t="shared" si="33"/>
        <v>21928</v>
      </c>
      <c r="AM83" s="54">
        <f t="shared" si="34"/>
        <v>25183</v>
      </c>
      <c r="AN83" s="19">
        <v>46103</v>
      </c>
      <c r="AO83" s="487">
        <f t="shared" si="35"/>
        <v>9.9462022865766109E-2</v>
      </c>
      <c r="AP83" s="487">
        <f t="shared" si="36"/>
        <v>0.5361843349765929</v>
      </c>
      <c r="AQ83" s="486">
        <f t="shared" si="37"/>
        <v>0.66652090176022494</v>
      </c>
      <c r="AR83" s="486">
        <f t="shared" si="38"/>
        <v>0.16006689342208968</v>
      </c>
      <c r="AS83" s="472">
        <f t="shared" si="39"/>
        <v>0.67408220525298534</v>
      </c>
      <c r="AT83" s="472">
        <f t="shared" si="40"/>
        <v>0.25497164791066762</v>
      </c>
      <c r="AU83" s="472">
        <f t="shared" si="41"/>
        <v>-0.17509417560127494</v>
      </c>
      <c r="AV83" s="472">
        <f t="shared" si="42"/>
        <v>8.412698412698413</v>
      </c>
      <c r="AW83" s="472">
        <f t="shared" si="43"/>
        <v>0.72807213444252139</v>
      </c>
      <c r="AX83" s="472">
        <f t="shared" si="44"/>
        <v>0.41623267677208498</v>
      </c>
      <c r="AY83" s="472">
        <f t="shared" si="45"/>
        <v>-0.55191537365153776</v>
      </c>
      <c r="AZ83" s="472">
        <f t="shared" si="46"/>
        <v>0.16052175681679093</v>
      </c>
      <c r="BA83" s="472">
        <f t="shared" si="47"/>
        <v>4.415584415584406E-2</v>
      </c>
      <c r="BB83" s="472">
        <f t="shared" si="48"/>
        <v>0.32759048091224585</v>
      </c>
      <c r="BC83" s="472">
        <f t="shared" si="49"/>
        <v>0.14844035023713964</v>
      </c>
      <c r="BD83" s="472" t="e">
        <f t="shared" si="50"/>
        <v>#DIV/0!</v>
      </c>
      <c r="BE83" s="472" t="e">
        <f t="shared" si="51"/>
        <v>#DIV/0!</v>
      </c>
    </row>
    <row r="84" spans="1:57" hidden="1" x14ac:dyDescent="0.35">
      <c r="A84" s="19">
        <v>45740</v>
      </c>
      <c r="B84" s="17">
        <v>25627291</v>
      </c>
      <c r="C84" s="17">
        <v>26759642</v>
      </c>
      <c r="D84" s="17">
        <v>3390476.5517241377</v>
      </c>
      <c r="E84" s="17">
        <v>3900077</v>
      </c>
      <c r="F84" s="484">
        <f t="shared" si="27"/>
        <v>2743323.5517241377</v>
      </c>
      <c r="G84" s="484">
        <f t="shared" si="28"/>
        <v>3771574</v>
      </c>
      <c r="H84" s="484">
        <f t="shared" si="29"/>
        <v>647153</v>
      </c>
      <c r="I84" s="484">
        <f t="shared" si="30"/>
        <v>128503</v>
      </c>
      <c r="J84" s="19">
        <v>46104</v>
      </c>
      <c r="K84" s="17">
        <v>2868426.7151839002</v>
      </c>
      <c r="L84" s="17">
        <v>2206452.7151839002</v>
      </c>
      <c r="M84" s="17">
        <v>661974</v>
      </c>
      <c r="N84" s="17">
        <v>2606781</v>
      </c>
      <c r="O84" s="17">
        <v>3611779</v>
      </c>
      <c r="P84" s="17">
        <v>17396.551724137898</v>
      </c>
      <c r="Q84" s="17">
        <v>23259</v>
      </c>
      <c r="R84" s="17">
        <v>77734</v>
      </c>
      <c r="S84" s="17">
        <v>34041</v>
      </c>
      <c r="T84" s="17">
        <v>0</v>
      </c>
      <c r="U84" s="17">
        <v>886</v>
      </c>
      <c r="V84" s="17">
        <v>41412</v>
      </c>
      <c r="W84" s="17">
        <v>101609</v>
      </c>
      <c r="X84" s="17">
        <v>451453</v>
      </c>
      <c r="Y84" s="17">
        <v>93872</v>
      </c>
      <c r="Z84" s="17">
        <v>167225</v>
      </c>
      <c r="AA84" s="17">
        <v>11647</v>
      </c>
      <c r="AB84" s="17">
        <v>21788</v>
      </c>
      <c r="AC84" s="17">
        <v>13189</v>
      </c>
      <c r="AD84" s="17">
        <v>6687</v>
      </c>
      <c r="AE84" s="17">
        <v>8934</v>
      </c>
      <c r="AF84" s="17">
        <v>0</v>
      </c>
      <c r="AG84" s="17">
        <v>0</v>
      </c>
      <c r="AH84" s="17">
        <v>0</v>
      </c>
      <c r="AI84" s="17">
        <v>861</v>
      </c>
      <c r="AJ84" s="54">
        <f t="shared" si="31"/>
        <v>618678</v>
      </c>
      <c r="AK84" s="54">
        <f t="shared" si="32"/>
        <v>105519</v>
      </c>
      <c r="AL84" s="54">
        <f t="shared" si="33"/>
        <v>28475</v>
      </c>
      <c r="AM84" s="54">
        <f t="shared" si="34"/>
        <v>22123</v>
      </c>
      <c r="AN84" s="19">
        <v>46104</v>
      </c>
      <c r="AO84" s="487">
        <f t="shared" si="35"/>
        <v>4.4185356930625197E-2</v>
      </c>
      <c r="AP84" s="487">
        <f t="shared" si="36"/>
        <v>0.15030348698819895</v>
      </c>
      <c r="AQ84" s="486">
        <f t="shared" si="37"/>
        <v>0.37481923983396781</v>
      </c>
      <c r="AR84" s="486">
        <f t="shared" si="38"/>
        <v>-0.80143335501805602</v>
      </c>
      <c r="AS84" s="472">
        <f t="shared" si="39"/>
        <v>0.38553219468762423</v>
      </c>
      <c r="AT84" s="472">
        <f t="shared" si="40"/>
        <v>0.33698909811694988</v>
      </c>
      <c r="AU84" s="472">
        <f t="shared" si="41"/>
        <v>-0.56208351557876868</v>
      </c>
      <c r="AV84" s="472" t="e">
        <f t="shared" si="42"/>
        <v>#DIV/0!</v>
      </c>
      <c r="AW84" s="472">
        <f t="shared" si="43"/>
        <v>1.4536124794745486</v>
      </c>
      <c r="AX84" s="472">
        <f t="shared" si="44"/>
        <v>-0.7920669482759003</v>
      </c>
      <c r="AY84" s="472">
        <f t="shared" si="45"/>
        <v>-0.93035132306772317</v>
      </c>
      <c r="AZ84" s="472">
        <f t="shared" si="46"/>
        <v>-0.82944439595395347</v>
      </c>
      <c r="BA84" s="472">
        <f t="shared" si="47"/>
        <v>-0.39466678905819719</v>
      </c>
      <c r="BB84" s="472">
        <f t="shared" si="48"/>
        <v>0.33602512337371016</v>
      </c>
      <c r="BC84" s="472">
        <f t="shared" si="49"/>
        <v>-0.22307287093942052</v>
      </c>
      <c r="BD84" s="472" t="e">
        <f t="shared" si="50"/>
        <v>#DIV/0!</v>
      </c>
      <c r="BE84" s="472" t="e">
        <f t="shared" si="51"/>
        <v>#DIV/0!</v>
      </c>
    </row>
    <row r="85" spans="1:57" hidden="1" x14ac:dyDescent="0.35">
      <c r="A85" s="16">
        <v>45741</v>
      </c>
      <c r="B85" s="17">
        <v>28238109</v>
      </c>
      <c r="C85" s="17">
        <v>30907085</v>
      </c>
      <c r="D85" s="17">
        <v>3559691.7931034481</v>
      </c>
      <c r="E85" s="17">
        <v>4976475</v>
      </c>
      <c r="F85" s="484">
        <f t="shared" si="27"/>
        <v>2922993.7931034481</v>
      </c>
      <c r="G85" s="484">
        <f t="shared" si="28"/>
        <v>4016095</v>
      </c>
      <c r="H85" s="484">
        <f t="shared" si="29"/>
        <v>636698</v>
      </c>
      <c r="I85" s="484">
        <f t="shared" si="30"/>
        <v>960380</v>
      </c>
      <c r="J85" s="19">
        <v>46105</v>
      </c>
      <c r="K85" s="17">
        <v>4224181.7416150905</v>
      </c>
      <c r="L85" s="17">
        <v>3601462.7416150901</v>
      </c>
      <c r="M85" s="17">
        <v>622719</v>
      </c>
      <c r="N85" s="17">
        <v>2806584</v>
      </c>
      <c r="O85" s="17">
        <v>3876733</v>
      </c>
      <c r="P85" s="17">
        <v>19038.793103448301</v>
      </c>
      <c r="Q85" s="17">
        <v>20599</v>
      </c>
      <c r="R85" s="17">
        <v>62901</v>
      </c>
      <c r="S85" s="17">
        <v>29088</v>
      </c>
      <c r="T85" s="17">
        <v>2386</v>
      </c>
      <c r="U85" s="17">
        <v>947</v>
      </c>
      <c r="V85" s="17">
        <v>32084</v>
      </c>
      <c r="W85" s="17">
        <v>88728</v>
      </c>
      <c r="X85" s="17">
        <v>450799</v>
      </c>
      <c r="Y85" s="17">
        <v>841416</v>
      </c>
      <c r="Z85" s="17">
        <v>158470</v>
      </c>
      <c r="AA85" s="17">
        <v>103320</v>
      </c>
      <c r="AB85" s="17">
        <v>18507</v>
      </c>
      <c r="AC85" s="17">
        <v>8844</v>
      </c>
      <c r="AD85" s="17">
        <v>8922</v>
      </c>
      <c r="AE85" s="17">
        <v>6800</v>
      </c>
      <c r="AF85" s="17">
        <v>0</v>
      </c>
      <c r="AG85" s="17">
        <v>0</v>
      </c>
      <c r="AH85" s="17">
        <v>0</v>
      </c>
      <c r="AI85" s="17">
        <v>0</v>
      </c>
      <c r="AJ85" s="54">
        <f t="shared" si="31"/>
        <v>609269</v>
      </c>
      <c r="AK85" s="54">
        <f t="shared" si="32"/>
        <v>944736</v>
      </c>
      <c r="AL85" s="54">
        <f t="shared" si="33"/>
        <v>27429</v>
      </c>
      <c r="AM85" s="54">
        <f t="shared" si="34"/>
        <v>15644</v>
      </c>
      <c r="AN85" s="19">
        <v>46105</v>
      </c>
      <c r="AO85" s="487">
        <f t="shared" si="35"/>
        <v>9.451681059804673E-2</v>
      </c>
      <c r="AP85" s="487">
        <f t="shared" si="36"/>
        <v>0.39800726839369349</v>
      </c>
      <c r="AQ85" s="486">
        <f t="shared" si="37"/>
        <v>0.3739663113468219</v>
      </c>
      <c r="AR85" s="486">
        <f t="shared" si="38"/>
        <v>0.50837602756722977</v>
      </c>
      <c r="AS85" s="472">
        <f t="shared" si="39"/>
        <v>0.38129947295359767</v>
      </c>
      <c r="AT85" s="472">
        <f t="shared" si="40"/>
        <v>8.194883405025899E-2</v>
      </c>
      <c r="AU85" s="472">
        <f t="shared" si="41"/>
        <v>-0.53755902131921585</v>
      </c>
      <c r="AV85" s="472">
        <f t="shared" si="42"/>
        <v>-0.6031014249790444</v>
      </c>
      <c r="AW85" s="472">
        <f t="shared" si="43"/>
        <v>1.7654905872085775</v>
      </c>
      <c r="AX85" s="472">
        <f t="shared" si="44"/>
        <v>0.86649926020244061</v>
      </c>
      <c r="AY85" s="472">
        <f t="shared" si="45"/>
        <v>-0.34801539723606989</v>
      </c>
      <c r="AZ85" s="472">
        <f t="shared" si="46"/>
        <v>0.55060572587806034</v>
      </c>
      <c r="BA85" s="472">
        <f t="shared" si="47"/>
        <v>-0.52212676284649051</v>
      </c>
      <c r="BB85" s="472">
        <f t="shared" si="48"/>
        <v>-0.23783904954046176</v>
      </c>
      <c r="BC85" s="472">
        <f t="shared" si="49"/>
        <v>-0.42965474497794309</v>
      </c>
      <c r="BD85" s="472" t="e">
        <f t="shared" si="50"/>
        <v>#DIV/0!</v>
      </c>
      <c r="BE85" s="472" t="e">
        <f t="shared" si="51"/>
        <v>#DIV/0!</v>
      </c>
    </row>
    <row r="86" spans="1:57" hidden="1" x14ac:dyDescent="0.35">
      <c r="A86" s="19">
        <v>45742</v>
      </c>
      <c r="B86" s="17">
        <v>30324337</v>
      </c>
      <c r="C86" s="17">
        <v>33708145</v>
      </c>
      <c r="D86" s="17">
        <v>3168052.4482758623</v>
      </c>
      <c r="E86" s="17">
        <v>4374737</v>
      </c>
      <c r="F86" s="484">
        <f t="shared" si="27"/>
        <v>2899924.4482758623</v>
      </c>
      <c r="G86" s="484">
        <f t="shared" si="28"/>
        <v>3839957</v>
      </c>
      <c r="H86" s="484">
        <f t="shared" si="29"/>
        <v>268128</v>
      </c>
      <c r="I86" s="484">
        <f t="shared" si="30"/>
        <v>534780</v>
      </c>
      <c r="J86" s="19">
        <v>46106</v>
      </c>
      <c r="K86" s="17">
        <v>4405341.64100309</v>
      </c>
      <c r="L86" s="17">
        <v>3837335.64100309</v>
      </c>
      <c r="M86" s="17">
        <v>568006</v>
      </c>
      <c r="N86" s="17">
        <v>2785242</v>
      </c>
      <c r="O86" s="17">
        <v>3689993</v>
      </c>
      <c r="P86" s="17">
        <v>19578.448275862102</v>
      </c>
      <c r="Q86" s="17">
        <v>23278</v>
      </c>
      <c r="R86" s="17">
        <v>70468</v>
      </c>
      <c r="S86" s="17">
        <v>52915</v>
      </c>
      <c r="T86" s="17">
        <v>7635</v>
      </c>
      <c r="U86" s="17">
        <v>0</v>
      </c>
      <c r="V86" s="17">
        <v>17001</v>
      </c>
      <c r="W86" s="17">
        <v>73771</v>
      </c>
      <c r="X86" s="17">
        <v>173023</v>
      </c>
      <c r="Y86" s="17">
        <v>430352</v>
      </c>
      <c r="Z86" s="17">
        <v>64342</v>
      </c>
      <c r="AA86" s="17">
        <v>73055</v>
      </c>
      <c r="AB86" s="17">
        <v>22411</v>
      </c>
      <c r="AC86" s="17">
        <v>18886</v>
      </c>
      <c r="AD86" s="17">
        <v>8352</v>
      </c>
      <c r="AE86" s="17">
        <v>10282</v>
      </c>
      <c r="AF86" s="17">
        <v>0</v>
      </c>
      <c r="AG86" s="17">
        <v>1344</v>
      </c>
      <c r="AH86" s="17">
        <v>0</v>
      </c>
      <c r="AI86" s="17">
        <v>861</v>
      </c>
      <c r="AJ86" s="54">
        <f t="shared" si="31"/>
        <v>237365</v>
      </c>
      <c r="AK86" s="54">
        <f t="shared" si="32"/>
        <v>503407</v>
      </c>
      <c r="AL86" s="54">
        <f t="shared" si="33"/>
        <v>30763</v>
      </c>
      <c r="AM86" s="54">
        <f t="shared" si="34"/>
        <v>29168</v>
      </c>
      <c r="AN86" s="19">
        <v>46106</v>
      </c>
      <c r="AO86" s="487">
        <f t="shared" si="35"/>
        <v>0.11158720469304906</v>
      </c>
      <c r="AP86" s="487">
        <f t="shared" si="36"/>
        <v>0.38089159552293639</v>
      </c>
      <c r="AQ86" s="486">
        <f t="shared" si="37"/>
        <v>0.32415760082405942</v>
      </c>
      <c r="AR86" s="486">
        <f t="shared" si="38"/>
        <v>0.9944951664876478</v>
      </c>
      <c r="AS86" s="472">
        <f t="shared" si="39"/>
        <v>0.3248374827034779</v>
      </c>
      <c r="AT86" s="472">
        <f t="shared" si="40"/>
        <v>0.18896041565760879</v>
      </c>
      <c r="AU86" s="472">
        <f t="shared" si="41"/>
        <v>-0.2490917863427371</v>
      </c>
      <c r="AV86" s="472">
        <f t="shared" si="42"/>
        <v>-1</v>
      </c>
      <c r="AW86" s="472">
        <f t="shared" si="43"/>
        <v>3.3392153402741016</v>
      </c>
      <c r="AX86" s="472">
        <f t="shared" si="44"/>
        <v>1.4872531397559863</v>
      </c>
      <c r="AY86" s="472">
        <f t="shared" si="45"/>
        <v>0.1354169904572442</v>
      </c>
      <c r="AZ86" s="472">
        <f t="shared" si="46"/>
        <v>1.1208139363427634</v>
      </c>
      <c r="BA86" s="472">
        <f t="shared" si="47"/>
        <v>-0.15728883137744853</v>
      </c>
      <c r="BB86" s="472">
        <f t="shared" si="48"/>
        <v>0.23108237547892729</v>
      </c>
      <c r="BC86" s="472">
        <f t="shared" si="49"/>
        <v>-5.1847999219842067E-2</v>
      </c>
      <c r="BD86" s="472" t="e">
        <f t="shared" si="50"/>
        <v>#DIV/0!</v>
      </c>
      <c r="BE86" s="472" t="e">
        <f t="shared" si="51"/>
        <v>#DIV/0!</v>
      </c>
    </row>
    <row r="87" spans="1:57" hidden="1" x14ac:dyDescent="0.35">
      <c r="A87" s="16">
        <v>45743</v>
      </c>
      <c r="B87" s="17">
        <v>35440224</v>
      </c>
      <c r="C87" s="17">
        <v>38132226</v>
      </c>
      <c r="D87" s="17">
        <v>3161046.5517241377</v>
      </c>
      <c r="E87" s="17">
        <v>3717791</v>
      </c>
      <c r="F87" s="484">
        <f t="shared" si="27"/>
        <v>2233940.5517241377</v>
      </c>
      <c r="G87" s="484">
        <f t="shared" si="28"/>
        <v>3232851</v>
      </c>
      <c r="H87" s="484">
        <f t="shared" si="29"/>
        <v>927106</v>
      </c>
      <c r="I87" s="484">
        <f t="shared" si="30"/>
        <v>484940</v>
      </c>
      <c r="J87" s="19">
        <v>46107</v>
      </c>
      <c r="K87" s="17">
        <v>4399478.9731613202</v>
      </c>
      <c r="L87" s="17">
        <v>3807049.9731613202</v>
      </c>
      <c r="M87" s="17">
        <v>592429</v>
      </c>
      <c r="N87" s="17">
        <v>2131767</v>
      </c>
      <c r="O87" s="17">
        <v>3046332</v>
      </c>
      <c r="P87" s="17">
        <v>19721.551724137898</v>
      </c>
      <c r="Q87" s="17">
        <v>22864</v>
      </c>
      <c r="R87" s="17">
        <v>37713</v>
      </c>
      <c r="S87" s="17">
        <v>69528</v>
      </c>
      <c r="T87" s="17">
        <v>4760</v>
      </c>
      <c r="U87" s="17">
        <v>0</v>
      </c>
      <c r="V87" s="17">
        <v>39979</v>
      </c>
      <c r="W87" s="17">
        <v>94127</v>
      </c>
      <c r="X87" s="17">
        <v>694821</v>
      </c>
      <c r="Y87" s="17">
        <v>361861</v>
      </c>
      <c r="Z87" s="17">
        <v>205802</v>
      </c>
      <c r="AA87" s="17">
        <v>94556</v>
      </c>
      <c r="AB87" s="17">
        <v>13403</v>
      </c>
      <c r="AC87" s="17">
        <v>18197</v>
      </c>
      <c r="AD87" s="17">
        <v>13080</v>
      </c>
      <c r="AE87" s="17">
        <v>9810</v>
      </c>
      <c r="AF87" s="17">
        <v>0</v>
      </c>
      <c r="AG87" s="17">
        <v>516</v>
      </c>
      <c r="AH87" s="17">
        <v>0</v>
      </c>
      <c r="AI87" s="17">
        <v>0</v>
      </c>
      <c r="AJ87" s="54">
        <f t="shared" si="31"/>
        <v>900623</v>
      </c>
      <c r="AK87" s="54">
        <f t="shared" si="32"/>
        <v>456417</v>
      </c>
      <c r="AL87" s="54">
        <f t="shared" si="33"/>
        <v>26483</v>
      </c>
      <c r="AM87" s="54">
        <f t="shared" si="34"/>
        <v>28007</v>
      </c>
      <c r="AN87" s="19">
        <v>46107</v>
      </c>
      <c r="AO87" s="487">
        <f t="shared" si="35"/>
        <v>7.5958944277553009E-2</v>
      </c>
      <c r="AP87" s="487">
        <f t="shared" si="36"/>
        <v>0.1761266210939525</v>
      </c>
      <c r="AQ87" s="486">
        <f t="shared" si="37"/>
        <v>0.44715175947941455</v>
      </c>
      <c r="AR87" s="486">
        <f t="shared" si="38"/>
        <v>-0.47693144041781632</v>
      </c>
      <c r="AS87" s="472">
        <f t="shared" si="39"/>
        <v>0.42901733632240302</v>
      </c>
      <c r="AT87" s="472">
        <f t="shared" si="40"/>
        <v>0.15934082266031568</v>
      </c>
      <c r="AU87" s="472">
        <f t="shared" si="41"/>
        <v>0.84360830482857363</v>
      </c>
      <c r="AV87" s="472">
        <f t="shared" si="42"/>
        <v>-1</v>
      </c>
      <c r="AW87" s="472">
        <f t="shared" si="43"/>
        <v>1.3544110658095501</v>
      </c>
      <c r="AX87" s="472">
        <f t="shared" si="44"/>
        <v>-0.47920255720538096</v>
      </c>
      <c r="AY87" s="472">
        <f t="shared" si="45"/>
        <v>-0.54054868271445367</v>
      </c>
      <c r="AZ87" s="472">
        <f t="shared" si="46"/>
        <v>-0.4932208038213548</v>
      </c>
      <c r="BA87" s="472">
        <f t="shared" si="47"/>
        <v>0.35768111616802201</v>
      </c>
      <c r="BB87" s="472">
        <f t="shared" si="48"/>
        <v>-0.25</v>
      </c>
      <c r="BC87" s="472">
        <f t="shared" si="49"/>
        <v>5.7546350488993037E-2</v>
      </c>
      <c r="BD87" s="472" t="e">
        <f t="shared" si="50"/>
        <v>#DIV/0!</v>
      </c>
      <c r="BE87" s="472" t="e">
        <f t="shared" si="51"/>
        <v>#DIV/0!</v>
      </c>
    </row>
    <row r="88" spans="1:57" hidden="1" x14ac:dyDescent="0.35">
      <c r="A88" s="19">
        <v>45744</v>
      </c>
      <c r="B88" s="17">
        <v>40613707</v>
      </c>
      <c r="C88" s="17">
        <v>41924161</v>
      </c>
      <c r="D88" s="17">
        <v>2460022.2068965519</v>
      </c>
      <c r="E88" s="17">
        <v>3298102</v>
      </c>
      <c r="F88" s="484">
        <f t="shared" si="27"/>
        <v>1889626.2068965517</v>
      </c>
      <c r="G88" s="484">
        <f t="shared" si="28"/>
        <v>2745097</v>
      </c>
      <c r="H88" s="484">
        <f t="shared" si="29"/>
        <v>570396</v>
      </c>
      <c r="I88" s="484">
        <f t="shared" si="30"/>
        <v>553005</v>
      </c>
      <c r="J88" s="19">
        <v>46108</v>
      </c>
      <c r="K88" s="17">
        <v>3519116.6175930798</v>
      </c>
      <c r="L88" s="17">
        <v>2932739.6175930798</v>
      </c>
      <c r="M88" s="17">
        <v>586377</v>
      </c>
      <c r="N88" s="17">
        <v>1774382</v>
      </c>
      <c r="O88" s="17">
        <v>2642807</v>
      </c>
      <c r="P88" s="17">
        <v>23261.206896551699</v>
      </c>
      <c r="Q88" s="17">
        <v>23650</v>
      </c>
      <c r="R88" s="17">
        <v>33871</v>
      </c>
      <c r="S88" s="17">
        <v>-404</v>
      </c>
      <c r="T88" s="17">
        <v>4459</v>
      </c>
      <c r="U88" s="17">
        <v>0</v>
      </c>
      <c r="V88" s="17">
        <v>53653</v>
      </c>
      <c r="W88" s="17">
        <v>79044</v>
      </c>
      <c r="X88" s="17">
        <v>427289</v>
      </c>
      <c r="Y88" s="17">
        <v>434744</v>
      </c>
      <c r="Z88" s="17">
        <v>115398</v>
      </c>
      <c r="AA88" s="17">
        <v>76785</v>
      </c>
      <c r="AB88" s="17">
        <v>14337</v>
      </c>
      <c r="AC88" s="17">
        <v>21103</v>
      </c>
      <c r="AD88" s="17">
        <v>13372</v>
      </c>
      <c r="AE88" s="17">
        <v>17145</v>
      </c>
      <c r="AF88" s="17">
        <v>0</v>
      </c>
      <c r="AG88" s="17">
        <v>1334</v>
      </c>
      <c r="AH88" s="17">
        <v>0</v>
      </c>
      <c r="AI88" s="17">
        <v>1894</v>
      </c>
      <c r="AJ88" s="54">
        <f t="shared" si="31"/>
        <v>542687</v>
      </c>
      <c r="AK88" s="54">
        <f t="shared" si="32"/>
        <v>511529</v>
      </c>
      <c r="AL88" s="54">
        <f t="shared" si="33"/>
        <v>27709</v>
      </c>
      <c r="AM88" s="54">
        <f t="shared" si="34"/>
        <v>38248</v>
      </c>
      <c r="AN88" s="19">
        <v>46108</v>
      </c>
      <c r="AO88" s="487">
        <f t="shared" si="35"/>
        <v>3.2266298666112858E-2</v>
      </c>
      <c r="AP88" s="487">
        <f t="shared" si="36"/>
        <v>0.34067976734272243</v>
      </c>
      <c r="AQ88" s="486">
        <f t="shared" si="37"/>
        <v>0.45271958548269731</v>
      </c>
      <c r="AR88" s="486">
        <f t="shared" si="38"/>
        <v>-3.0489344245050787E-2</v>
      </c>
      <c r="AS88" s="472">
        <f t="shared" si="39"/>
        <v>0.48942392337163021</v>
      </c>
      <c r="AT88" s="472">
        <f t="shared" si="40"/>
        <v>1.6714227476560373E-2</v>
      </c>
      <c r="AU88" s="472">
        <f t="shared" si="41"/>
        <v>-1.0119276076879926</v>
      </c>
      <c r="AV88" s="472">
        <f t="shared" si="42"/>
        <v>-1</v>
      </c>
      <c r="AW88" s="472">
        <f t="shared" si="43"/>
        <v>0.47324473934355948</v>
      </c>
      <c r="AX88" s="472">
        <f t="shared" si="44"/>
        <v>1.7447207861658098E-2</v>
      </c>
      <c r="AY88" s="472">
        <f t="shared" si="45"/>
        <v>-0.33460718556647429</v>
      </c>
      <c r="AZ88" s="472">
        <f t="shared" si="46"/>
        <v>-5.7414310643151611E-2</v>
      </c>
      <c r="BA88" s="472">
        <f t="shared" si="47"/>
        <v>0.47192578642672811</v>
      </c>
      <c r="BB88" s="472">
        <f t="shared" si="48"/>
        <v>0.28215674543822922</v>
      </c>
      <c r="BC88" s="472">
        <f t="shared" si="49"/>
        <v>0.38034573604244115</v>
      </c>
      <c r="BD88" s="472" t="e">
        <f t="shared" si="50"/>
        <v>#DIV/0!</v>
      </c>
      <c r="BE88" s="472" t="e">
        <f t="shared" si="51"/>
        <v>#DIV/0!</v>
      </c>
    </row>
    <row r="89" spans="1:57" hidden="1" x14ac:dyDescent="0.35">
      <c r="A89" s="16">
        <v>45745</v>
      </c>
      <c r="B89" s="17">
        <v>47440357</v>
      </c>
      <c r="C89" s="17">
        <v>47742193</v>
      </c>
      <c r="D89" s="17">
        <v>2090770.8620689656</v>
      </c>
      <c r="E89" s="17">
        <v>3148184</v>
      </c>
      <c r="F89" s="484">
        <f t="shared" si="27"/>
        <v>1530117.8620689656</v>
      </c>
      <c r="G89" s="484">
        <f t="shared" si="28"/>
        <v>2567632</v>
      </c>
      <c r="H89" s="484">
        <f t="shared" si="29"/>
        <v>560653</v>
      </c>
      <c r="I89" s="484">
        <f t="shared" si="30"/>
        <v>580552</v>
      </c>
      <c r="J89" s="19">
        <v>46109</v>
      </c>
      <c r="K89" s="17">
        <v>3000751.2837741398</v>
      </c>
      <c r="L89" s="17">
        <v>2480720.2837741398</v>
      </c>
      <c r="M89" s="17">
        <v>520031</v>
      </c>
      <c r="N89" s="17">
        <v>1413648</v>
      </c>
      <c r="O89" s="17">
        <v>2317287</v>
      </c>
      <c r="P89" s="17">
        <v>22200.8620689655</v>
      </c>
      <c r="Q89" s="17">
        <v>27167</v>
      </c>
      <c r="R89" s="17">
        <v>26911</v>
      </c>
      <c r="S89" s="17">
        <v>17429</v>
      </c>
      <c r="T89" s="17">
        <v>3768</v>
      </c>
      <c r="U89" s="17">
        <v>4746</v>
      </c>
      <c r="V89" s="17">
        <v>63590</v>
      </c>
      <c r="W89" s="17">
        <v>201003</v>
      </c>
      <c r="X89" s="17">
        <v>438928</v>
      </c>
      <c r="Y89" s="17">
        <v>468826</v>
      </c>
      <c r="Z89" s="17">
        <v>103627</v>
      </c>
      <c r="AA89" s="17">
        <v>82721</v>
      </c>
      <c r="AB89" s="17">
        <v>9571</v>
      </c>
      <c r="AC89" s="17">
        <v>18605</v>
      </c>
      <c r="AD89" s="17">
        <v>8527</v>
      </c>
      <c r="AE89" s="17">
        <v>10400</v>
      </c>
      <c r="AF89" s="17">
        <v>0</v>
      </c>
      <c r="AG89" s="17">
        <v>0</v>
      </c>
      <c r="AH89" s="17">
        <v>0</v>
      </c>
      <c r="AI89" s="17">
        <v>0</v>
      </c>
      <c r="AJ89" s="54">
        <f t="shared" si="31"/>
        <v>542555</v>
      </c>
      <c r="AK89" s="54">
        <f t="shared" si="32"/>
        <v>551547</v>
      </c>
      <c r="AL89" s="54">
        <f t="shared" si="33"/>
        <v>18098</v>
      </c>
      <c r="AM89" s="54">
        <f t="shared" si="34"/>
        <v>29005</v>
      </c>
      <c r="AN89" s="19">
        <v>46109</v>
      </c>
      <c r="AO89" s="487">
        <f t="shared" si="35"/>
        <v>6.3624310415708596E-3</v>
      </c>
      <c r="AP89" s="487">
        <f t="shared" si="36"/>
        <v>0.5057527618711164</v>
      </c>
      <c r="AQ89" s="486">
        <f t="shared" si="37"/>
        <v>0.67806158182360443</v>
      </c>
      <c r="AR89" s="486">
        <f t="shared" si="38"/>
        <v>3.5492541732586869E-2</v>
      </c>
      <c r="AS89" s="472">
        <f t="shared" si="39"/>
        <v>0.63922489898475443</v>
      </c>
      <c r="AT89" s="472">
        <f t="shared" si="40"/>
        <v>0.22369122044033807</v>
      </c>
      <c r="AU89" s="472">
        <f t="shared" si="41"/>
        <v>-0.35234662405707706</v>
      </c>
      <c r="AV89" s="472">
        <f t="shared" si="42"/>
        <v>0.25955414012738864</v>
      </c>
      <c r="AW89" s="472">
        <f t="shared" si="43"/>
        <v>2.1609215285422234</v>
      </c>
      <c r="AX89" s="472">
        <f t="shared" si="44"/>
        <v>6.8115955236394132E-2</v>
      </c>
      <c r="AY89" s="472">
        <f t="shared" si="45"/>
        <v>-0.20174278904146603</v>
      </c>
      <c r="AZ89" s="472">
        <f t="shared" si="46"/>
        <v>1.6573434951295152E-2</v>
      </c>
      <c r="BA89" s="472">
        <f t="shared" si="47"/>
        <v>0.94389301013478222</v>
      </c>
      <c r="BB89" s="472">
        <f t="shared" si="48"/>
        <v>0.21965521285328959</v>
      </c>
      <c r="BC89" s="472">
        <f t="shared" si="49"/>
        <v>0.60266327771024431</v>
      </c>
      <c r="BD89" s="472" t="e">
        <f t="shared" si="50"/>
        <v>#DIV/0!</v>
      </c>
      <c r="BE89" s="472" t="e">
        <f t="shared" si="51"/>
        <v>#DIV/0!</v>
      </c>
    </row>
    <row r="90" spans="1:57" hidden="1" x14ac:dyDescent="0.35">
      <c r="A90" s="19">
        <v>45746</v>
      </c>
      <c r="B90" s="17">
        <v>46369398</v>
      </c>
      <c r="C90" s="17">
        <v>45273020</v>
      </c>
      <c r="D90" s="17">
        <v>2405801.3448275859</v>
      </c>
      <c r="E90" s="17">
        <v>3573548</v>
      </c>
      <c r="F90" s="484">
        <f t="shared" si="27"/>
        <v>1830167.3448275861</v>
      </c>
      <c r="G90" s="484">
        <f t="shared" si="28"/>
        <v>3046091</v>
      </c>
      <c r="H90" s="484">
        <f t="shared" si="29"/>
        <v>575634</v>
      </c>
      <c r="I90" s="484">
        <f t="shared" si="30"/>
        <v>527457</v>
      </c>
      <c r="J90" s="19">
        <v>46110</v>
      </c>
      <c r="K90" s="17">
        <v>2598466.11398621</v>
      </c>
      <c r="L90" s="17">
        <v>2008754.11398621</v>
      </c>
      <c r="M90" s="17">
        <v>589712</v>
      </c>
      <c r="N90" s="17">
        <v>1746951</v>
      </c>
      <c r="O90" s="17">
        <v>2957998</v>
      </c>
      <c r="P90" s="17">
        <v>25310.344827586199</v>
      </c>
      <c r="Q90" s="17">
        <v>26180</v>
      </c>
      <c r="R90" s="17">
        <v>1629</v>
      </c>
      <c r="S90" s="17">
        <v>-154</v>
      </c>
      <c r="T90" s="17">
        <v>3494</v>
      </c>
      <c r="U90" s="17">
        <v>550</v>
      </c>
      <c r="V90" s="17">
        <v>52783</v>
      </c>
      <c r="W90" s="17">
        <v>61517</v>
      </c>
      <c r="X90" s="17">
        <v>424195</v>
      </c>
      <c r="Y90" s="17">
        <v>431690</v>
      </c>
      <c r="Z90" s="17">
        <v>120034</v>
      </c>
      <c r="AA90" s="17">
        <v>77277</v>
      </c>
      <c r="AB90" s="17">
        <v>20419</v>
      </c>
      <c r="AC90" s="17">
        <v>13682</v>
      </c>
      <c r="AD90" s="17">
        <v>10986</v>
      </c>
      <c r="AE90" s="17">
        <v>3904</v>
      </c>
      <c r="AF90" s="17">
        <v>0</v>
      </c>
      <c r="AG90" s="17">
        <v>0</v>
      </c>
      <c r="AH90" s="17">
        <v>0</v>
      </c>
      <c r="AI90" s="17">
        <v>904</v>
      </c>
      <c r="AJ90" s="54">
        <f t="shared" si="31"/>
        <v>544229</v>
      </c>
      <c r="AK90" s="54">
        <f t="shared" si="32"/>
        <v>508967</v>
      </c>
      <c r="AL90" s="54">
        <f t="shared" si="33"/>
        <v>31405</v>
      </c>
      <c r="AM90" s="54">
        <f t="shared" si="34"/>
        <v>17586</v>
      </c>
      <c r="AN90" s="19">
        <v>46110</v>
      </c>
      <c r="AO90" s="487">
        <f t="shared" si="35"/>
        <v>-2.3644430320186594E-2</v>
      </c>
      <c r="AP90" s="487">
        <f t="shared" si="36"/>
        <v>0.48538781378730245</v>
      </c>
      <c r="AQ90" s="486">
        <f t="shared" si="37"/>
        <v>0.66437840157560135</v>
      </c>
      <c r="AR90" s="486">
        <f t="shared" si="38"/>
        <v>-8.3693805438872615E-2</v>
      </c>
      <c r="AS90" s="472">
        <f t="shared" si="39"/>
        <v>0.69323467000505445</v>
      </c>
      <c r="AT90" s="472">
        <f t="shared" si="40"/>
        <v>3.4359673024523474E-2</v>
      </c>
      <c r="AU90" s="472">
        <f t="shared" si="41"/>
        <v>-1.094536525475752</v>
      </c>
      <c r="AV90" s="472">
        <f t="shared" si="42"/>
        <v>-0.84258729250143105</v>
      </c>
      <c r="AW90" s="472">
        <f t="shared" si="43"/>
        <v>0.16546994297406359</v>
      </c>
      <c r="AX90" s="472">
        <f t="shared" si="44"/>
        <v>1.766876082933555E-2</v>
      </c>
      <c r="AY90" s="472">
        <f t="shared" si="45"/>
        <v>-0.35620740790109473</v>
      </c>
      <c r="AZ90" s="472">
        <f t="shared" si="46"/>
        <v>-6.4792578124282296E-2</v>
      </c>
      <c r="BA90" s="472">
        <f t="shared" si="47"/>
        <v>-0.32993780302659292</v>
      </c>
      <c r="BB90" s="472">
        <f t="shared" si="48"/>
        <v>-0.64463863098488994</v>
      </c>
      <c r="BC90" s="472">
        <f t="shared" si="49"/>
        <v>-0.44002547365069256</v>
      </c>
      <c r="BD90" s="472" t="e">
        <f t="shared" si="50"/>
        <v>#DIV/0!</v>
      </c>
      <c r="BE90" s="472" t="e">
        <f t="shared" si="51"/>
        <v>#DIV/0!</v>
      </c>
    </row>
    <row r="91" spans="1:57" hidden="1" x14ac:dyDescent="0.35">
      <c r="A91" s="16">
        <v>45747</v>
      </c>
      <c r="B91" s="17">
        <v>26611832</v>
      </c>
      <c r="C91" s="17">
        <v>33370751</v>
      </c>
      <c r="D91" s="17">
        <v>3399174.3103448278</v>
      </c>
      <c r="E91" s="17">
        <v>4403557</v>
      </c>
      <c r="F91" s="484">
        <f t="shared" si="27"/>
        <v>2786097.3103448278</v>
      </c>
      <c r="G91" s="484">
        <f t="shared" si="28"/>
        <v>3831414</v>
      </c>
      <c r="H91" s="484">
        <f t="shared" si="29"/>
        <v>613077</v>
      </c>
      <c r="I91" s="484">
        <f t="shared" si="30"/>
        <v>572143</v>
      </c>
      <c r="J91" s="19">
        <v>46111</v>
      </c>
      <c r="K91" s="17">
        <v>2961464.0918172901</v>
      </c>
      <c r="L91" s="17">
        <v>2402662.0918172901</v>
      </c>
      <c r="M91" s="17">
        <v>558802</v>
      </c>
      <c r="N91" s="17">
        <v>2655583</v>
      </c>
      <c r="O91" s="17">
        <v>3604617</v>
      </c>
      <c r="P91" s="17">
        <v>17754.310344827602</v>
      </c>
      <c r="Q91" s="17">
        <v>22502</v>
      </c>
      <c r="R91" s="17">
        <v>51685</v>
      </c>
      <c r="S91" s="17">
        <v>35752</v>
      </c>
      <c r="T91" s="17">
        <v>2075</v>
      </c>
      <c r="U91" s="17">
        <v>1275</v>
      </c>
      <c r="V91" s="17">
        <v>59000</v>
      </c>
      <c r="W91" s="17">
        <v>167268</v>
      </c>
      <c r="X91" s="17">
        <v>466998</v>
      </c>
      <c r="Y91" s="17">
        <v>465162</v>
      </c>
      <c r="Z91" s="17">
        <v>119148</v>
      </c>
      <c r="AA91" s="17">
        <v>79652</v>
      </c>
      <c r="AB91" s="17">
        <v>19608</v>
      </c>
      <c r="AC91" s="17">
        <v>21229</v>
      </c>
      <c r="AD91" s="17">
        <v>7323</v>
      </c>
      <c r="AE91" s="17">
        <v>5239</v>
      </c>
      <c r="AF91" s="17">
        <v>0</v>
      </c>
      <c r="AG91" s="17">
        <v>0</v>
      </c>
      <c r="AH91" s="17">
        <v>0</v>
      </c>
      <c r="AI91" s="17">
        <v>861</v>
      </c>
      <c r="AJ91" s="54">
        <f t="shared" si="31"/>
        <v>586146</v>
      </c>
      <c r="AK91" s="54">
        <f t="shared" si="32"/>
        <v>544814</v>
      </c>
      <c r="AL91" s="54">
        <f t="shared" si="33"/>
        <v>26931</v>
      </c>
      <c r="AM91" s="54">
        <f t="shared" si="34"/>
        <v>26468</v>
      </c>
      <c r="AN91" s="19">
        <v>46111</v>
      </c>
      <c r="AO91" s="487">
        <f t="shared" si="35"/>
        <v>0.25398172512136696</v>
      </c>
      <c r="AP91" s="487">
        <f t="shared" si="36"/>
        <v>0.29547843033483123</v>
      </c>
      <c r="AQ91" s="486">
        <f t="shared" si="37"/>
        <v>0.37519030142051868</v>
      </c>
      <c r="AR91" s="486">
        <f t="shared" si="38"/>
        <v>-6.6768122111904415E-2</v>
      </c>
      <c r="AS91" s="472">
        <f t="shared" si="39"/>
        <v>0.35737312672961075</v>
      </c>
      <c r="AT91" s="472">
        <f t="shared" si="40"/>
        <v>0.26741053653799352</v>
      </c>
      <c r="AU91" s="472">
        <f t="shared" si="41"/>
        <v>-0.30827125858566318</v>
      </c>
      <c r="AV91" s="472">
        <f t="shared" si="42"/>
        <v>-0.38554216867469882</v>
      </c>
      <c r="AW91" s="472">
        <f t="shared" si="43"/>
        <v>1.835050847457627</v>
      </c>
      <c r="AX91" s="472">
        <f t="shared" si="44"/>
        <v>-3.9314943532948732E-3</v>
      </c>
      <c r="AY91" s="472">
        <f t="shared" si="45"/>
        <v>-0.33148689025413769</v>
      </c>
      <c r="AZ91" s="472">
        <f t="shared" si="46"/>
        <v>-7.0514854660784221E-2</v>
      </c>
      <c r="BA91" s="472">
        <f t="shared" si="47"/>
        <v>8.2670338637290897E-2</v>
      </c>
      <c r="BB91" s="472">
        <f t="shared" si="48"/>
        <v>-0.2845828212481224</v>
      </c>
      <c r="BC91" s="472">
        <f t="shared" si="49"/>
        <v>-1.7192083472578057E-2</v>
      </c>
      <c r="BD91" s="472" t="e">
        <f t="shared" si="50"/>
        <v>#DIV/0!</v>
      </c>
      <c r="BE91" s="472" t="e">
        <f t="shared" si="51"/>
        <v>#DIV/0!</v>
      </c>
    </row>
    <row r="92" spans="1:57" hidden="1" x14ac:dyDescent="0.35">
      <c r="A92" s="19">
        <v>45748</v>
      </c>
      <c r="B92" s="17">
        <v>29808124</v>
      </c>
      <c r="C92" s="17">
        <v>38734445</v>
      </c>
      <c r="D92" s="17">
        <v>3936832.0344827585</v>
      </c>
      <c r="E92" s="17">
        <v>4012309</v>
      </c>
      <c r="F92" s="484">
        <f t="shared" si="27"/>
        <v>3303952.0344827585</v>
      </c>
      <c r="G92" s="484">
        <f t="shared" si="28"/>
        <v>3380691</v>
      </c>
      <c r="H92" s="484">
        <f t="shared" si="29"/>
        <v>632880</v>
      </c>
      <c r="I92" s="484">
        <f t="shared" si="30"/>
        <v>631618</v>
      </c>
      <c r="J92" s="19">
        <v>46112</v>
      </c>
      <c r="K92" s="17">
        <v>4175603.56200366</v>
      </c>
      <c r="L92" s="17">
        <v>3657616.56200366</v>
      </c>
      <c r="M92" s="17">
        <v>517987</v>
      </c>
      <c r="N92" s="17">
        <v>3138536</v>
      </c>
      <c r="O92" s="17">
        <v>3283588</v>
      </c>
      <c r="P92" s="17">
        <v>22106.034482758601</v>
      </c>
      <c r="Q92" s="17">
        <v>15779</v>
      </c>
      <c r="R92" s="17">
        <v>84893</v>
      </c>
      <c r="S92" s="17">
        <v>39244</v>
      </c>
      <c r="T92" s="17">
        <v>8872</v>
      </c>
      <c r="U92" s="17">
        <v>2701</v>
      </c>
      <c r="V92" s="17">
        <v>49545</v>
      </c>
      <c r="W92" s="17">
        <v>39379</v>
      </c>
      <c r="X92" s="17">
        <v>478988</v>
      </c>
      <c r="Y92" s="17">
        <v>507477</v>
      </c>
      <c r="Z92" s="17">
        <v>121840</v>
      </c>
      <c r="AA92" s="17">
        <v>107093</v>
      </c>
      <c r="AB92" s="17">
        <v>21703</v>
      </c>
      <c r="AC92" s="17">
        <v>9535</v>
      </c>
      <c r="AD92" s="17">
        <v>10349</v>
      </c>
      <c r="AE92" s="17">
        <v>7513</v>
      </c>
      <c r="AF92" s="17">
        <v>0</v>
      </c>
      <c r="AG92" s="17">
        <v>0</v>
      </c>
      <c r="AH92" s="17">
        <v>0</v>
      </c>
      <c r="AI92" s="17">
        <v>0</v>
      </c>
      <c r="AJ92" s="54">
        <f t="shared" si="31"/>
        <v>600828</v>
      </c>
      <c r="AK92" s="54">
        <f t="shared" si="32"/>
        <v>614570</v>
      </c>
      <c r="AL92" s="54">
        <f t="shared" si="33"/>
        <v>32052</v>
      </c>
      <c r="AM92" s="54">
        <f t="shared" si="34"/>
        <v>17048</v>
      </c>
      <c r="AN92" s="19">
        <v>46112</v>
      </c>
      <c r="AO92" s="487">
        <f t="shared" si="35"/>
        <v>0.29945933531409086</v>
      </c>
      <c r="AP92" s="487">
        <f t="shared" si="36"/>
        <v>1.9172005525289748E-2</v>
      </c>
      <c r="AQ92" s="486">
        <f t="shared" si="37"/>
        <v>2.3226416339078293E-2</v>
      </c>
      <c r="AR92" s="486">
        <f t="shared" si="38"/>
        <v>-1.9940589053216717E-3</v>
      </c>
      <c r="AS92" s="472">
        <f t="shared" si="39"/>
        <v>4.6216452511616879E-2</v>
      </c>
      <c r="AT92" s="472">
        <f t="shared" si="40"/>
        <v>-0.2862130015988763</v>
      </c>
      <c r="AU92" s="472">
        <f t="shared" si="41"/>
        <v>-0.53772395839468512</v>
      </c>
      <c r="AV92" s="472">
        <f t="shared" si="42"/>
        <v>-0.69555906221821462</v>
      </c>
      <c r="AW92" s="472">
        <f t="shared" si="43"/>
        <v>-0.20518720355232611</v>
      </c>
      <c r="AX92" s="472">
        <f t="shared" si="44"/>
        <v>5.9477481690564327E-2</v>
      </c>
      <c r="AY92" s="472">
        <f t="shared" si="45"/>
        <v>-0.12103578463558762</v>
      </c>
      <c r="AZ92" s="472">
        <f t="shared" si="46"/>
        <v>2.2871770290332716E-2</v>
      </c>
      <c r="BA92" s="472">
        <f t="shared" si="47"/>
        <v>-0.56065981661521447</v>
      </c>
      <c r="BB92" s="472">
        <f t="shared" si="48"/>
        <v>-0.27403613875736788</v>
      </c>
      <c r="BC92" s="472">
        <f t="shared" si="49"/>
        <v>-0.46811431423936101</v>
      </c>
      <c r="BD92" s="472" t="e">
        <f t="shared" si="50"/>
        <v>#DIV/0!</v>
      </c>
      <c r="BE92" s="472" t="e">
        <f t="shared" si="51"/>
        <v>#DIV/0!</v>
      </c>
    </row>
    <row r="93" spans="1:57" hidden="1" x14ac:dyDescent="0.35">
      <c r="A93" s="16">
        <v>45749</v>
      </c>
      <c r="B93" s="17">
        <v>33038734</v>
      </c>
      <c r="C93" s="17">
        <v>43075503</v>
      </c>
      <c r="D93" s="17">
        <v>4055303.8620689656</v>
      </c>
      <c r="E93" s="17">
        <v>3228122</v>
      </c>
      <c r="F93" s="484">
        <f t="shared" si="27"/>
        <v>3392527.8620689656</v>
      </c>
      <c r="G93" s="484">
        <f t="shared" si="28"/>
        <v>2808310</v>
      </c>
      <c r="H93" s="484">
        <f t="shared" si="29"/>
        <v>662776</v>
      </c>
      <c r="I93" s="484">
        <f t="shared" si="30"/>
        <v>419812</v>
      </c>
      <c r="J93" s="19">
        <v>46113</v>
      </c>
      <c r="K93" s="17">
        <v>3202889.1143756318</v>
      </c>
      <c r="L93" s="17">
        <v>2530915.7136566299</v>
      </c>
      <c r="M93" s="17">
        <v>671973.40071900201</v>
      </c>
      <c r="N93" s="17">
        <v>3224956</v>
      </c>
      <c r="O93" s="17">
        <v>2663655</v>
      </c>
      <c r="P93" s="17">
        <v>19000.8620689655</v>
      </c>
      <c r="Q93" s="17">
        <v>25983</v>
      </c>
      <c r="R93" s="17">
        <v>53719</v>
      </c>
      <c r="S93" s="17">
        <v>48888</v>
      </c>
      <c r="T93" s="17">
        <v>3290</v>
      </c>
      <c r="U93" s="17">
        <v>71</v>
      </c>
      <c r="V93" s="17">
        <v>91562</v>
      </c>
      <c r="W93" s="17">
        <v>69713</v>
      </c>
      <c r="X93" s="17">
        <v>496250</v>
      </c>
      <c r="Y93" s="17">
        <v>295216</v>
      </c>
      <c r="Z93" s="17">
        <v>140257</v>
      </c>
      <c r="AA93" s="17">
        <v>108376</v>
      </c>
      <c r="AB93" s="17">
        <v>19389</v>
      </c>
      <c r="AC93" s="17">
        <v>8989</v>
      </c>
      <c r="AD93" s="17">
        <v>6880</v>
      </c>
      <c r="AE93" s="17">
        <v>5695</v>
      </c>
      <c r="AF93" s="17">
        <v>0</v>
      </c>
      <c r="AG93" s="17">
        <v>0</v>
      </c>
      <c r="AH93" s="17">
        <v>0</v>
      </c>
      <c r="AI93" s="17">
        <v>1536</v>
      </c>
      <c r="AJ93" s="54">
        <f t="shared" si="31"/>
        <v>636507</v>
      </c>
      <c r="AK93" s="54">
        <f t="shared" si="32"/>
        <v>403592</v>
      </c>
      <c r="AL93" s="54">
        <f t="shared" si="33"/>
        <v>26269</v>
      </c>
      <c r="AM93" s="54">
        <f t="shared" si="34"/>
        <v>14684</v>
      </c>
      <c r="AN93" s="19">
        <v>46113</v>
      </c>
      <c r="AO93" s="487">
        <f t="shared" si="35"/>
        <v>0.30378794175345813</v>
      </c>
      <c r="AP93" s="487">
        <f t="shared" si="36"/>
        <v>-0.20397530991597446</v>
      </c>
      <c r="AQ93" s="486">
        <f t="shared" si="37"/>
        <v>-0.17220724068355175</v>
      </c>
      <c r="AR93" s="486">
        <f t="shared" si="38"/>
        <v>-0.36658539234975318</v>
      </c>
      <c r="AS93" s="472">
        <f t="shared" si="39"/>
        <v>-0.1740491963301205</v>
      </c>
      <c r="AT93" s="472">
        <f t="shared" si="40"/>
        <v>0.36746427113107516</v>
      </c>
      <c r="AU93" s="472">
        <f t="shared" si="41"/>
        <v>-8.9930936912451798E-2</v>
      </c>
      <c r="AV93" s="472">
        <f t="shared" si="42"/>
        <v>-0.97841945288753795</v>
      </c>
      <c r="AW93" s="472">
        <f t="shared" si="43"/>
        <v>-0.23862519385771386</v>
      </c>
      <c r="AX93" s="472">
        <f t="shared" si="44"/>
        <v>-0.40510629722921909</v>
      </c>
      <c r="AY93" s="472">
        <f t="shared" si="45"/>
        <v>-0.22730416307207479</v>
      </c>
      <c r="AZ93" s="472">
        <f t="shared" si="46"/>
        <v>-0.36592684762304262</v>
      </c>
      <c r="BA93" s="472">
        <f t="shared" si="47"/>
        <v>-0.53638661096498019</v>
      </c>
      <c r="BB93" s="472">
        <f t="shared" si="48"/>
        <v>-0.17223837209302328</v>
      </c>
      <c r="BC93" s="472">
        <f t="shared" si="49"/>
        <v>-0.44101412311089117</v>
      </c>
      <c r="BD93" s="472" t="e">
        <f t="shared" si="50"/>
        <v>#DIV/0!</v>
      </c>
      <c r="BE93" s="472" t="e">
        <f t="shared" si="51"/>
        <v>#DIV/0!</v>
      </c>
    </row>
    <row r="94" spans="1:57" hidden="1" x14ac:dyDescent="0.35">
      <c r="A94" s="19">
        <v>45750</v>
      </c>
      <c r="B94" s="17">
        <v>37536410</v>
      </c>
      <c r="C94" s="17">
        <v>36898701</v>
      </c>
      <c r="D94" s="17">
        <v>3052607.3793103448</v>
      </c>
      <c r="E94" s="17">
        <v>2278176</v>
      </c>
      <c r="F94" s="484">
        <f t="shared" si="27"/>
        <v>2463623.3793103448</v>
      </c>
      <c r="G94" s="484">
        <f t="shared" si="28"/>
        <v>1919356</v>
      </c>
      <c r="H94" s="484">
        <f t="shared" si="29"/>
        <v>588984</v>
      </c>
      <c r="I94" s="484">
        <f t="shared" si="30"/>
        <v>358820</v>
      </c>
      <c r="J94" s="19">
        <v>46114</v>
      </c>
      <c r="K94" s="17">
        <v>2492074.404775437</v>
      </c>
      <c r="L94" s="17">
        <v>1958190.40659514</v>
      </c>
      <c r="M94" s="17">
        <v>533883.99818029697</v>
      </c>
      <c r="N94" s="17">
        <v>2284246</v>
      </c>
      <c r="O94" s="17">
        <v>1732887</v>
      </c>
      <c r="P94" s="17">
        <v>20966.379310344801</v>
      </c>
      <c r="Q94" s="17">
        <v>24716</v>
      </c>
      <c r="R94" s="17">
        <v>55138</v>
      </c>
      <c r="S94" s="17">
        <v>32881</v>
      </c>
      <c r="T94" s="17">
        <v>3034</v>
      </c>
      <c r="U94" s="17">
        <v>6045</v>
      </c>
      <c r="V94" s="17">
        <v>100239</v>
      </c>
      <c r="W94" s="17">
        <v>122827</v>
      </c>
      <c r="X94" s="17">
        <v>439577</v>
      </c>
      <c r="Y94" s="17">
        <v>244674</v>
      </c>
      <c r="Z94" s="17">
        <v>113852</v>
      </c>
      <c r="AA94" s="17">
        <v>97541</v>
      </c>
      <c r="AB94" s="17">
        <v>26202</v>
      </c>
      <c r="AC94" s="17">
        <v>9445</v>
      </c>
      <c r="AD94" s="17">
        <v>9353</v>
      </c>
      <c r="AE94" s="17">
        <v>7745</v>
      </c>
      <c r="AF94" s="17">
        <v>0</v>
      </c>
      <c r="AG94" s="17">
        <v>-585</v>
      </c>
      <c r="AH94" s="17">
        <v>0</v>
      </c>
      <c r="AI94" s="17">
        <v>0</v>
      </c>
      <c r="AJ94" s="54">
        <f t="shared" si="31"/>
        <v>553429</v>
      </c>
      <c r="AK94" s="54">
        <f t="shared" si="32"/>
        <v>342215</v>
      </c>
      <c r="AL94" s="54">
        <f t="shared" si="33"/>
        <v>35555</v>
      </c>
      <c r="AM94" s="54">
        <f t="shared" si="34"/>
        <v>17190</v>
      </c>
      <c r="AN94" s="19">
        <v>46114</v>
      </c>
      <c r="AO94" s="487">
        <f t="shared" si="35"/>
        <v>-1.698907807113148E-2</v>
      </c>
      <c r="AP94" s="487">
        <f t="shared" si="36"/>
        <v>-0.25369504920914754</v>
      </c>
      <c r="AQ94" s="486">
        <f t="shared" si="37"/>
        <v>-0.2209215028080731</v>
      </c>
      <c r="AR94" s="486">
        <f t="shared" si="38"/>
        <v>-0.39078141341700279</v>
      </c>
      <c r="AS94" s="472">
        <f t="shared" si="39"/>
        <v>-0.24137461551864381</v>
      </c>
      <c r="AT94" s="472">
        <f t="shared" si="40"/>
        <v>0.17883968586818133</v>
      </c>
      <c r="AU94" s="472">
        <f t="shared" si="41"/>
        <v>-0.40365990786753236</v>
      </c>
      <c r="AV94" s="472">
        <f t="shared" si="42"/>
        <v>0.99241924851680952</v>
      </c>
      <c r="AW94" s="472">
        <f t="shared" si="43"/>
        <v>0.22534143397280504</v>
      </c>
      <c r="AX94" s="472">
        <f t="shared" si="44"/>
        <v>-0.44338762037140256</v>
      </c>
      <c r="AY94" s="472">
        <f t="shared" si="45"/>
        <v>-0.14326494044900395</v>
      </c>
      <c r="AZ94" s="472">
        <f t="shared" si="46"/>
        <v>-0.38164606480686769</v>
      </c>
      <c r="BA94" s="472">
        <f t="shared" si="47"/>
        <v>-0.63953133348599345</v>
      </c>
      <c r="BB94" s="472">
        <f t="shared" si="48"/>
        <v>-0.17192344702234574</v>
      </c>
      <c r="BC94" s="472">
        <f t="shared" si="49"/>
        <v>-0.51652369568274503</v>
      </c>
      <c r="BD94" s="472" t="e">
        <f t="shared" si="50"/>
        <v>#DIV/0!</v>
      </c>
      <c r="BE94" s="472" t="e">
        <f t="shared" si="51"/>
        <v>#DIV/0!</v>
      </c>
    </row>
    <row r="95" spans="1:57" hidden="1" x14ac:dyDescent="0.35">
      <c r="A95" s="16">
        <v>45751</v>
      </c>
      <c r="B95" s="17">
        <v>37845651</v>
      </c>
      <c r="C95" s="17">
        <v>17241821</v>
      </c>
      <c r="D95" s="17">
        <v>2494838.4137931038</v>
      </c>
      <c r="E95" s="17">
        <v>1837231</v>
      </c>
      <c r="F95" s="484">
        <f t="shared" si="27"/>
        <v>1902741.4137931035</v>
      </c>
      <c r="G95" s="484">
        <f t="shared" si="28"/>
        <v>1457677</v>
      </c>
      <c r="H95" s="484">
        <f t="shared" si="29"/>
        <v>592097</v>
      </c>
      <c r="I95" s="484">
        <f t="shared" si="30"/>
        <v>379554</v>
      </c>
      <c r="J95" s="19">
        <v>46115</v>
      </c>
      <c r="K95" s="17">
        <v>2018282.4388011731</v>
      </c>
      <c r="L95" s="17">
        <v>1508618.83358052</v>
      </c>
      <c r="M95" s="17">
        <v>509663.605220653</v>
      </c>
      <c r="N95" s="17">
        <v>1760543</v>
      </c>
      <c r="O95" s="17">
        <v>1389487</v>
      </c>
      <c r="P95" s="17">
        <v>20947.4137931035</v>
      </c>
      <c r="Q95" s="17">
        <v>23309</v>
      </c>
      <c r="R95" s="17">
        <v>62700</v>
      </c>
      <c r="S95" s="17">
        <v>-1550</v>
      </c>
      <c r="T95" s="17">
        <v>517</v>
      </c>
      <c r="U95" s="17">
        <v>0</v>
      </c>
      <c r="V95" s="17">
        <v>58034</v>
      </c>
      <c r="W95" s="17">
        <v>46431</v>
      </c>
      <c r="X95" s="17">
        <v>446985</v>
      </c>
      <c r="Y95" s="17">
        <v>273373</v>
      </c>
      <c r="Z95" s="17">
        <v>115709</v>
      </c>
      <c r="AA95" s="17">
        <v>89277</v>
      </c>
      <c r="AB95" s="17">
        <v>18229</v>
      </c>
      <c r="AC95" s="17">
        <v>12317</v>
      </c>
      <c r="AD95" s="17">
        <v>11174</v>
      </c>
      <c r="AE95" s="17">
        <v>3148</v>
      </c>
      <c r="AF95" s="17">
        <v>0</v>
      </c>
      <c r="AG95" s="17">
        <v>1439</v>
      </c>
      <c r="AH95" s="17">
        <v>0</v>
      </c>
      <c r="AI95" s="17">
        <v>0</v>
      </c>
      <c r="AJ95" s="54">
        <f t="shared" si="31"/>
        <v>562694</v>
      </c>
      <c r="AK95" s="54">
        <f t="shared" si="32"/>
        <v>362650</v>
      </c>
      <c r="AL95" s="54">
        <f t="shared" si="33"/>
        <v>29403</v>
      </c>
      <c r="AM95" s="54">
        <f t="shared" si="34"/>
        <v>15465</v>
      </c>
      <c r="AN95" s="19">
        <v>46115</v>
      </c>
      <c r="AO95" s="487">
        <f t="shared" si="35"/>
        <v>-0.54441737572436</v>
      </c>
      <c r="AP95" s="487">
        <f t="shared" si="36"/>
        <v>-0.2635871766914516</v>
      </c>
      <c r="AQ95" s="486">
        <f t="shared" si="37"/>
        <v>-0.23390693583836508</v>
      </c>
      <c r="AR95" s="486">
        <f t="shared" si="38"/>
        <v>-0.35896652068833312</v>
      </c>
      <c r="AS95" s="472">
        <f t="shared" si="39"/>
        <v>-0.21076224778378039</v>
      </c>
      <c r="AT95" s="472">
        <f t="shared" si="40"/>
        <v>0.11273879583521684</v>
      </c>
      <c r="AU95" s="472">
        <f t="shared" si="41"/>
        <v>-1.0247208931419458</v>
      </c>
      <c r="AV95" s="472">
        <f t="shared" si="42"/>
        <v>-1</v>
      </c>
      <c r="AW95" s="472">
        <f t="shared" si="43"/>
        <v>-0.19993452114277832</v>
      </c>
      <c r="AX95" s="472">
        <f t="shared" si="44"/>
        <v>-0.38840676980211863</v>
      </c>
      <c r="AY95" s="472">
        <f t="shared" si="45"/>
        <v>-0.22843512604896765</v>
      </c>
      <c r="AZ95" s="472">
        <f t="shared" si="46"/>
        <v>-0.35551116592677368</v>
      </c>
      <c r="BA95" s="472">
        <f t="shared" si="47"/>
        <v>-0.32431839376817162</v>
      </c>
      <c r="BB95" s="472">
        <f t="shared" si="48"/>
        <v>-0.71827456595668515</v>
      </c>
      <c r="BC95" s="472">
        <f t="shared" si="49"/>
        <v>-0.47403326191204975</v>
      </c>
      <c r="BD95" s="472" t="e">
        <f t="shared" si="50"/>
        <v>#DIV/0!</v>
      </c>
      <c r="BE95" s="472" t="e">
        <f t="shared" si="51"/>
        <v>#DIV/0!</v>
      </c>
    </row>
    <row r="96" spans="1:57" hidden="1" x14ac:dyDescent="0.35">
      <c r="A96" s="19">
        <v>45752</v>
      </c>
      <c r="B96" s="17">
        <v>49424718</v>
      </c>
      <c r="C96" s="17">
        <v>29614522</v>
      </c>
      <c r="D96" s="17">
        <v>2143966.3103448274</v>
      </c>
      <c r="E96" s="17">
        <v>1988899</v>
      </c>
      <c r="F96" s="484">
        <f t="shared" si="27"/>
        <v>1578992.3103448276</v>
      </c>
      <c r="G96" s="484">
        <f t="shared" si="28"/>
        <v>1621390</v>
      </c>
      <c r="H96" s="484">
        <f t="shared" si="29"/>
        <v>564974</v>
      </c>
      <c r="I96" s="484">
        <f t="shared" si="30"/>
        <v>367509</v>
      </c>
      <c r="J96" s="19">
        <v>46116</v>
      </c>
      <c r="K96" s="17">
        <v>1813607.8576939679</v>
      </c>
      <c r="L96" s="17">
        <v>1438592.65500991</v>
      </c>
      <c r="M96" s="17">
        <v>375015.20268405799</v>
      </c>
      <c r="N96" s="17">
        <v>1496166</v>
      </c>
      <c r="O96" s="17">
        <v>1533453</v>
      </c>
      <c r="P96" s="17">
        <v>21429.310344827602</v>
      </c>
      <c r="Q96" s="17">
        <v>20033</v>
      </c>
      <c r="R96" s="17">
        <v>11511</v>
      </c>
      <c r="S96" s="17">
        <v>3141</v>
      </c>
      <c r="T96" s="17">
        <v>8</v>
      </c>
      <c r="U96" s="17">
        <v>6216</v>
      </c>
      <c r="V96" s="17">
        <v>49878</v>
      </c>
      <c r="W96" s="17">
        <v>58547</v>
      </c>
      <c r="X96" s="17">
        <v>435734</v>
      </c>
      <c r="Y96" s="17">
        <v>258489</v>
      </c>
      <c r="Z96" s="17">
        <v>114189</v>
      </c>
      <c r="AA96" s="17">
        <v>94071</v>
      </c>
      <c r="AB96" s="17">
        <v>9901</v>
      </c>
      <c r="AC96" s="17">
        <v>8439</v>
      </c>
      <c r="AD96" s="17">
        <v>5150</v>
      </c>
      <c r="AE96" s="17">
        <v>5821</v>
      </c>
      <c r="AF96" s="17">
        <v>0</v>
      </c>
      <c r="AG96" s="17">
        <v>0</v>
      </c>
      <c r="AH96" s="17">
        <v>0</v>
      </c>
      <c r="AI96" s="17">
        <v>689</v>
      </c>
      <c r="AJ96" s="54">
        <f t="shared" si="31"/>
        <v>549923</v>
      </c>
      <c r="AK96" s="54">
        <f t="shared" si="32"/>
        <v>352560</v>
      </c>
      <c r="AL96" s="54">
        <f t="shared" si="33"/>
        <v>15051</v>
      </c>
      <c r="AM96" s="54">
        <f t="shared" si="34"/>
        <v>14260</v>
      </c>
      <c r="AN96" s="19">
        <v>46116</v>
      </c>
      <c r="AO96" s="487">
        <f t="shared" si="35"/>
        <v>-0.4008155595344014</v>
      </c>
      <c r="AP96" s="487">
        <f t="shared" si="36"/>
        <v>-7.2327307381936823E-2</v>
      </c>
      <c r="AQ96" s="486">
        <f t="shared" si="37"/>
        <v>2.685110584605277E-2</v>
      </c>
      <c r="AR96" s="486">
        <f t="shared" si="38"/>
        <v>-0.34951165894359737</v>
      </c>
      <c r="AS96" s="472">
        <f t="shared" si="39"/>
        <v>2.4921699864854485E-2</v>
      </c>
      <c r="AT96" s="472">
        <f t="shared" si="40"/>
        <v>-6.5158902566578858E-2</v>
      </c>
      <c r="AU96" s="472">
        <f t="shared" si="41"/>
        <v>-0.72713057075840504</v>
      </c>
      <c r="AV96" s="472">
        <f t="shared" si="42"/>
        <v>776</v>
      </c>
      <c r="AW96" s="472">
        <f t="shared" si="43"/>
        <v>0.17380408195998243</v>
      </c>
      <c r="AX96" s="472">
        <f t="shared" si="44"/>
        <v>-0.40677339844951277</v>
      </c>
      <c r="AY96" s="472">
        <f t="shared" si="45"/>
        <v>-0.17618159367364628</v>
      </c>
      <c r="AZ96" s="472">
        <f t="shared" si="46"/>
        <v>-0.35889206307064803</v>
      </c>
      <c r="BA96" s="472">
        <f t="shared" si="47"/>
        <v>-0.14766185233814766</v>
      </c>
      <c r="BB96" s="472">
        <f t="shared" si="48"/>
        <v>0.13029126213592224</v>
      </c>
      <c r="BC96" s="472">
        <f t="shared" si="49"/>
        <v>-5.2554647531725451E-2</v>
      </c>
      <c r="BD96" s="472" t="e">
        <f t="shared" si="50"/>
        <v>#DIV/0!</v>
      </c>
      <c r="BE96" s="472" t="e">
        <f t="shared" si="51"/>
        <v>#DIV/0!</v>
      </c>
    </row>
    <row r="97" spans="1:57" hidden="1" x14ac:dyDescent="0.35">
      <c r="A97" s="16">
        <v>45753</v>
      </c>
      <c r="B97" s="17">
        <v>48801683</v>
      </c>
      <c r="C97" s="17">
        <v>32111892</v>
      </c>
      <c r="D97" s="17">
        <v>2564117.2068965519</v>
      </c>
      <c r="E97" s="17">
        <v>2609578</v>
      </c>
      <c r="F97" s="484">
        <f t="shared" si="27"/>
        <v>1950551.2068965517</v>
      </c>
      <c r="G97" s="484">
        <f t="shared" si="28"/>
        <v>2144221</v>
      </c>
      <c r="H97" s="484">
        <f t="shared" si="29"/>
        <v>613566</v>
      </c>
      <c r="I97" s="484">
        <f t="shared" si="30"/>
        <v>465357</v>
      </c>
      <c r="J97" s="19">
        <v>46117</v>
      </c>
      <c r="K97" s="17">
        <v>2403925.7696780148</v>
      </c>
      <c r="L97" s="17">
        <v>1923027.8825731699</v>
      </c>
      <c r="M97" s="17">
        <v>480897.88710484502</v>
      </c>
      <c r="N97" s="17">
        <v>1847860</v>
      </c>
      <c r="O97" s="17">
        <v>2062753</v>
      </c>
      <c r="P97" s="17">
        <v>18636.206896551699</v>
      </c>
      <c r="Q97" s="17">
        <v>21508</v>
      </c>
      <c r="R97" s="17">
        <v>26062</v>
      </c>
      <c r="S97" s="17">
        <v>-895</v>
      </c>
      <c r="T97" s="17">
        <v>2036</v>
      </c>
      <c r="U97" s="17">
        <v>0</v>
      </c>
      <c r="V97" s="17">
        <v>55957</v>
      </c>
      <c r="W97" s="17">
        <v>60855</v>
      </c>
      <c r="X97" s="17">
        <v>473249</v>
      </c>
      <c r="Y97" s="17">
        <v>330907</v>
      </c>
      <c r="Z97" s="17">
        <v>122349</v>
      </c>
      <c r="AA97" s="17">
        <v>116557</v>
      </c>
      <c r="AB97" s="17">
        <v>13822</v>
      </c>
      <c r="AC97" s="17">
        <v>9893</v>
      </c>
      <c r="AD97" s="17">
        <v>4146</v>
      </c>
      <c r="AE97" s="17">
        <v>5934</v>
      </c>
      <c r="AF97" s="17">
        <v>0</v>
      </c>
      <c r="AG97" s="17">
        <v>0</v>
      </c>
      <c r="AH97" s="17">
        <v>0</v>
      </c>
      <c r="AI97" s="17">
        <v>2066</v>
      </c>
      <c r="AJ97" s="54">
        <f t="shared" si="31"/>
        <v>595598</v>
      </c>
      <c r="AK97" s="54">
        <f t="shared" si="32"/>
        <v>447464</v>
      </c>
      <c r="AL97" s="54">
        <f t="shared" si="33"/>
        <v>17968</v>
      </c>
      <c r="AM97" s="54">
        <f t="shared" si="34"/>
        <v>15827</v>
      </c>
      <c r="AN97" s="19">
        <v>46117</v>
      </c>
      <c r="AO97" s="487">
        <f t="shared" si="35"/>
        <v>-0.34199211941112773</v>
      </c>
      <c r="AP97" s="487">
        <f t="shared" si="36"/>
        <v>1.772960806205548E-2</v>
      </c>
      <c r="AQ97" s="486">
        <f t="shared" si="37"/>
        <v>9.9289776355878878E-2</v>
      </c>
      <c r="AR97" s="486">
        <f t="shared" si="38"/>
        <v>-0.24155347590968212</v>
      </c>
      <c r="AS97" s="472">
        <f t="shared" si="39"/>
        <v>0.11629290097734679</v>
      </c>
      <c r="AT97" s="472">
        <f t="shared" si="40"/>
        <v>0.15409751133314975</v>
      </c>
      <c r="AU97" s="472">
        <f t="shared" si="41"/>
        <v>-1.0343411864016576</v>
      </c>
      <c r="AV97" s="472">
        <f t="shared" si="42"/>
        <v>-1</v>
      </c>
      <c r="AW97" s="472">
        <f t="shared" si="43"/>
        <v>8.753149739978916E-2</v>
      </c>
      <c r="AX97" s="472">
        <f t="shared" si="44"/>
        <v>-0.30077612419677591</v>
      </c>
      <c r="AY97" s="472">
        <f t="shared" si="45"/>
        <v>-4.7339986432255232E-2</v>
      </c>
      <c r="AZ97" s="472">
        <f t="shared" si="46"/>
        <v>-0.24871473712134695</v>
      </c>
      <c r="BA97" s="472">
        <f t="shared" si="47"/>
        <v>-0.28425698162349877</v>
      </c>
      <c r="BB97" s="472">
        <f t="shared" si="48"/>
        <v>0.43125904486251798</v>
      </c>
      <c r="BC97" s="472">
        <f t="shared" si="49"/>
        <v>-0.11915627782724847</v>
      </c>
      <c r="BD97" s="472" t="e">
        <f t="shared" si="50"/>
        <v>#DIV/0!</v>
      </c>
      <c r="BE97" s="472" t="e">
        <f t="shared" si="51"/>
        <v>#DIV/0!</v>
      </c>
    </row>
    <row r="98" spans="1:57" hidden="1" x14ac:dyDescent="0.35">
      <c r="A98" s="19">
        <v>45754</v>
      </c>
      <c r="B98" s="17">
        <v>28107408</v>
      </c>
      <c r="C98" s="17">
        <v>25748860</v>
      </c>
      <c r="D98" s="17">
        <v>3681154.1379310344</v>
      </c>
      <c r="E98" s="17">
        <v>3812982</v>
      </c>
      <c r="F98" s="484">
        <f t="shared" si="27"/>
        <v>3083369.1379310344</v>
      </c>
      <c r="G98" s="484">
        <f t="shared" si="28"/>
        <v>3354619</v>
      </c>
      <c r="H98" s="484">
        <f t="shared" si="29"/>
        <v>597785</v>
      </c>
      <c r="I98" s="484">
        <f t="shared" si="30"/>
        <v>458363</v>
      </c>
      <c r="J98" s="19">
        <v>46118</v>
      </c>
      <c r="K98" s="17">
        <v>3799683.2282442148</v>
      </c>
      <c r="L98" s="17">
        <v>3238014.31839043</v>
      </c>
      <c r="M98" s="17">
        <v>561668.90985378495</v>
      </c>
      <c r="N98" s="17">
        <v>2938155</v>
      </c>
      <c r="O98" s="17">
        <v>3236683</v>
      </c>
      <c r="P98" s="17">
        <v>17774.1379310345</v>
      </c>
      <c r="Q98" s="17">
        <v>13884</v>
      </c>
      <c r="R98" s="17">
        <v>73052</v>
      </c>
      <c r="S98" s="17">
        <v>33131</v>
      </c>
      <c r="T98" s="17">
        <v>6096</v>
      </c>
      <c r="U98" s="17">
        <v>1049</v>
      </c>
      <c r="V98" s="17">
        <v>48292</v>
      </c>
      <c r="W98" s="17">
        <v>69872</v>
      </c>
      <c r="X98" s="17">
        <v>444090</v>
      </c>
      <c r="Y98" s="17">
        <v>347578</v>
      </c>
      <c r="Z98" s="17">
        <v>111346</v>
      </c>
      <c r="AA98" s="17">
        <v>92698</v>
      </c>
      <c r="AB98" s="17">
        <v>36065</v>
      </c>
      <c r="AC98" s="17">
        <v>11105</v>
      </c>
      <c r="AD98" s="17">
        <v>6284</v>
      </c>
      <c r="AE98" s="17">
        <v>6982</v>
      </c>
      <c r="AF98" s="17">
        <v>0</v>
      </c>
      <c r="AG98" s="17">
        <v>0</v>
      </c>
      <c r="AH98" s="17">
        <v>0</v>
      </c>
      <c r="AI98" s="17">
        <v>0</v>
      </c>
      <c r="AJ98" s="54">
        <f t="shared" si="31"/>
        <v>555436</v>
      </c>
      <c r="AK98" s="54">
        <f t="shared" si="32"/>
        <v>440276</v>
      </c>
      <c r="AL98" s="54">
        <f t="shared" si="33"/>
        <v>42349</v>
      </c>
      <c r="AM98" s="54">
        <f t="shared" si="34"/>
        <v>18087</v>
      </c>
      <c r="AN98" s="19">
        <v>46118</v>
      </c>
      <c r="AO98" s="487">
        <f t="shared" si="35"/>
        <v>-8.3911970822780901E-2</v>
      </c>
      <c r="AP98" s="487">
        <f t="shared" si="36"/>
        <v>3.5811557226196111E-2</v>
      </c>
      <c r="AQ98" s="486">
        <f t="shared" si="37"/>
        <v>8.7971906682239309E-2</v>
      </c>
      <c r="AR98" s="486">
        <f t="shared" si="38"/>
        <v>-0.23323101114949352</v>
      </c>
      <c r="AS98" s="472">
        <f t="shared" si="39"/>
        <v>0.10160389768409095</v>
      </c>
      <c r="AT98" s="472">
        <f t="shared" si="40"/>
        <v>-0.21886506935687344</v>
      </c>
      <c r="AU98" s="472">
        <f t="shared" si="41"/>
        <v>-0.54647374472978161</v>
      </c>
      <c r="AV98" s="472">
        <f t="shared" si="42"/>
        <v>-0.82791994750656173</v>
      </c>
      <c r="AW98" s="472">
        <f t="shared" si="43"/>
        <v>0.44686490516027488</v>
      </c>
      <c r="AX98" s="472">
        <f t="shared" si="44"/>
        <v>-0.21732531694025981</v>
      </c>
      <c r="AY98" s="472">
        <f t="shared" si="45"/>
        <v>-0.16747795161029588</v>
      </c>
      <c r="AZ98" s="472">
        <f t="shared" si="46"/>
        <v>-0.20733261797938918</v>
      </c>
      <c r="BA98" s="472">
        <f t="shared" si="47"/>
        <v>-0.69208373769582698</v>
      </c>
      <c r="BB98" s="472">
        <f t="shared" si="48"/>
        <v>0.11107574793125408</v>
      </c>
      <c r="BC98" s="472">
        <f t="shared" si="49"/>
        <v>-0.572906089872252</v>
      </c>
      <c r="BD98" s="472" t="e">
        <f t="shared" si="50"/>
        <v>#DIV/0!</v>
      </c>
      <c r="BE98" s="472" t="e">
        <f t="shared" si="51"/>
        <v>#DIV/0!</v>
      </c>
    </row>
    <row r="99" spans="1:57" hidden="1" x14ac:dyDescent="0.35">
      <c r="A99" s="16">
        <v>45755</v>
      </c>
      <c r="B99" s="17">
        <v>30891733</v>
      </c>
      <c r="C99" s="17">
        <v>29344448</v>
      </c>
      <c r="D99" s="17">
        <v>3954165.5862068967</v>
      </c>
      <c r="E99" s="17">
        <v>4048800</v>
      </c>
      <c r="F99" s="484">
        <f t="shared" si="27"/>
        <v>3402294.5862068967</v>
      </c>
      <c r="G99" s="484">
        <f t="shared" si="28"/>
        <v>3581649</v>
      </c>
      <c r="H99" s="484">
        <f t="shared" si="29"/>
        <v>551871</v>
      </c>
      <c r="I99" s="484">
        <f t="shared" si="30"/>
        <v>467151</v>
      </c>
      <c r="J99" s="19">
        <v>46119</v>
      </c>
      <c r="K99" s="17">
        <v>4130456.0199458422</v>
      </c>
      <c r="L99" s="17">
        <v>3507321.56373533</v>
      </c>
      <c r="M99" s="17">
        <v>623134.45621051197</v>
      </c>
      <c r="N99" s="17">
        <v>3216605</v>
      </c>
      <c r="O99" s="17">
        <v>3458231</v>
      </c>
      <c r="P99" s="17">
        <v>21327.586206896602</v>
      </c>
      <c r="Q99" s="17">
        <v>13114</v>
      </c>
      <c r="R99" s="17">
        <v>89117</v>
      </c>
      <c r="S99" s="17">
        <v>46704</v>
      </c>
      <c r="T99" s="17">
        <v>9523</v>
      </c>
      <c r="U99" s="17">
        <v>6042</v>
      </c>
      <c r="V99" s="17">
        <v>65722</v>
      </c>
      <c r="W99" s="17">
        <v>57558</v>
      </c>
      <c r="X99" s="17">
        <v>426938</v>
      </c>
      <c r="Y99" s="17">
        <v>339334</v>
      </c>
      <c r="Z99" s="17">
        <v>95196</v>
      </c>
      <c r="AA99" s="17">
        <v>100463</v>
      </c>
      <c r="AB99" s="17">
        <v>19287</v>
      </c>
      <c r="AC99" s="17">
        <v>21803</v>
      </c>
      <c r="AD99" s="17">
        <v>10450</v>
      </c>
      <c r="AE99" s="17">
        <v>5551</v>
      </c>
      <c r="AF99" s="17">
        <v>0</v>
      </c>
      <c r="AG99" s="17">
        <v>0</v>
      </c>
      <c r="AH99" s="17">
        <v>0</v>
      </c>
      <c r="AI99" s="17">
        <v>0</v>
      </c>
      <c r="AJ99" s="54">
        <f t="shared" si="31"/>
        <v>522134</v>
      </c>
      <c r="AK99" s="54">
        <f t="shared" si="32"/>
        <v>439797</v>
      </c>
      <c r="AL99" s="54">
        <f t="shared" si="33"/>
        <v>29737</v>
      </c>
      <c r="AM99" s="54">
        <f t="shared" si="34"/>
        <v>27354</v>
      </c>
      <c r="AN99" s="19">
        <v>46119</v>
      </c>
      <c r="AO99" s="487">
        <f t="shared" si="35"/>
        <v>-5.00873486120057E-2</v>
      </c>
      <c r="AP99" s="487">
        <f t="shared" si="36"/>
        <v>2.3932840375529896E-2</v>
      </c>
      <c r="AQ99" s="486">
        <f t="shared" si="37"/>
        <v>5.2715721478150845E-2</v>
      </c>
      <c r="AR99" s="486">
        <f t="shared" si="38"/>
        <v>-0.15351413645580214</v>
      </c>
      <c r="AS99" s="472">
        <f t="shared" si="39"/>
        <v>7.5118331284071305E-2</v>
      </c>
      <c r="AT99" s="472">
        <f t="shared" si="40"/>
        <v>-0.38511560226354224</v>
      </c>
      <c r="AU99" s="472">
        <f t="shared" si="41"/>
        <v>-0.47592490770560048</v>
      </c>
      <c r="AV99" s="472">
        <f t="shared" si="42"/>
        <v>-0.36553607056599813</v>
      </c>
      <c r="AW99" s="472">
        <f t="shared" si="43"/>
        <v>-0.12422020023736347</v>
      </c>
      <c r="AX99" s="472">
        <f t="shared" si="44"/>
        <v>-0.20519138610290022</v>
      </c>
      <c r="AY99" s="472">
        <f t="shared" si="45"/>
        <v>5.5327954956090553E-2</v>
      </c>
      <c r="AZ99" s="472">
        <f t="shared" si="46"/>
        <v>-0.15769323583601147</v>
      </c>
      <c r="BA99" s="472">
        <f t="shared" si="47"/>
        <v>0.13045056255508891</v>
      </c>
      <c r="BB99" s="472">
        <f t="shared" si="48"/>
        <v>-0.46880382775119622</v>
      </c>
      <c r="BC99" s="472">
        <f t="shared" si="49"/>
        <v>-8.0135857685711409E-2</v>
      </c>
      <c r="BD99" s="472" t="e">
        <f t="shared" ref="BD99:BD130" si="52">AG99/AF99-1</f>
        <v>#DIV/0!</v>
      </c>
      <c r="BE99" s="472" t="e">
        <f t="shared" ref="BE99:BE130" si="53">AI99/AH99-1</f>
        <v>#DIV/0!</v>
      </c>
    </row>
    <row r="100" spans="1:57" hidden="1" x14ac:dyDescent="0.35">
      <c r="A100" s="19">
        <v>45756</v>
      </c>
      <c r="B100" s="17">
        <v>33570758</v>
      </c>
      <c r="C100" s="17">
        <v>32604834</v>
      </c>
      <c r="D100" s="17">
        <v>3343296.7586206896</v>
      </c>
      <c r="E100" s="17">
        <v>4106605</v>
      </c>
      <c r="F100" s="484">
        <f t="shared" si="27"/>
        <v>2827834.7586206896</v>
      </c>
      <c r="G100" s="484">
        <f t="shared" si="28"/>
        <v>3451270</v>
      </c>
      <c r="H100" s="484">
        <f t="shared" si="29"/>
        <v>515462</v>
      </c>
      <c r="I100" s="484">
        <f t="shared" si="30"/>
        <v>655335</v>
      </c>
      <c r="J100" s="19">
        <v>46120</v>
      </c>
      <c r="K100" s="17">
        <v>4462204.5025639776</v>
      </c>
      <c r="L100" s="17">
        <v>3823240.0389817902</v>
      </c>
      <c r="M100" s="17">
        <v>638964.46358218696</v>
      </c>
      <c r="N100" s="17">
        <v>2654418</v>
      </c>
      <c r="O100" s="17">
        <v>3303877</v>
      </c>
      <c r="P100" s="17">
        <v>17257.758620689699</v>
      </c>
      <c r="Q100" s="17">
        <v>7511</v>
      </c>
      <c r="R100" s="17">
        <v>79591</v>
      </c>
      <c r="S100" s="17">
        <v>44772</v>
      </c>
      <c r="T100" s="17">
        <v>3785</v>
      </c>
      <c r="U100" s="17">
        <v>1353</v>
      </c>
      <c r="V100" s="17">
        <v>72783</v>
      </c>
      <c r="W100" s="17">
        <v>93757</v>
      </c>
      <c r="X100" s="17">
        <v>402853</v>
      </c>
      <c r="Y100" s="17">
        <v>499464</v>
      </c>
      <c r="Z100" s="17">
        <v>84871</v>
      </c>
      <c r="AA100" s="17">
        <v>121896</v>
      </c>
      <c r="AB100" s="17">
        <v>19957</v>
      </c>
      <c r="AC100" s="17">
        <v>23159</v>
      </c>
      <c r="AD100" s="17">
        <v>7781</v>
      </c>
      <c r="AE100" s="17">
        <v>6698</v>
      </c>
      <c r="AF100" s="17">
        <v>0</v>
      </c>
      <c r="AG100" s="17">
        <v>1621</v>
      </c>
      <c r="AH100" s="17">
        <v>0</v>
      </c>
      <c r="AI100" s="17">
        <v>2497</v>
      </c>
      <c r="AJ100" s="54">
        <f t="shared" si="31"/>
        <v>487724</v>
      </c>
      <c r="AK100" s="54">
        <f t="shared" si="32"/>
        <v>621360</v>
      </c>
      <c r="AL100" s="54">
        <f t="shared" si="33"/>
        <v>27738</v>
      </c>
      <c r="AM100" s="54">
        <f t="shared" si="34"/>
        <v>29857</v>
      </c>
      <c r="AN100" s="19">
        <v>46120</v>
      </c>
      <c r="AO100" s="487">
        <f t="shared" si="35"/>
        <v>-2.8772778976274505E-2</v>
      </c>
      <c r="AP100" s="487">
        <f t="shared" si="36"/>
        <v>0.22831004738395433</v>
      </c>
      <c r="AQ100" s="486">
        <f t="shared" si="37"/>
        <v>0.22046381581482444</v>
      </c>
      <c r="AR100" s="486">
        <f t="shared" si="38"/>
        <v>0.27135462943922151</v>
      </c>
      <c r="AS100" s="472">
        <f t="shared" si="39"/>
        <v>0.24467095988649867</v>
      </c>
      <c r="AT100" s="472">
        <f t="shared" si="40"/>
        <v>-0.56477546330985673</v>
      </c>
      <c r="AU100" s="472">
        <f t="shared" si="41"/>
        <v>-0.43747408626603512</v>
      </c>
      <c r="AV100" s="472">
        <f t="shared" si="42"/>
        <v>-0.64253632760898283</v>
      </c>
      <c r="AW100" s="472">
        <f t="shared" si="43"/>
        <v>0.28817168844372998</v>
      </c>
      <c r="AX100" s="472">
        <f t="shared" si="44"/>
        <v>0.23981700521033722</v>
      </c>
      <c r="AY100" s="472">
        <f t="shared" si="45"/>
        <v>0.43625030929292685</v>
      </c>
      <c r="AZ100" s="472">
        <f t="shared" si="46"/>
        <v>0.27399922907218022</v>
      </c>
      <c r="BA100" s="472">
        <f t="shared" si="47"/>
        <v>0.16044495665681224</v>
      </c>
      <c r="BB100" s="472">
        <f t="shared" si="48"/>
        <v>-0.13918519470505075</v>
      </c>
      <c r="BC100" s="472">
        <f t="shared" si="49"/>
        <v>7.6393395342129855E-2</v>
      </c>
      <c r="BD100" s="472" t="e">
        <f t="shared" si="52"/>
        <v>#DIV/0!</v>
      </c>
      <c r="BE100" s="472" t="e">
        <f t="shared" si="53"/>
        <v>#DIV/0!</v>
      </c>
    </row>
    <row r="101" spans="1:57" hidden="1" x14ac:dyDescent="0.35">
      <c r="A101" s="16">
        <v>45757</v>
      </c>
      <c r="B101" s="17">
        <v>38193351</v>
      </c>
      <c r="C101" s="17">
        <v>37442596</v>
      </c>
      <c r="D101" s="17">
        <v>2855594.3793103448</v>
      </c>
      <c r="E101" s="17">
        <v>3904261</v>
      </c>
      <c r="F101" s="484">
        <f t="shared" si="27"/>
        <v>2318154.3793103448</v>
      </c>
      <c r="G101" s="484">
        <f t="shared" si="28"/>
        <v>3294448</v>
      </c>
      <c r="H101" s="484">
        <f t="shared" si="29"/>
        <v>537440</v>
      </c>
      <c r="I101" s="484">
        <f t="shared" si="30"/>
        <v>609813</v>
      </c>
      <c r="J101" s="19">
        <v>46121</v>
      </c>
      <c r="K101" s="17">
        <v>3442825.792989464</v>
      </c>
      <c r="L101" s="17">
        <v>2838051.03188224</v>
      </c>
      <c r="M101" s="17">
        <v>604774.76110722404</v>
      </c>
      <c r="N101" s="17">
        <v>2192657</v>
      </c>
      <c r="O101" s="17">
        <v>3172823</v>
      </c>
      <c r="P101" s="17">
        <v>17516.379310344801</v>
      </c>
      <c r="Q101" s="17">
        <v>20804</v>
      </c>
      <c r="R101" s="17">
        <v>43419</v>
      </c>
      <c r="S101" s="17">
        <v>11709</v>
      </c>
      <c r="T101" s="17">
        <v>11270</v>
      </c>
      <c r="U101" s="17">
        <v>1421</v>
      </c>
      <c r="V101" s="17">
        <v>53292</v>
      </c>
      <c r="W101" s="17">
        <v>87691</v>
      </c>
      <c r="X101" s="17">
        <v>414956</v>
      </c>
      <c r="Y101" s="17">
        <v>462300</v>
      </c>
      <c r="Z101" s="17">
        <v>99227</v>
      </c>
      <c r="AA101" s="17">
        <v>118189</v>
      </c>
      <c r="AB101" s="17">
        <v>16763</v>
      </c>
      <c r="AC101" s="17">
        <v>14527</v>
      </c>
      <c r="AD101" s="17">
        <v>6494</v>
      </c>
      <c r="AE101" s="17">
        <v>13979</v>
      </c>
      <c r="AF101" s="17">
        <v>0</v>
      </c>
      <c r="AG101" s="17">
        <v>0</v>
      </c>
      <c r="AH101" s="17">
        <v>0</v>
      </c>
      <c r="AI101" s="17">
        <v>818</v>
      </c>
      <c r="AJ101" s="54">
        <f t="shared" si="31"/>
        <v>514183</v>
      </c>
      <c r="AK101" s="54">
        <f t="shared" si="32"/>
        <v>580489</v>
      </c>
      <c r="AL101" s="54">
        <f t="shared" si="33"/>
        <v>23257</v>
      </c>
      <c r="AM101" s="54">
        <f t="shared" si="34"/>
        <v>28506</v>
      </c>
      <c r="AN101" s="19">
        <v>46121</v>
      </c>
      <c r="AO101" s="487">
        <f t="shared" si="35"/>
        <v>-1.9656693648064549E-2</v>
      </c>
      <c r="AP101" s="487">
        <f t="shared" si="36"/>
        <v>0.36723234514242131</v>
      </c>
      <c r="AQ101" s="486">
        <f t="shared" si="37"/>
        <v>0.42115125265302833</v>
      </c>
      <c r="AR101" s="486">
        <f t="shared" si="38"/>
        <v>0.13466247395058062</v>
      </c>
      <c r="AS101" s="472">
        <f t="shared" si="39"/>
        <v>0.44702203764656301</v>
      </c>
      <c r="AT101" s="472">
        <f t="shared" si="40"/>
        <v>0.18768837049067555</v>
      </c>
      <c r="AU101" s="472">
        <f t="shared" si="41"/>
        <v>-0.73032543356595037</v>
      </c>
      <c r="AV101" s="472">
        <f t="shared" si="42"/>
        <v>-0.87391304347826093</v>
      </c>
      <c r="AW101" s="472">
        <f t="shared" si="43"/>
        <v>0.64548149816107481</v>
      </c>
      <c r="AX101" s="472">
        <f t="shared" si="44"/>
        <v>0.11409402442668615</v>
      </c>
      <c r="AY101" s="472">
        <f t="shared" si="45"/>
        <v>0.19109718121075914</v>
      </c>
      <c r="AZ101" s="472">
        <f t="shared" si="46"/>
        <v>0.12895408833041944</v>
      </c>
      <c r="BA101" s="472">
        <f t="shared" si="47"/>
        <v>-0.13338901151345228</v>
      </c>
      <c r="BB101" s="472">
        <f t="shared" si="48"/>
        <v>1.1526024022174313</v>
      </c>
      <c r="BC101" s="472">
        <f t="shared" si="49"/>
        <v>0.22569548953003404</v>
      </c>
      <c r="BD101" s="472" t="e">
        <f t="shared" si="52"/>
        <v>#DIV/0!</v>
      </c>
      <c r="BE101" s="472" t="e">
        <f t="shared" si="53"/>
        <v>#DIV/0!</v>
      </c>
    </row>
    <row r="102" spans="1:57" hidden="1" x14ac:dyDescent="0.35">
      <c r="A102" s="19">
        <v>45758</v>
      </c>
      <c r="B102" s="17">
        <v>38630835</v>
      </c>
      <c r="C102" s="17">
        <v>38060436</v>
      </c>
      <c r="D102" s="17">
        <v>2228457.1034482759</v>
      </c>
      <c r="E102" s="17">
        <v>3148957</v>
      </c>
      <c r="F102" s="484">
        <f t="shared" si="27"/>
        <v>1752392.1034482759</v>
      </c>
      <c r="G102" s="484">
        <f t="shared" si="28"/>
        <v>2628251</v>
      </c>
      <c r="H102" s="484">
        <f t="shared" si="29"/>
        <v>476065</v>
      </c>
      <c r="I102" s="484">
        <f t="shared" si="30"/>
        <v>520706</v>
      </c>
      <c r="J102" s="19">
        <v>46122</v>
      </c>
      <c r="K102" s="17">
        <v>3326298.0552961957</v>
      </c>
      <c r="L102" s="17">
        <v>2749076.7175187599</v>
      </c>
      <c r="M102" s="17">
        <v>577221.33777743601</v>
      </c>
      <c r="N102" s="17">
        <v>1604794</v>
      </c>
      <c r="O102" s="17">
        <v>2535597</v>
      </c>
      <c r="P102" s="17">
        <v>16868.103448275899</v>
      </c>
      <c r="Q102" s="17">
        <v>22229</v>
      </c>
      <c r="R102" s="17">
        <v>51502</v>
      </c>
      <c r="S102" s="17">
        <v>16211</v>
      </c>
      <c r="T102" s="17">
        <v>8066</v>
      </c>
      <c r="U102" s="17">
        <v>1789</v>
      </c>
      <c r="V102" s="17">
        <v>71162</v>
      </c>
      <c r="W102" s="17">
        <v>52425</v>
      </c>
      <c r="X102" s="17">
        <v>379811</v>
      </c>
      <c r="Y102" s="17">
        <v>374003</v>
      </c>
      <c r="Z102" s="17">
        <v>81052</v>
      </c>
      <c r="AA102" s="17">
        <v>127024</v>
      </c>
      <c r="AB102" s="17">
        <v>5276</v>
      </c>
      <c r="AC102" s="17">
        <v>13679</v>
      </c>
      <c r="AD102" s="17">
        <v>9926</v>
      </c>
      <c r="AE102" s="17">
        <v>5354</v>
      </c>
      <c r="AF102" s="17">
        <v>0</v>
      </c>
      <c r="AG102" s="17">
        <v>0</v>
      </c>
      <c r="AH102" s="17">
        <v>0</v>
      </c>
      <c r="AI102" s="17">
        <v>646</v>
      </c>
      <c r="AJ102" s="54">
        <f t="shared" si="31"/>
        <v>460863</v>
      </c>
      <c r="AK102" s="54">
        <f t="shared" si="32"/>
        <v>501027</v>
      </c>
      <c r="AL102" s="54">
        <f t="shared" si="33"/>
        <v>15202</v>
      </c>
      <c r="AM102" s="54">
        <f t="shared" si="34"/>
        <v>19033</v>
      </c>
      <c r="AN102" s="19">
        <v>46122</v>
      </c>
      <c r="AO102" s="487">
        <f t="shared" si="35"/>
        <v>-1.4765381074470674E-2</v>
      </c>
      <c r="AP102" s="487">
        <f t="shared" si="36"/>
        <v>0.41306601555280498</v>
      </c>
      <c r="AQ102" s="486">
        <f t="shared" si="37"/>
        <v>0.49980760289221204</v>
      </c>
      <c r="AR102" s="486">
        <f t="shared" si="38"/>
        <v>9.377080860806819E-2</v>
      </c>
      <c r="AS102" s="472">
        <f t="shared" si="39"/>
        <v>0.58001400802844483</v>
      </c>
      <c r="AT102" s="472">
        <f t="shared" si="40"/>
        <v>0.3178126437369011</v>
      </c>
      <c r="AU102" s="472">
        <f t="shared" si="41"/>
        <v>-0.68523552483398698</v>
      </c>
      <c r="AV102" s="472">
        <f t="shared" si="42"/>
        <v>-0.77820481031490207</v>
      </c>
      <c r="AW102" s="472">
        <f t="shared" si="43"/>
        <v>-0.26330063798094494</v>
      </c>
      <c r="AX102" s="472">
        <f t="shared" si="44"/>
        <v>-1.529181619279063E-2</v>
      </c>
      <c r="AY102" s="472">
        <f t="shared" si="45"/>
        <v>0.56719143266051431</v>
      </c>
      <c r="AZ102" s="472">
        <f t="shared" si="46"/>
        <v>8.7149543356702441E-2</v>
      </c>
      <c r="BA102" s="472">
        <f t="shared" si="47"/>
        <v>1.5926838514025778</v>
      </c>
      <c r="BB102" s="472">
        <f t="shared" si="48"/>
        <v>-0.46060850292162003</v>
      </c>
      <c r="BC102" s="472">
        <f t="shared" si="49"/>
        <v>0.25200631495855808</v>
      </c>
      <c r="BD102" s="472" t="e">
        <f t="shared" si="52"/>
        <v>#DIV/0!</v>
      </c>
      <c r="BE102" s="472" t="e">
        <f t="shared" si="53"/>
        <v>#DIV/0!</v>
      </c>
    </row>
    <row r="103" spans="1:57" hidden="1" x14ac:dyDescent="0.35">
      <c r="A103" s="16">
        <v>45759</v>
      </c>
      <c r="B103" s="17">
        <v>47070678</v>
      </c>
      <c r="C103" s="17">
        <v>44317773</v>
      </c>
      <c r="D103" s="17">
        <v>1943897.9655172415</v>
      </c>
      <c r="E103" s="17">
        <v>2579671</v>
      </c>
      <c r="F103" s="484">
        <f t="shared" si="27"/>
        <v>1469535.9655172415</v>
      </c>
      <c r="G103" s="484">
        <f t="shared" si="28"/>
        <v>2074160</v>
      </c>
      <c r="H103" s="484">
        <f t="shared" si="29"/>
        <v>474362</v>
      </c>
      <c r="I103" s="484">
        <f t="shared" si="30"/>
        <v>505511</v>
      </c>
      <c r="J103" s="19">
        <v>46123</v>
      </c>
      <c r="K103" s="17">
        <v>2937113.3031593719</v>
      </c>
      <c r="L103" s="17">
        <v>2441321.4519349602</v>
      </c>
      <c r="M103" s="17">
        <v>495791.85122441198</v>
      </c>
      <c r="N103" s="17">
        <v>1381331</v>
      </c>
      <c r="O103" s="17">
        <v>1919461</v>
      </c>
      <c r="P103" s="17">
        <v>16293.9655172414</v>
      </c>
      <c r="Q103" s="17">
        <v>23291</v>
      </c>
      <c r="R103" s="17">
        <v>6610</v>
      </c>
      <c r="S103" s="17">
        <v>9774</v>
      </c>
      <c r="T103" s="17">
        <v>11834</v>
      </c>
      <c r="U103" s="17">
        <v>0</v>
      </c>
      <c r="V103" s="17">
        <v>53467</v>
      </c>
      <c r="W103" s="17">
        <v>121634</v>
      </c>
      <c r="X103" s="17">
        <v>372193</v>
      </c>
      <c r="Y103" s="17">
        <v>377396</v>
      </c>
      <c r="Z103" s="17">
        <v>72801</v>
      </c>
      <c r="AA103" s="17">
        <v>109212</v>
      </c>
      <c r="AB103" s="17">
        <v>17561</v>
      </c>
      <c r="AC103" s="17">
        <v>11510</v>
      </c>
      <c r="AD103" s="17">
        <v>11807</v>
      </c>
      <c r="AE103" s="17">
        <v>7393</v>
      </c>
      <c r="AF103" s="17">
        <v>0</v>
      </c>
      <c r="AG103" s="17">
        <v>0</v>
      </c>
      <c r="AH103" s="17">
        <v>0</v>
      </c>
      <c r="AI103" s="17">
        <v>0</v>
      </c>
      <c r="AJ103" s="54">
        <f t="shared" si="31"/>
        <v>444994</v>
      </c>
      <c r="AK103" s="54">
        <f t="shared" si="32"/>
        <v>486608</v>
      </c>
      <c r="AL103" s="54">
        <f t="shared" si="33"/>
        <v>29368</v>
      </c>
      <c r="AM103" s="54">
        <f t="shared" si="34"/>
        <v>18903</v>
      </c>
      <c r="AN103" s="19">
        <v>46123</v>
      </c>
      <c r="AO103" s="487">
        <f t="shared" si="35"/>
        <v>-5.8484498566177434E-2</v>
      </c>
      <c r="AP103" s="487">
        <f t="shared" si="36"/>
        <v>0.32706090842252045</v>
      </c>
      <c r="AQ103" s="486">
        <f t="shared" si="37"/>
        <v>0.41143874574716199</v>
      </c>
      <c r="AR103" s="486">
        <f t="shared" si="38"/>
        <v>6.5665040622984172E-2</v>
      </c>
      <c r="AS103" s="472">
        <f t="shared" si="39"/>
        <v>0.38957353451127941</v>
      </c>
      <c r="AT103" s="472">
        <f t="shared" si="40"/>
        <v>0.42942489815353491</v>
      </c>
      <c r="AU103" s="472">
        <f t="shared" si="41"/>
        <v>0.47866868381240546</v>
      </c>
      <c r="AV103" s="472">
        <f t="shared" si="42"/>
        <v>-1</v>
      </c>
      <c r="AW103" s="472">
        <f t="shared" si="43"/>
        <v>1.2749359417958739</v>
      </c>
      <c r="AX103" s="472">
        <f t="shared" si="44"/>
        <v>1.3979306435102146E-2</v>
      </c>
      <c r="AY103" s="472">
        <f t="shared" si="45"/>
        <v>0.50014422878806619</v>
      </c>
      <c r="AZ103" s="472">
        <f t="shared" si="46"/>
        <v>9.3515867629675897E-2</v>
      </c>
      <c r="BA103" s="472">
        <f t="shared" si="47"/>
        <v>-0.34457035476339615</v>
      </c>
      <c r="BB103" s="472">
        <f t="shared" si="48"/>
        <v>-0.37384602354535446</v>
      </c>
      <c r="BC103" s="472">
        <f t="shared" si="49"/>
        <v>-0.35634023426859163</v>
      </c>
      <c r="BD103" s="472" t="e">
        <f t="shared" si="52"/>
        <v>#DIV/0!</v>
      </c>
      <c r="BE103" s="472" t="e">
        <f t="shared" si="53"/>
        <v>#DIV/0!</v>
      </c>
    </row>
    <row r="104" spans="1:57" hidden="1" x14ac:dyDescent="0.35">
      <c r="A104" s="19">
        <v>45760</v>
      </c>
      <c r="B104" s="17">
        <v>42859990</v>
      </c>
      <c r="C104" s="17">
        <v>45342867</v>
      </c>
      <c r="D104" s="17">
        <v>2131055.4482758623</v>
      </c>
      <c r="E104" s="17">
        <v>2910484</v>
      </c>
      <c r="F104" s="484">
        <f t="shared" si="27"/>
        <v>1674155.448275862</v>
      </c>
      <c r="G104" s="484">
        <f t="shared" si="28"/>
        <v>2252662</v>
      </c>
      <c r="H104" s="484">
        <f t="shared" si="29"/>
        <v>456900</v>
      </c>
      <c r="I104" s="484">
        <f t="shared" si="30"/>
        <v>657822</v>
      </c>
      <c r="J104" s="19">
        <v>46124</v>
      </c>
      <c r="K104" s="17">
        <v>3206594.500332939</v>
      </c>
      <c r="L104" s="17">
        <v>2685635.78252867</v>
      </c>
      <c r="M104" s="17">
        <v>520958.71780426899</v>
      </c>
      <c r="N104" s="17">
        <v>1569406</v>
      </c>
      <c r="O104" s="17">
        <v>2182914</v>
      </c>
      <c r="P104" s="17">
        <v>19453.448275862102</v>
      </c>
      <c r="Q104" s="17">
        <v>23094</v>
      </c>
      <c r="R104" s="17">
        <v>1820</v>
      </c>
      <c r="S104" s="17">
        <v>-748</v>
      </c>
      <c r="T104" s="17">
        <v>11036</v>
      </c>
      <c r="U104" s="17">
        <v>0</v>
      </c>
      <c r="V104" s="17">
        <v>72440</v>
      </c>
      <c r="W104" s="17">
        <v>47402</v>
      </c>
      <c r="X104" s="17">
        <v>333556</v>
      </c>
      <c r="Y104" s="17">
        <v>497090</v>
      </c>
      <c r="Z104" s="17">
        <v>96341</v>
      </c>
      <c r="AA104" s="17">
        <v>137516</v>
      </c>
      <c r="AB104" s="17">
        <v>15131</v>
      </c>
      <c r="AC104" s="17">
        <v>16747</v>
      </c>
      <c r="AD104" s="17">
        <v>11872</v>
      </c>
      <c r="AE104" s="17">
        <v>6469</v>
      </c>
      <c r="AF104" s="17">
        <v>0</v>
      </c>
      <c r="AG104" s="17">
        <v>0</v>
      </c>
      <c r="AH104" s="17">
        <v>0</v>
      </c>
      <c r="AI104" s="17">
        <v>0</v>
      </c>
      <c r="AJ104" s="54">
        <f t="shared" si="31"/>
        <v>429897</v>
      </c>
      <c r="AK104" s="54">
        <f t="shared" si="32"/>
        <v>634606</v>
      </c>
      <c r="AL104" s="54">
        <f t="shared" si="33"/>
        <v>27003</v>
      </c>
      <c r="AM104" s="54">
        <f t="shared" si="34"/>
        <v>23216</v>
      </c>
      <c r="AN104" s="19">
        <v>46124</v>
      </c>
      <c r="AO104" s="487">
        <f t="shared" si="35"/>
        <v>5.7929948187108726E-2</v>
      </c>
      <c r="AP104" s="487">
        <f t="shared" si="36"/>
        <v>0.36574766384175361</v>
      </c>
      <c r="AQ104" s="486">
        <f t="shared" si="37"/>
        <v>0.34555127620909754</v>
      </c>
      <c r="AR104" s="486">
        <f t="shared" si="38"/>
        <v>0.43975049244911357</v>
      </c>
      <c r="AS104" s="472">
        <f t="shared" si="39"/>
        <v>0.39091732795720158</v>
      </c>
      <c r="AT104" s="472">
        <f t="shared" si="40"/>
        <v>0.18714171762828835</v>
      </c>
      <c r="AU104" s="472">
        <f t="shared" si="41"/>
        <v>-1.4109890109890109</v>
      </c>
      <c r="AV104" s="472">
        <f t="shared" si="42"/>
        <v>-1</v>
      </c>
      <c r="AW104" s="472">
        <f t="shared" si="43"/>
        <v>-0.34563776918829381</v>
      </c>
      <c r="AX104" s="472">
        <f t="shared" si="44"/>
        <v>0.49027449663624689</v>
      </c>
      <c r="AY104" s="472">
        <f t="shared" si="45"/>
        <v>0.42738813174038048</v>
      </c>
      <c r="AZ104" s="472">
        <f t="shared" si="46"/>
        <v>0.47618150394164194</v>
      </c>
      <c r="BA104" s="472">
        <f t="shared" si="47"/>
        <v>0.10680060802326352</v>
      </c>
      <c r="BB104" s="472">
        <f t="shared" si="48"/>
        <v>-0.45510444743935308</v>
      </c>
      <c r="BC104" s="472">
        <f t="shared" si="49"/>
        <v>-0.14024367662852277</v>
      </c>
      <c r="BD104" s="472" t="e">
        <f t="shared" si="52"/>
        <v>#DIV/0!</v>
      </c>
      <c r="BE104" s="472" t="e">
        <f t="shared" si="53"/>
        <v>#DIV/0!</v>
      </c>
    </row>
    <row r="105" spans="1:57" hidden="1" x14ac:dyDescent="0.35">
      <c r="A105" s="16">
        <v>45761</v>
      </c>
      <c r="B105" s="17">
        <v>33282941</v>
      </c>
      <c r="C105" s="17">
        <v>25303094</v>
      </c>
      <c r="D105" s="17">
        <v>3391252.4137931033</v>
      </c>
      <c r="E105" s="17">
        <v>4450991</v>
      </c>
      <c r="F105" s="484">
        <f t="shared" si="27"/>
        <v>2791903.4137931033</v>
      </c>
      <c r="G105" s="484">
        <f t="shared" si="28"/>
        <v>3723834</v>
      </c>
      <c r="H105" s="484">
        <f t="shared" si="29"/>
        <v>599349</v>
      </c>
      <c r="I105" s="484">
        <f t="shared" si="30"/>
        <v>727157</v>
      </c>
      <c r="J105" s="19">
        <v>46125</v>
      </c>
      <c r="K105" s="17">
        <v>4091565.706355758</v>
      </c>
      <c r="L105" s="17">
        <v>3548869.4431393798</v>
      </c>
      <c r="M105" s="17">
        <v>542696.26321637805</v>
      </c>
      <c r="N105" s="17">
        <v>2602332</v>
      </c>
      <c r="O105" s="17">
        <v>3545385</v>
      </c>
      <c r="P105" s="17">
        <v>16797.4137931035</v>
      </c>
      <c r="Q105" s="17">
        <v>17718</v>
      </c>
      <c r="R105" s="17">
        <v>67991</v>
      </c>
      <c r="S105" s="17">
        <v>56841</v>
      </c>
      <c r="T105" s="17">
        <v>21714</v>
      </c>
      <c r="U105" s="17">
        <v>2996</v>
      </c>
      <c r="V105" s="17">
        <v>83069</v>
      </c>
      <c r="W105" s="17">
        <v>100894</v>
      </c>
      <c r="X105" s="17">
        <v>470529</v>
      </c>
      <c r="Y105" s="17">
        <v>599220</v>
      </c>
      <c r="Z105" s="17">
        <v>93695</v>
      </c>
      <c r="AA105" s="17">
        <v>96164</v>
      </c>
      <c r="AB105" s="17">
        <v>26519</v>
      </c>
      <c r="AC105" s="17">
        <v>20425</v>
      </c>
      <c r="AD105" s="17">
        <v>8606</v>
      </c>
      <c r="AE105" s="17">
        <v>6939</v>
      </c>
      <c r="AF105" s="17">
        <v>0</v>
      </c>
      <c r="AG105" s="17">
        <v>1740</v>
      </c>
      <c r="AH105" s="17">
        <v>0</v>
      </c>
      <c r="AI105" s="17">
        <v>2669</v>
      </c>
      <c r="AJ105" s="54">
        <f t="shared" si="31"/>
        <v>564224</v>
      </c>
      <c r="AK105" s="54">
        <f t="shared" si="32"/>
        <v>695384</v>
      </c>
      <c r="AL105" s="54">
        <f t="shared" si="33"/>
        <v>35125</v>
      </c>
      <c r="AM105" s="54">
        <f t="shared" si="34"/>
        <v>27364</v>
      </c>
      <c r="AN105" s="19">
        <v>46125</v>
      </c>
      <c r="AO105" s="487">
        <f t="shared" si="35"/>
        <v>-0.23975786875324512</v>
      </c>
      <c r="AP105" s="487">
        <f t="shared" si="36"/>
        <v>0.31249180447219582</v>
      </c>
      <c r="AQ105" s="486">
        <f t="shared" si="37"/>
        <v>0.33379757394284937</v>
      </c>
      <c r="AR105" s="486">
        <f t="shared" si="38"/>
        <v>0.21324470383699645</v>
      </c>
      <c r="AS105" s="472">
        <f t="shared" si="39"/>
        <v>0.36238765845403287</v>
      </c>
      <c r="AT105" s="472">
        <f t="shared" si="40"/>
        <v>5.4805234795993751E-2</v>
      </c>
      <c r="AU105" s="472">
        <f t="shared" si="41"/>
        <v>-0.16399229309761587</v>
      </c>
      <c r="AV105" s="472">
        <f t="shared" si="42"/>
        <v>-0.86202450032237266</v>
      </c>
      <c r="AW105" s="472">
        <f t="shared" si="43"/>
        <v>0.21458064982123304</v>
      </c>
      <c r="AX105" s="472">
        <f t="shared" si="44"/>
        <v>0.2735028021652226</v>
      </c>
      <c r="AY105" s="472">
        <f t="shared" si="45"/>
        <v>2.6351459522920173E-2</v>
      </c>
      <c r="AZ105" s="472">
        <f t="shared" si="46"/>
        <v>0.23246086660617049</v>
      </c>
      <c r="BA105" s="472">
        <f t="shared" si="47"/>
        <v>-0.22979750367660923</v>
      </c>
      <c r="BB105" s="472">
        <f t="shared" si="48"/>
        <v>-0.19370206832442483</v>
      </c>
      <c r="BC105" s="472">
        <f t="shared" si="49"/>
        <v>-0.22095373665480422</v>
      </c>
      <c r="BD105" s="472" t="e">
        <f t="shared" si="52"/>
        <v>#DIV/0!</v>
      </c>
      <c r="BE105" s="472" t="e">
        <f t="shared" si="53"/>
        <v>#DIV/0!</v>
      </c>
    </row>
    <row r="106" spans="1:57" hidden="1" x14ac:dyDescent="0.35">
      <c r="A106" s="19">
        <v>45762</v>
      </c>
      <c r="B106" s="17">
        <v>38043206</v>
      </c>
      <c r="C106" s="17">
        <v>28217356</v>
      </c>
      <c r="D106" s="17">
        <v>3026574.2758620689</v>
      </c>
      <c r="E106" s="17">
        <v>4429169</v>
      </c>
      <c r="F106" s="484">
        <f t="shared" si="27"/>
        <v>2583457.2758620689</v>
      </c>
      <c r="G106" s="484">
        <f t="shared" si="28"/>
        <v>4005501</v>
      </c>
      <c r="H106" s="484">
        <f t="shared" si="29"/>
        <v>443117</v>
      </c>
      <c r="I106" s="484">
        <f t="shared" si="30"/>
        <v>423668</v>
      </c>
      <c r="J106" s="19">
        <v>46126</v>
      </c>
      <c r="K106" s="17">
        <v>4355526.0469413977</v>
      </c>
      <c r="L106" s="17">
        <v>3902260.8948228299</v>
      </c>
      <c r="M106" s="17">
        <v>453265.15211856802</v>
      </c>
      <c r="N106" s="17">
        <v>2444873</v>
      </c>
      <c r="O106" s="17">
        <v>3863997</v>
      </c>
      <c r="P106" s="17">
        <v>19573.275862069</v>
      </c>
      <c r="Q106" s="17">
        <v>23988</v>
      </c>
      <c r="R106" s="17">
        <v>50256</v>
      </c>
      <c r="S106" s="17">
        <v>19513</v>
      </c>
      <c r="T106" s="17">
        <v>13006</v>
      </c>
      <c r="U106" s="17">
        <v>3125</v>
      </c>
      <c r="V106" s="17">
        <v>55749</v>
      </c>
      <c r="W106" s="17">
        <v>94878</v>
      </c>
      <c r="X106" s="17">
        <v>297114</v>
      </c>
      <c r="Y106" s="17">
        <v>330568</v>
      </c>
      <c r="Z106" s="17">
        <v>118730</v>
      </c>
      <c r="AA106" s="17">
        <v>67207</v>
      </c>
      <c r="AB106" s="17">
        <v>16825</v>
      </c>
      <c r="AC106" s="17">
        <v>14175</v>
      </c>
      <c r="AD106" s="17">
        <v>10448</v>
      </c>
      <c r="AE106" s="17">
        <v>8738</v>
      </c>
      <c r="AF106" s="17">
        <v>0</v>
      </c>
      <c r="AG106" s="17">
        <v>2248</v>
      </c>
      <c r="AH106" s="17">
        <v>0</v>
      </c>
      <c r="AI106" s="17">
        <v>732</v>
      </c>
      <c r="AJ106" s="54">
        <f t="shared" si="31"/>
        <v>415844</v>
      </c>
      <c r="AK106" s="54">
        <f t="shared" si="32"/>
        <v>397775</v>
      </c>
      <c r="AL106" s="54">
        <f t="shared" si="33"/>
        <v>27273</v>
      </c>
      <c r="AM106" s="54">
        <f t="shared" si="34"/>
        <v>22913</v>
      </c>
      <c r="AN106" s="19">
        <v>46126</v>
      </c>
      <c r="AO106" s="487">
        <f t="shared" si="35"/>
        <v>-0.25828133412310206</v>
      </c>
      <c r="AP106" s="487">
        <f t="shared" si="36"/>
        <v>0.46342650016029285</v>
      </c>
      <c r="AQ106" s="486">
        <f t="shared" si="37"/>
        <v>0.55044212939941572</v>
      </c>
      <c r="AR106" s="486">
        <f t="shared" si="38"/>
        <v>-4.3891342467113681E-2</v>
      </c>
      <c r="AS106" s="472">
        <f t="shared" si="39"/>
        <v>0.58044896401571777</v>
      </c>
      <c r="AT106" s="472">
        <f t="shared" si="40"/>
        <v>0.22554855758643244</v>
      </c>
      <c r="AU106" s="472">
        <f t="shared" si="41"/>
        <v>-0.61172795288124804</v>
      </c>
      <c r="AV106" s="472">
        <f t="shared" si="42"/>
        <v>-0.75972628017837918</v>
      </c>
      <c r="AW106" s="472">
        <f t="shared" si="43"/>
        <v>0.70187806059301505</v>
      </c>
      <c r="AX106" s="472">
        <f t="shared" si="44"/>
        <v>0.11259651177662455</v>
      </c>
      <c r="AY106" s="472">
        <f t="shared" si="45"/>
        <v>-0.43395098121788933</v>
      </c>
      <c r="AZ106" s="472">
        <f t="shared" si="46"/>
        <v>-4.3451390425255587E-2</v>
      </c>
      <c r="BA106" s="472">
        <f t="shared" si="47"/>
        <v>-0.1575037147102526</v>
      </c>
      <c r="BB106" s="472">
        <f t="shared" si="48"/>
        <v>-0.16366768759571215</v>
      </c>
      <c r="BC106" s="472">
        <f t="shared" si="49"/>
        <v>-0.15986506801598654</v>
      </c>
      <c r="BD106" s="472" t="e">
        <f t="shared" si="52"/>
        <v>#DIV/0!</v>
      </c>
      <c r="BE106" s="472" t="e">
        <f t="shared" si="53"/>
        <v>#DIV/0!</v>
      </c>
    </row>
    <row r="107" spans="1:57" hidden="1" x14ac:dyDescent="0.35">
      <c r="A107" s="16">
        <v>45763</v>
      </c>
      <c r="B107" s="17">
        <v>41123227</v>
      </c>
      <c r="C107" s="17">
        <v>30934395</v>
      </c>
      <c r="D107" s="17">
        <v>2418990.2758620689</v>
      </c>
      <c r="E107" s="17">
        <v>4012156</v>
      </c>
      <c r="F107" s="484">
        <f t="shared" si="27"/>
        <v>1941284.2758620691</v>
      </c>
      <c r="G107" s="484">
        <f t="shared" si="28"/>
        <v>3679745</v>
      </c>
      <c r="H107" s="484">
        <f t="shared" si="29"/>
        <v>477706</v>
      </c>
      <c r="I107" s="484">
        <f t="shared" si="30"/>
        <v>332411</v>
      </c>
      <c r="J107" s="19">
        <v>46127</v>
      </c>
      <c r="K107" s="17">
        <v>4584480.9785924656</v>
      </c>
      <c r="L107" s="17">
        <v>4112402.5295298402</v>
      </c>
      <c r="M107" s="17">
        <v>472078.449062625</v>
      </c>
      <c r="N107" s="17">
        <v>1792566</v>
      </c>
      <c r="O107" s="17">
        <v>3534692</v>
      </c>
      <c r="P107" s="17">
        <v>19598.275862069</v>
      </c>
      <c r="Q107" s="17">
        <v>21408</v>
      </c>
      <c r="R107" s="17">
        <v>46001</v>
      </c>
      <c r="S107" s="17">
        <v>53680</v>
      </c>
      <c r="T107" s="17">
        <v>12990</v>
      </c>
      <c r="U107" s="17">
        <v>4047</v>
      </c>
      <c r="V107" s="17">
        <v>70129</v>
      </c>
      <c r="W107" s="17">
        <v>65918</v>
      </c>
      <c r="X107" s="17">
        <v>329344</v>
      </c>
      <c r="Y107" s="17">
        <v>262840</v>
      </c>
      <c r="Z107" s="17">
        <v>114466</v>
      </c>
      <c r="AA107" s="17">
        <v>39646</v>
      </c>
      <c r="AB107" s="17">
        <v>22862</v>
      </c>
      <c r="AC107" s="17">
        <v>15104</v>
      </c>
      <c r="AD107" s="17">
        <v>11034</v>
      </c>
      <c r="AE107" s="17">
        <v>8648</v>
      </c>
      <c r="AF107" s="17">
        <v>0</v>
      </c>
      <c r="AG107" s="17">
        <v>4107</v>
      </c>
      <c r="AH107" s="17">
        <v>0</v>
      </c>
      <c r="AI107" s="17">
        <v>2066</v>
      </c>
      <c r="AJ107" s="54">
        <f t="shared" si="31"/>
        <v>443810</v>
      </c>
      <c r="AK107" s="54">
        <f t="shared" si="32"/>
        <v>302486</v>
      </c>
      <c r="AL107" s="54">
        <f t="shared" si="33"/>
        <v>33896</v>
      </c>
      <c r="AM107" s="54">
        <f t="shared" si="34"/>
        <v>23752</v>
      </c>
      <c r="AN107" s="19">
        <v>46127</v>
      </c>
      <c r="AO107" s="487">
        <f t="shared" si="35"/>
        <v>-0.24776343549109126</v>
      </c>
      <c r="AP107" s="487">
        <f t="shared" si="36"/>
        <v>0.65860774226145491</v>
      </c>
      <c r="AQ107" s="486">
        <f t="shared" si="37"/>
        <v>0.89552094237508317</v>
      </c>
      <c r="AR107" s="486">
        <f t="shared" si="38"/>
        <v>-0.30415150741250896</v>
      </c>
      <c r="AS107" s="472">
        <f t="shared" si="39"/>
        <v>0.97186156604554585</v>
      </c>
      <c r="AT107" s="472">
        <f t="shared" si="40"/>
        <v>9.2340987067826008E-2</v>
      </c>
      <c r="AU107" s="472">
        <f t="shared" si="41"/>
        <v>0.16693115367057243</v>
      </c>
      <c r="AV107" s="472">
        <f t="shared" si="42"/>
        <v>-0.6884526558891455</v>
      </c>
      <c r="AW107" s="472">
        <f t="shared" si="43"/>
        <v>-6.0046485761952928E-2</v>
      </c>
      <c r="AX107" s="472">
        <f t="shared" si="44"/>
        <v>-0.20192868247182283</v>
      </c>
      <c r="AY107" s="472">
        <f t="shared" si="45"/>
        <v>-0.65364387678437263</v>
      </c>
      <c r="AZ107" s="472">
        <f t="shared" si="46"/>
        <v>-0.31843356391248512</v>
      </c>
      <c r="BA107" s="472">
        <f t="shared" si="47"/>
        <v>-0.3393403901670895</v>
      </c>
      <c r="BB107" s="472">
        <f t="shared" si="48"/>
        <v>-0.21624071053108573</v>
      </c>
      <c r="BC107" s="472">
        <f t="shared" si="49"/>
        <v>-0.29926835024781684</v>
      </c>
      <c r="BD107" s="472" t="e">
        <f t="shared" si="52"/>
        <v>#DIV/0!</v>
      </c>
      <c r="BE107" s="472" t="e">
        <f t="shared" si="53"/>
        <v>#DIV/0!</v>
      </c>
    </row>
    <row r="108" spans="1:57" hidden="1" x14ac:dyDescent="0.35">
      <c r="A108" s="19">
        <v>45764</v>
      </c>
      <c r="B108" s="17">
        <v>36004609</v>
      </c>
      <c r="C108" s="17">
        <v>35697133</v>
      </c>
      <c r="D108" s="17">
        <v>1877662.6896551724</v>
      </c>
      <c r="E108" s="17">
        <v>3986571</v>
      </c>
      <c r="F108" s="484">
        <f t="shared" si="27"/>
        <v>1501987.6896551724</v>
      </c>
      <c r="G108" s="484">
        <f t="shared" si="28"/>
        <v>3598979</v>
      </c>
      <c r="H108" s="484">
        <f t="shared" si="29"/>
        <v>375675</v>
      </c>
      <c r="I108" s="484">
        <f t="shared" si="30"/>
        <v>387592</v>
      </c>
      <c r="J108" s="19">
        <v>46128</v>
      </c>
      <c r="K108" s="17">
        <v>3849003.8644771161</v>
      </c>
      <c r="L108" s="17">
        <v>3227221.74691774</v>
      </c>
      <c r="M108" s="17">
        <v>621782.11755937606</v>
      </c>
      <c r="N108" s="17">
        <v>1396188</v>
      </c>
      <c r="O108" s="17">
        <v>3470178</v>
      </c>
      <c r="P108" s="17">
        <v>18720.689655172398</v>
      </c>
      <c r="Q108" s="17">
        <v>28270</v>
      </c>
      <c r="R108" s="17">
        <v>28846</v>
      </c>
      <c r="S108" s="17">
        <v>24297</v>
      </c>
      <c r="T108" s="17">
        <v>77</v>
      </c>
      <c r="U108" s="17">
        <v>671</v>
      </c>
      <c r="V108" s="17">
        <v>58156</v>
      </c>
      <c r="W108" s="17">
        <v>75563</v>
      </c>
      <c r="X108" s="17">
        <v>252134</v>
      </c>
      <c r="Y108" s="17">
        <v>302084</v>
      </c>
      <c r="Z108" s="17">
        <v>102799</v>
      </c>
      <c r="AA108" s="17">
        <v>48237</v>
      </c>
      <c r="AB108" s="17">
        <v>13428</v>
      </c>
      <c r="AC108" s="17">
        <v>25300</v>
      </c>
      <c r="AD108" s="17">
        <v>7314</v>
      </c>
      <c r="AE108" s="17">
        <v>8648</v>
      </c>
      <c r="AF108" s="17">
        <v>0</v>
      </c>
      <c r="AG108" s="17">
        <v>2420</v>
      </c>
      <c r="AH108" s="17">
        <v>0</v>
      </c>
      <c r="AI108" s="17">
        <v>903</v>
      </c>
      <c r="AJ108" s="54">
        <f t="shared" si="31"/>
        <v>354933</v>
      </c>
      <c r="AK108" s="54">
        <f t="shared" si="32"/>
        <v>350321</v>
      </c>
      <c r="AL108" s="54">
        <f t="shared" si="33"/>
        <v>20742</v>
      </c>
      <c r="AM108" s="54">
        <f t="shared" si="34"/>
        <v>33948</v>
      </c>
      <c r="AN108" s="19">
        <v>46128</v>
      </c>
      <c r="AO108" s="487">
        <f t="shared" si="35"/>
        <v>-8.5399066547285907E-3</v>
      </c>
      <c r="AP108" s="487">
        <f t="shared" si="36"/>
        <v>1.1231561035769011</v>
      </c>
      <c r="AQ108" s="486">
        <f t="shared" si="37"/>
        <v>1.3961441393878911</v>
      </c>
      <c r="AR108" s="486">
        <f t="shared" si="38"/>
        <v>3.1721567844546383E-2</v>
      </c>
      <c r="AS108" s="472">
        <f t="shared" si="39"/>
        <v>1.4854661406630054</v>
      </c>
      <c r="AT108" s="472">
        <f t="shared" si="40"/>
        <v>0.51009393995211028</v>
      </c>
      <c r="AU108" s="472">
        <f t="shared" si="41"/>
        <v>-0.15769950773070784</v>
      </c>
      <c r="AV108" s="472">
        <f t="shared" si="42"/>
        <v>7.7142857142857135</v>
      </c>
      <c r="AW108" s="472">
        <f t="shared" si="43"/>
        <v>0.29931563381250426</v>
      </c>
      <c r="AX108" s="472">
        <f t="shared" si="44"/>
        <v>0.19810894207048624</v>
      </c>
      <c r="AY108" s="472">
        <f t="shared" si="45"/>
        <v>-0.53076391793694488</v>
      </c>
      <c r="AZ108" s="472">
        <f t="shared" si="46"/>
        <v>-1.2994001684825007E-2</v>
      </c>
      <c r="BA108" s="472">
        <f t="shared" si="47"/>
        <v>0.88412272862675012</v>
      </c>
      <c r="BB108" s="472">
        <f t="shared" si="48"/>
        <v>0.1823899371069182</v>
      </c>
      <c r="BC108" s="472">
        <f t="shared" si="49"/>
        <v>0.63667920161990166</v>
      </c>
      <c r="BD108" s="472" t="e">
        <f t="shared" si="52"/>
        <v>#DIV/0!</v>
      </c>
      <c r="BE108" s="472" t="e">
        <f t="shared" si="53"/>
        <v>#DIV/0!</v>
      </c>
    </row>
    <row r="109" spans="1:57" hidden="1" x14ac:dyDescent="0.35">
      <c r="A109" s="16">
        <v>45765</v>
      </c>
      <c r="B109" s="17">
        <v>15540152</v>
      </c>
      <c r="C109" s="17">
        <v>36809100</v>
      </c>
      <c r="D109" s="17">
        <v>1515798.5172413792</v>
      </c>
      <c r="E109" s="17">
        <v>3399433</v>
      </c>
      <c r="F109" s="484">
        <f t="shared" si="27"/>
        <v>1157153.5172413792</v>
      </c>
      <c r="G109" s="484">
        <f t="shared" si="28"/>
        <v>3028709</v>
      </c>
      <c r="H109" s="484">
        <f t="shared" si="29"/>
        <v>358645</v>
      </c>
      <c r="I109" s="484">
        <f t="shared" si="30"/>
        <v>370724</v>
      </c>
      <c r="J109" s="19">
        <v>46129</v>
      </c>
      <c r="K109" s="17">
        <v>3229637.3642553282</v>
      </c>
      <c r="L109" s="17">
        <v>2423378.2517975001</v>
      </c>
      <c r="M109" s="17">
        <v>806259.11245782801</v>
      </c>
      <c r="N109" s="17">
        <v>1047803</v>
      </c>
      <c r="O109" s="17">
        <v>2853424</v>
      </c>
      <c r="P109" s="17">
        <v>13265.517241379301</v>
      </c>
      <c r="Q109" s="17">
        <v>23469</v>
      </c>
      <c r="R109" s="17">
        <v>10416</v>
      </c>
      <c r="S109" s="17">
        <v>52403</v>
      </c>
      <c r="T109" s="17">
        <v>1772</v>
      </c>
      <c r="U109" s="17">
        <v>274</v>
      </c>
      <c r="V109" s="17">
        <v>83897</v>
      </c>
      <c r="W109" s="17">
        <v>99139</v>
      </c>
      <c r="X109" s="17">
        <v>262910</v>
      </c>
      <c r="Y109" s="17">
        <v>306316</v>
      </c>
      <c r="Z109" s="17">
        <v>73506</v>
      </c>
      <c r="AA109" s="17">
        <v>34098</v>
      </c>
      <c r="AB109" s="17">
        <v>15139</v>
      </c>
      <c r="AC109" s="17">
        <v>17055</v>
      </c>
      <c r="AD109" s="17">
        <v>7090</v>
      </c>
      <c r="AE109" s="17">
        <v>11232</v>
      </c>
      <c r="AF109" s="17">
        <v>0</v>
      </c>
      <c r="AG109" s="17">
        <v>2023</v>
      </c>
      <c r="AH109" s="17">
        <v>0</v>
      </c>
      <c r="AI109" s="17">
        <v>0</v>
      </c>
      <c r="AJ109" s="54">
        <f t="shared" si="31"/>
        <v>336416</v>
      </c>
      <c r="AK109" s="54">
        <f t="shared" si="32"/>
        <v>340414</v>
      </c>
      <c r="AL109" s="54">
        <f t="shared" si="33"/>
        <v>22229</v>
      </c>
      <c r="AM109" s="54">
        <f t="shared" si="34"/>
        <v>28287</v>
      </c>
      <c r="AN109" s="19">
        <v>46129</v>
      </c>
      <c r="AO109" s="487">
        <f t="shared" si="35"/>
        <v>1.3686447854564099</v>
      </c>
      <c r="AP109" s="487">
        <f t="shared" si="36"/>
        <v>1.2426681127691501</v>
      </c>
      <c r="AQ109" s="486">
        <f t="shared" si="37"/>
        <v>1.6173787270857156</v>
      </c>
      <c r="AR109" s="486">
        <f t="shared" si="38"/>
        <v>3.3679543838614823E-2</v>
      </c>
      <c r="AS109" s="472">
        <f t="shared" si="39"/>
        <v>1.7232447320727275</v>
      </c>
      <c r="AT109" s="472">
        <f t="shared" si="40"/>
        <v>0.76917338185599293</v>
      </c>
      <c r="AU109" s="472">
        <f t="shared" si="41"/>
        <v>4.0310099846390166</v>
      </c>
      <c r="AV109" s="472">
        <f t="shared" si="42"/>
        <v>-0.84537246049661396</v>
      </c>
      <c r="AW109" s="472">
        <f t="shared" si="43"/>
        <v>0.18167514929020112</v>
      </c>
      <c r="AX109" s="472">
        <f t="shared" si="44"/>
        <v>0.16509832261990787</v>
      </c>
      <c r="AY109" s="472">
        <f t="shared" si="45"/>
        <v>-0.53611950044894296</v>
      </c>
      <c r="AZ109" s="472">
        <f t="shared" si="46"/>
        <v>1.1884095881289802E-2</v>
      </c>
      <c r="BA109" s="472">
        <f t="shared" si="47"/>
        <v>0.12656053900521824</v>
      </c>
      <c r="BB109" s="472">
        <f t="shared" si="48"/>
        <v>0.58420310296191813</v>
      </c>
      <c r="BC109" s="472">
        <f t="shared" si="49"/>
        <v>0.27252687930181296</v>
      </c>
      <c r="BD109" s="472" t="e">
        <f t="shared" si="52"/>
        <v>#DIV/0!</v>
      </c>
      <c r="BE109" s="472" t="e">
        <f t="shared" si="53"/>
        <v>#DIV/0!</v>
      </c>
    </row>
    <row r="110" spans="1:57" hidden="1" x14ac:dyDescent="0.35">
      <c r="A110" s="19">
        <v>45766</v>
      </c>
      <c r="B110" s="17">
        <v>27478165</v>
      </c>
      <c r="C110" s="17">
        <v>47810548</v>
      </c>
      <c r="D110" s="17">
        <v>1361861.4482758623</v>
      </c>
      <c r="E110" s="17">
        <v>2445536</v>
      </c>
      <c r="F110" s="484">
        <f t="shared" si="27"/>
        <v>1103441.4482758623</v>
      </c>
      <c r="G110" s="484">
        <f t="shared" si="28"/>
        <v>2102244</v>
      </c>
      <c r="H110" s="484">
        <f t="shared" si="29"/>
        <v>258420</v>
      </c>
      <c r="I110" s="484">
        <f t="shared" si="30"/>
        <v>343292</v>
      </c>
      <c r="J110" s="19">
        <v>46130</v>
      </c>
      <c r="K110" s="17">
        <v>3047041.5702864998</v>
      </c>
      <c r="L110" s="17">
        <v>2295427.3833223199</v>
      </c>
      <c r="M110" s="17">
        <v>751614.18696417997</v>
      </c>
      <c r="N110" s="17">
        <v>1029021</v>
      </c>
      <c r="O110" s="17">
        <v>1975856</v>
      </c>
      <c r="P110" s="17">
        <v>15128.4482758621</v>
      </c>
      <c r="Q110" s="17">
        <v>34542</v>
      </c>
      <c r="R110" s="17">
        <v>1459</v>
      </c>
      <c r="S110" s="17">
        <v>12478</v>
      </c>
      <c r="T110" s="17">
        <v>1022</v>
      </c>
      <c r="U110" s="17">
        <v>5202</v>
      </c>
      <c r="V110" s="17">
        <v>56811</v>
      </c>
      <c r="W110" s="17">
        <v>74166</v>
      </c>
      <c r="X110" s="17">
        <v>164386</v>
      </c>
      <c r="Y110" s="17">
        <v>278466</v>
      </c>
      <c r="Z110" s="17">
        <v>71020</v>
      </c>
      <c r="AA110" s="17">
        <v>33090</v>
      </c>
      <c r="AB110" s="17">
        <v>15099</v>
      </c>
      <c r="AC110" s="17">
        <v>20145</v>
      </c>
      <c r="AD110" s="17">
        <v>7915</v>
      </c>
      <c r="AE110" s="17">
        <v>8615</v>
      </c>
      <c r="AF110" s="17">
        <v>0</v>
      </c>
      <c r="AG110" s="17">
        <v>2201</v>
      </c>
      <c r="AH110" s="17">
        <v>0</v>
      </c>
      <c r="AI110" s="17">
        <v>775</v>
      </c>
      <c r="AJ110" s="54">
        <f t="shared" si="31"/>
        <v>235406</v>
      </c>
      <c r="AK110" s="54">
        <f t="shared" si="32"/>
        <v>311556</v>
      </c>
      <c r="AL110" s="54">
        <f t="shared" si="33"/>
        <v>23014</v>
      </c>
      <c r="AM110" s="54">
        <f t="shared" si="34"/>
        <v>28760</v>
      </c>
      <c r="AN110" s="19">
        <v>46130</v>
      </c>
      <c r="AO110" s="487">
        <f t="shared" si="35"/>
        <v>0.73994689965650906</v>
      </c>
      <c r="AP110" s="487">
        <f t="shared" si="36"/>
        <v>0.79573039760842534</v>
      </c>
      <c r="AQ110" s="486">
        <f t="shared" si="37"/>
        <v>0.90517041324193159</v>
      </c>
      <c r="AR110" s="486">
        <f t="shared" si="38"/>
        <v>0.32842659236901173</v>
      </c>
      <c r="AS110" s="472">
        <f t="shared" si="39"/>
        <v>0.92013185348015258</v>
      </c>
      <c r="AT110" s="472">
        <f t="shared" si="40"/>
        <v>1.2832480483218371</v>
      </c>
      <c r="AU110" s="472">
        <f t="shared" si="41"/>
        <v>7.5524331734064436</v>
      </c>
      <c r="AV110" s="472">
        <f t="shared" si="42"/>
        <v>4.0900195694716244</v>
      </c>
      <c r="AW110" s="472">
        <f t="shared" si="43"/>
        <v>0.30548661350794748</v>
      </c>
      <c r="AX110" s="472">
        <f t="shared" si="44"/>
        <v>0.6939763726838053</v>
      </c>
      <c r="AY110" s="472">
        <f t="shared" si="45"/>
        <v>-0.53407490847648553</v>
      </c>
      <c r="AZ110" s="472">
        <f t="shared" si="46"/>
        <v>0.32348368350849177</v>
      </c>
      <c r="BA110" s="472">
        <f t="shared" si="47"/>
        <v>0.33419431750447059</v>
      </c>
      <c r="BB110" s="472">
        <f t="shared" si="48"/>
        <v>8.8439671509791484E-2</v>
      </c>
      <c r="BC110" s="472">
        <f t="shared" si="49"/>
        <v>0.24967411141044571</v>
      </c>
      <c r="BD110" s="472" t="e">
        <f t="shared" si="52"/>
        <v>#DIV/0!</v>
      </c>
      <c r="BE110" s="472" t="e">
        <f t="shared" si="53"/>
        <v>#DIV/0!</v>
      </c>
    </row>
    <row r="111" spans="1:57" hidden="1" x14ac:dyDescent="0.35">
      <c r="A111" s="16">
        <v>45767</v>
      </c>
      <c r="B111" s="17">
        <v>28728736</v>
      </c>
      <c r="C111" s="17">
        <v>47890384</v>
      </c>
      <c r="D111" s="17">
        <v>1822418.0344827585</v>
      </c>
      <c r="E111" s="17">
        <v>3054986</v>
      </c>
      <c r="F111" s="484">
        <f t="shared" si="27"/>
        <v>1475017.0344827585</v>
      </c>
      <c r="G111" s="484">
        <f t="shared" si="28"/>
        <v>2642483</v>
      </c>
      <c r="H111" s="484">
        <f t="shared" si="29"/>
        <v>347401</v>
      </c>
      <c r="I111" s="484">
        <f t="shared" si="30"/>
        <v>412503</v>
      </c>
      <c r="J111" s="19">
        <v>46131</v>
      </c>
      <c r="K111" s="17">
        <v>3292789.7531871479</v>
      </c>
      <c r="L111" s="17">
        <v>2583740.9904822102</v>
      </c>
      <c r="M111" s="17">
        <v>709048.76270493795</v>
      </c>
      <c r="N111" s="17">
        <v>1427487</v>
      </c>
      <c r="O111" s="17">
        <v>2555315</v>
      </c>
      <c r="P111" s="17">
        <v>14906.0344827586</v>
      </c>
      <c r="Q111" s="17">
        <v>26884</v>
      </c>
      <c r="R111" s="17">
        <v>6558</v>
      </c>
      <c r="S111" s="17">
        <v>-3026</v>
      </c>
      <c r="T111" s="17">
        <v>2552</v>
      </c>
      <c r="U111" s="17">
        <v>5082</v>
      </c>
      <c r="V111" s="17">
        <v>23514</v>
      </c>
      <c r="W111" s="17">
        <v>58228</v>
      </c>
      <c r="X111" s="17">
        <v>241574</v>
      </c>
      <c r="Y111" s="17">
        <v>337847</v>
      </c>
      <c r="Z111" s="17">
        <v>85791</v>
      </c>
      <c r="AA111" s="17">
        <v>30590</v>
      </c>
      <c r="AB111" s="17">
        <v>14358</v>
      </c>
      <c r="AC111" s="17">
        <v>30639</v>
      </c>
      <c r="AD111" s="17">
        <v>5678</v>
      </c>
      <c r="AE111" s="17">
        <v>7830</v>
      </c>
      <c r="AF111" s="17">
        <v>0</v>
      </c>
      <c r="AG111" s="17">
        <v>2928</v>
      </c>
      <c r="AH111" s="17">
        <v>0</v>
      </c>
      <c r="AI111" s="17">
        <v>2669</v>
      </c>
      <c r="AJ111" s="54">
        <f t="shared" si="31"/>
        <v>327365</v>
      </c>
      <c r="AK111" s="54">
        <f t="shared" si="32"/>
        <v>368437</v>
      </c>
      <c r="AL111" s="54">
        <f t="shared" si="33"/>
        <v>20036</v>
      </c>
      <c r="AM111" s="54">
        <f t="shared" si="34"/>
        <v>38469</v>
      </c>
      <c r="AN111" s="19">
        <v>46131</v>
      </c>
      <c r="AO111" s="487">
        <f t="shared" si="35"/>
        <v>0.66698541836299374</v>
      </c>
      <c r="AP111" s="487">
        <f t="shared" si="36"/>
        <v>0.67633657162917116</v>
      </c>
      <c r="AQ111" s="486">
        <f t="shared" si="37"/>
        <v>0.79149320870496576</v>
      </c>
      <c r="AR111" s="486">
        <f t="shared" si="38"/>
        <v>0.18739727289213337</v>
      </c>
      <c r="AS111" s="472">
        <f t="shared" si="39"/>
        <v>0.79007934923400347</v>
      </c>
      <c r="AT111" s="472">
        <f t="shared" si="40"/>
        <v>0.80356486033196717</v>
      </c>
      <c r="AU111" s="472">
        <f t="shared" si="41"/>
        <v>-1.4614211649893261</v>
      </c>
      <c r="AV111" s="472">
        <f t="shared" si="42"/>
        <v>0.99137931034482762</v>
      </c>
      <c r="AW111" s="472">
        <f t="shared" si="43"/>
        <v>1.4763119843497492</v>
      </c>
      <c r="AX111" s="472">
        <f t="shared" si="44"/>
        <v>0.3985238477650741</v>
      </c>
      <c r="AY111" s="472">
        <f t="shared" si="45"/>
        <v>-0.64343579163315501</v>
      </c>
      <c r="AZ111" s="472">
        <f t="shared" si="46"/>
        <v>0.12546240434988465</v>
      </c>
      <c r="BA111" s="472">
        <f t="shared" si="47"/>
        <v>1.1339323025491015</v>
      </c>
      <c r="BB111" s="472">
        <f t="shared" si="48"/>
        <v>0.3790066924973583</v>
      </c>
      <c r="BC111" s="472">
        <f t="shared" si="49"/>
        <v>0.91999401078059484</v>
      </c>
      <c r="BD111" s="472" t="e">
        <f t="shared" si="52"/>
        <v>#DIV/0!</v>
      </c>
      <c r="BE111" s="472" t="e">
        <f t="shared" si="53"/>
        <v>#DIV/0!</v>
      </c>
    </row>
    <row r="112" spans="1:57" hidden="1" x14ac:dyDescent="0.35">
      <c r="A112" s="19">
        <v>45768</v>
      </c>
      <c r="B112" s="17">
        <v>24209385</v>
      </c>
      <c r="C112" s="17">
        <v>25946603</v>
      </c>
      <c r="D112" s="17">
        <v>2934304</v>
      </c>
      <c r="E112" s="17">
        <v>4185750</v>
      </c>
      <c r="F112" s="484">
        <f t="shared" si="27"/>
        <v>2483649</v>
      </c>
      <c r="G112" s="484">
        <f t="shared" si="28"/>
        <v>3729188</v>
      </c>
      <c r="H112" s="484">
        <f t="shared" si="29"/>
        <v>450655</v>
      </c>
      <c r="I112" s="484">
        <f t="shared" si="30"/>
        <v>456562</v>
      </c>
      <c r="J112" s="19">
        <v>46132</v>
      </c>
      <c r="K112" s="17">
        <v>4640854.5148641914</v>
      </c>
      <c r="L112" s="17">
        <v>3921418.0021528802</v>
      </c>
      <c r="M112" s="17">
        <v>719436.51271131099</v>
      </c>
      <c r="N112" s="17">
        <v>2363849</v>
      </c>
      <c r="O112" s="17">
        <v>3569997</v>
      </c>
      <c r="P112" s="17">
        <v>17125</v>
      </c>
      <c r="Q112" s="17">
        <v>23882</v>
      </c>
      <c r="R112" s="17">
        <v>35717</v>
      </c>
      <c r="S112" s="17">
        <v>57151</v>
      </c>
      <c r="T112" s="17">
        <v>5563</v>
      </c>
      <c r="U112" s="17">
        <v>2735</v>
      </c>
      <c r="V112" s="17">
        <v>61395</v>
      </c>
      <c r="W112" s="17">
        <v>75423</v>
      </c>
      <c r="X112" s="17">
        <v>313296</v>
      </c>
      <c r="Y112" s="17">
        <v>380425</v>
      </c>
      <c r="Z112" s="17">
        <v>96557</v>
      </c>
      <c r="AA112" s="17">
        <v>38997</v>
      </c>
      <c r="AB112" s="17">
        <v>30744</v>
      </c>
      <c r="AC112" s="17">
        <v>24724</v>
      </c>
      <c r="AD112" s="17">
        <v>10058</v>
      </c>
      <c r="AE112" s="17">
        <v>7395</v>
      </c>
      <c r="AF112" s="17">
        <v>0</v>
      </c>
      <c r="AG112" s="17">
        <v>672</v>
      </c>
      <c r="AH112" s="17">
        <v>0</v>
      </c>
      <c r="AI112" s="17">
        <v>4349</v>
      </c>
      <c r="AJ112" s="54">
        <f t="shared" si="31"/>
        <v>409853</v>
      </c>
      <c r="AK112" s="54">
        <f t="shared" si="32"/>
        <v>419422</v>
      </c>
      <c r="AL112" s="54">
        <f t="shared" si="33"/>
        <v>40802</v>
      </c>
      <c r="AM112" s="54">
        <f t="shared" si="34"/>
        <v>32119</v>
      </c>
      <c r="AN112" s="19">
        <v>46132</v>
      </c>
      <c r="AO112" s="487">
        <f t="shared" si="35"/>
        <v>7.1758039289308684E-2</v>
      </c>
      <c r="AP112" s="487">
        <f t="shared" si="36"/>
        <v>0.42648818936279276</v>
      </c>
      <c r="AQ112" s="486">
        <f t="shared" si="37"/>
        <v>0.50149558170256747</v>
      </c>
      <c r="AR112" s="486">
        <f t="shared" si="38"/>
        <v>1.3107587844359836E-2</v>
      </c>
      <c r="AS112" s="472">
        <f t="shared" si="39"/>
        <v>0.51024748196691072</v>
      </c>
      <c r="AT112" s="472">
        <f t="shared" si="40"/>
        <v>0.39456934306569336</v>
      </c>
      <c r="AU112" s="472">
        <f t="shared" si="41"/>
        <v>0.60010639191421444</v>
      </c>
      <c r="AV112" s="472">
        <f t="shared" si="42"/>
        <v>-0.50835879920905991</v>
      </c>
      <c r="AW112" s="472">
        <f t="shared" si="43"/>
        <v>0.2284876618617151</v>
      </c>
      <c r="AX112" s="472">
        <f t="shared" si="44"/>
        <v>0.21426701904907808</v>
      </c>
      <c r="AY112" s="472">
        <f t="shared" si="45"/>
        <v>-0.59612456890748478</v>
      </c>
      <c r="AZ112" s="472">
        <f t="shared" si="46"/>
        <v>2.3347395285626904E-2</v>
      </c>
      <c r="BA112" s="472">
        <f t="shared" si="47"/>
        <v>-0.19581056466302371</v>
      </c>
      <c r="BB112" s="472">
        <f t="shared" si="48"/>
        <v>-0.26476436667329484</v>
      </c>
      <c r="BC112" s="472">
        <f t="shared" si="49"/>
        <v>-0.21280819567668252</v>
      </c>
      <c r="BD112" s="472" t="e">
        <f t="shared" si="52"/>
        <v>#DIV/0!</v>
      </c>
      <c r="BE112" s="472" t="e">
        <f t="shared" si="53"/>
        <v>#DIV/0!</v>
      </c>
    </row>
    <row r="113" spans="1:57" hidden="1" x14ac:dyDescent="0.35">
      <c r="A113" s="16">
        <v>45769</v>
      </c>
      <c r="B113" s="17">
        <v>28493678</v>
      </c>
      <c r="C113" s="17">
        <v>29155457</v>
      </c>
      <c r="D113" s="17">
        <v>3130136.3103448278</v>
      </c>
      <c r="E113" s="17">
        <v>4771228</v>
      </c>
      <c r="F113" s="484">
        <f t="shared" si="27"/>
        <v>2690215.3103448278</v>
      </c>
      <c r="G113" s="484">
        <f t="shared" si="28"/>
        <v>4306825</v>
      </c>
      <c r="H113" s="484">
        <f t="shared" si="29"/>
        <v>439921</v>
      </c>
      <c r="I113" s="484">
        <f t="shared" si="30"/>
        <v>464403</v>
      </c>
      <c r="J113" s="19">
        <v>46133</v>
      </c>
      <c r="K113" s="17">
        <v>4656374.6585687567</v>
      </c>
      <c r="L113" s="17">
        <v>4035988.4624826298</v>
      </c>
      <c r="M113" s="17">
        <v>620386.19608612696</v>
      </c>
      <c r="N113" s="17">
        <v>2523969</v>
      </c>
      <c r="O113" s="17">
        <v>4139341</v>
      </c>
      <c r="P113" s="17">
        <v>18554.310344827602</v>
      </c>
      <c r="Q113" s="17">
        <v>24511</v>
      </c>
      <c r="R113" s="17">
        <v>108487</v>
      </c>
      <c r="S113" s="17">
        <v>54526</v>
      </c>
      <c r="T113" s="17">
        <v>10773</v>
      </c>
      <c r="U113" s="17">
        <v>3314</v>
      </c>
      <c r="V113" s="17">
        <v>28432</v>
      </c>
      <c r="W113" s="17">
        <v>85133</v>
      </c>
      <c r="X113" s="17">
        <v>315822</v>
      </c>
      <c r="Y113" s="17">
        <v>395267</v>
      </c>
      <c r="Z113" s="17">
        <v>99999</v>
      </c>
      <c r="AA113" s="17">
        <v>32186</v>
      </c>
      <c r="AB113" s="17">
        <v>19059</v>
      </c>
      <c r="AC113" s="17">
        <v>19904</v>
      </c>
      <c r="AD113" s="17">
        <v>5041</v>
      </c>
      <c r="AE113" s="17">
        <v>12866</v>
      </c>
      <c r="AF113" s="17">
        <v>0</v>
      </c>
      <c r="AG113" s="17">
        <v>1339</v>
      </c>
      <c r="AH113" s="17">
        <v>0</v>
      </c>
      <c r="AI113" s="17">
        <v>2841</v>
      </c>
      <c r="AJ113" s="54">
        <f t="shared" si="31"/>
        <v>415821</v>
      </c>
      <c r="AK113" s="54">
        <f t="shared" si="32"/>
        <v>427453</v>
      </c>
      <c r="AL113" s="54">
        <f t="shared" si="33"/>
        <v>24100</v>
      </c>
      <c r="AM113" s="54">
        <f t="shared" si="34"/>
        <v>32770</v>
      </c>
      <c r="AN113" s="19">
        <v>46133</v>
      </c>
      <c r="AO113" s="487">
        <f t="shared" si="35"/>
        <v>2.3225467768674957E-2</v>
      </c>
      <c r="AP113" s="487">
        <f t="shared" si="36"/>
        <v>0.52428761144730562</v>
      </c>
      <c r="AQ113" s="486">
        <f t="shared" si="37"/>
        <v>0.60092204643945668</v>
      </c>
      <c r="AR113" s="486">
        <f t="shared" si="38"/>
        <v>5.5650900957217253E-2</v>
      </c>
      <c r="AS113" s="472">
        <f t="shared" si="39"/>
        <v>0.64001261505192808</v>
      </c>
      <c r="AT113" s="472">
        <f t="shared" si="40"/>
        <v>0.32104074710774411</v>
      </c>
      <c r="AU113" s="472">
        <f t="shared" si="41"/>
        <v>-0.4973960013642188</v>
      </c>
      <c r="AV113" s="472">
        <f t="shared" si="42"/>
        <v>-0.69237909588786783</v>
      </c>
      <c r="AW113" s="472">
        <f t="shared" si="43"/>
        <v>1.9942670230725943</v>
      </c>
      <c r="AX113" s="472">
        <f t="shared" si="44"/>
        <v>0.25154992369119311</v>
      </c>
      <c r="AY113" s="472">
        <f t="shared" si="45"/>
        <v>-0.67813678136781363</v>
      </c>
      <c r="AZ113" s="472">
        <f t="shared" si="46"/>
        <v>2.7973575168161346E-2</v>
      </c>
      <c r="BA113" s="472">
        <f t="shared" si="47"/>
        <v>4.4336009234482443E-2</v>
      </c>
      <c r="BB113" s="472">
        <f t="shared" si="48"/>
        <v>1.5522713747272365</v>
      </c>
      <c r="BC113" s="472">
        <f t="shared" si="49"/>
        <v>0.35975103734439839</v>
      </c>
      <c r="BD113" s="472" t="e">
        <f t="shared" si="52"/>
        <v>#DIV/0!</v>
      </c>
      <c r="BE113" s="472" t="e">
        <f t="shared" si="53"/>
        <v>#DIV/0!</v>
      </c>
    </row>
    <row r="114" spans="1:57" hidden="1" x14ac:dyDescent="0.35">
      <c r="A114" s="19">
        <v>45770</v>
      </c>
      <c r="B114" s="17">
        <v>31799582</v>
      </c>
      <c r="C114" s="17">
        <v>30577431</v>
      </c>
      <c r="D114" s="17">
        <v>3381983.7586206896</v>
      </c>
      <c r="E114" s="17">
        <v>4344071</v>
      </c>
      <c r="F114" s="484">
        <f t="shared" si="27"/>
        <v>2932533.7586206896</v>
      </c>
      <c r="G114" s="484">
        <f t="shared" si="28"/>
        <v>3892192</v>
      </c>
      <c r="H114" s="484">
        <f t="shared" si="29"/>
        <v>449450</v>
      </c>
      <c r="I114" s="484">
        <f t="shared" si="30"/>
        <v>451879</v>
      </c>
      <c r="J114" s="19">
        <v>46134</v>
      </c>
      <c r="K114" s="17">
        <v>4508167.3730940577</v>
      </c>
      <c r="L114" s="17">
        <v>3939193.9936038898</v>
      </c>
      <c r="M114" s="17">
        <v>568973.37949016795</v>
      </c>
      <c r="N114" s="17">
        <v>2790322</v>
      </c>
      <c r="O114" s="17">
        <v>3741744</v>
      </c>
      <c r="P114" s="17">
        <v>14407.758620689699</v>
      </c>
      <c r="Q114" s="17">
        <v>21002</v>
      </c>
      <c r="R114" s="17">
        <v>48820</v>
      </c>
      <c r="S114" s="17">
        <v>36270</v>
      </c>
      <c r="T114" s="17">
        <v>26723</v>
      </c>
      <c r="U114" s="17">
        <v>0</v>
      </c>
      <c r="V114" s="17">
        <v>52261</v>
      </c>
      <c r="W114" s="17">
        <v>93176</v>
      </c>
      <c r="X114" s="17">
        <v>314535</v>
      </c>
      <c r="Y114" s="17">
        <v>357567</v>
      </c>
      <c r="Z114" s="17">
        <v>102425</v>
      </c>
      <c r="AA114" s="17">
        <v>53926</v>
      </c>
      <c r="AB114" s="17">
        <v>23735</v>
      </c>
      <c r="AC114" s="17">
        <v>25691</v>
      </c>
      <c r="AD114" s="17">
        <v>8755</v>
      </c>
      <c r="AE114" s="17">
        <v>4757</v>
      </c>
      <c r="AF114" s="17">
        <v>0</v>
      </c>
      <c r="AG114" s="17">
        <v>5288</v>
      </c>
      <c r="AH114" s="17">
        <v>0</v>
      </c>
      <c r="AI114" s="17">
        <v>4650</v>
      </c>
      <c r="AJ114" s="54">
        <f t="shared" si="31"/>
        <v>416960</v>
      </c>
      <c r="AK114" s="54">
        <f t="shared" si="32"/>
        <v>411493</v>
      </c>
      <c r="AL114" s="54">
        <f t="shared" si="33"/>
        <v>32490</v>
      </c>
      <c r="AM114" s="54">
        <f t="shared" si="34"/>
        <v>30448</v>
      </c>
      <c r="AN114" s="19">
        <v>46134</v>
      </c>
      <c r="AO114" s="487">
        <f t="shared" si="35"/>
        <v>-3.8432926571173143E-2</v>
      </c>
      <c r="AP114" s="487">
        <f t="shared" si="36"/>
        <v>0.28447423466388511</v>
      </c>
      <c r="AQ114" s="486">
        <f t="shared" si="37"/>
        <v>0.32724541995747858</v>
      </c>
      <c r="AR114" s="486">
        <f t="shared" si="38"/>
        <v>5.4043831349426252E-3</v>
      </c>
      <c r="AS114" s="472">
        <f t="shared" si="39"/>
        <v>0.34097211719650988</v>
      </c>
      <c r="AT114" s="472">
        <f t="shared" si="40"/>
        <v>0.45768683061089721</v>
      </c>
      <c r="AU114" s="472">
        <f t="shared" si="41"/>
        <v>-0.25706677591151172</v>
      </c>
      <c r="AV114" s="472">
        <f t="shared" si="42"/>
        <v>-1</v>
      </c>
      <c r="AW114" s="472">
        <f t="shared" si="43"/>
        <v>0.78289738045578927</v>
      </c>
      <c r="AX114" s="472">
        <f t="shared" si="44"/>
        <v>0.13681148361867512</v>
      </c>
      <c r="AY114" s="472">
        <f t="shared" si="45"/>
        <v>-0.47350744447156456</v>
      </c>
      <c r="AZ114" s="472">
        <f t="shared" si="46"/>
        <v>-1.3111569455103611E-2</v>
      </c>
      <c r="BA114" s="472">
        <f t="shared" si="47"/>
        <v>8.2409943121971807E-2</v>
      </c>
      <c r="BB114" s="472">
        <f t="shared" si="48"/>
        <v>-0.45665334094802967</v>
      </c>
      <c r="BC114" s="472">
        <f t="shared" si="49"/>
        <v>-6.2850107725453963E-2</v>
      </c>
      <c r="BD114" s="472" t="e">
        <f t="shared" si="52"/>
        <v>#DIV/0!</v>
      </c>
      <c r="BE114" s="472" t="e">
        <f t="shared" si="53"/>
        <v>#DIV/0!</v>
      </c>
    </row>
    <row r="115" spans="1:57" hidden="1" x14ac:dyDescent="0.35">
      <c r="A115" s="16">
        <v>45771</v>
      </c>
      <c r="B115" s="17">
        <v>35799559</v>
      </c>
      <c r="C115" s="17">
        <v>35456383</v>
      </c>
      <c r="D115" s="17">
        <v>2583844.7931034481</v>
      </c>
      <c r="E115" s="17">
        <v>3684393</v>
      </c>
      <c r="F115" s="484">
        <f t="shared" si="27"/>
        <v>2176865.7931034481</v>
      </c>
      <c r="G115" s="484">
        <f t="shared" si="28"/>
        <v>3247836</v>
      </c>
      <c r="H115" s="484">
        <f t="shared" si="29"/>
        <v>406979</v>
      </c>
      <c r="I115" s="484">
        <f t="shared" si="30"/>
        <v>436557</v>
      </c>
      <c r="J115" s="19">
        <v>46135</v>
      </c>
      <c r="K115" s="17">
        <v>3746831.352177362</v>
      </c>
      <c r="L115" s="17">
        <v>3186575.4791342602</v>
      </c>
      <c r="M115" s="17">
        <v>560255.87304310198</v>
      </c>
      <c r="N115" s="17">
        <v>2029339</v>
      </c>
      <c r="O115" s="17">
        <v>3133148</v>
      </c>
      <c r="P115" s="17">
        <v>15613.793103448301</v>
      </c>
      <c r="Q115" s="17">
        <v>22359</v>
      </c>
      <c r="R115" s="17">
        <v>42994</v>
      </c>
      <c r="S115" s="17">
        <v>23409</v>
      </c>
      <c r="T115" s="17">
        <v>15816</v>
      </c>
      <c r="U115" s="17">
        <v>0</v>
      </c>
      <c r="V115" s="17">
        <v>73103</v>
      </c>
      <c r="W115" s="17">
        <v>68920</v>
      </c>
      <c r="X115" s="17">
        <v>277457</v>
      </c>
      <c r="Y115" s="17">
        <v>357674</v>
      </c>
      <c r="Z115" s="17">
        <v>104526</v>
      </c>
      <c r="AA115" s="17">
        <v>42322</v>
      </c>
      <c r="AB115" s="17">
        <v>16782</v>
      </c>
      <c r="AC115" s="17">
        <v>18255</v>
      </c>
      <c r="AD115" s="17">
        <v>8214</v>
      </c>
      <c r="AE115" s="17">
        <v>8264</v>
      </c>
      <c r="AF115" s="17">
        <v>0</v>
      </c>
      <c r="AG115" s="17">
        <v>5048</v>
      </c>
      <c r="AH115" s="17">
        <v>0</v>
      </c>
      <c r="AI115" s="17">
        <v>4994</v>
      </c>
      <c r="AJ115" s="54">
        <f t="shared" si="31"/>
        <v>381983</v>
      </c>
      <c r="AK115" s="54">
        <f t="shared" si="32"/>
        <v>399996</v>
      </c>
      <c r="AL115" s="54">
        <f t="shared" si="33"/>
        <v>24996</v>
      </c>
      <c r="AM115" s="54">
        <f t="shared" si="34"/>
        <v>26519</v>
      </c>
      <c r="AN115" s="19">
        <v>46135</v>
      </c>
      <c r="AO115" s="487">
        <f t="shared" si="35"/>
        <v>-9.5860398727257712E-3</v>
      </c>
      <c r="AP115" s="487">
        <f t="shared" si="36"/>
        <v>0.42593433236935518</v>
      </c>
      <c r="AQ115" s="486">
        <f t="shared" si="37"/>
        <v>0.49197805867936562</v>
      </c>
      <c r="AR115" s="486">
        <f t="shared" si="38"/>
        <v>7.2676968590516866E-2</v>
      </c>
      <c r="AS115" s="472">
        <f t="shared" si="39"/>
        <v>0.5439253865421203</v>
      </c>
      <c r="AT115" s="472">
        <f t="shared" si="40"/>
        <v>0.43200309187278929</v>
      </c>
      <c r="AU115" s="472">
        <f t="shared" si="41"/>
        <v>-0.45552867842024469</v>
      </c>
      <c r="AV115" s="472">
        <f t="shared" si="42"/>
        <v>-1</v>
      </c>
      <c r="AW115" s="472">
        <f t="shared" si="43"/>
        <v>-5.722063390011356E-2</v>
      </c>
      <c r="AX115" s="472">
        <f t="shared" si="44"/>
        <v>0.28911507008293169</v>
      </c>
      <c r="AY115" s="472">
        <f t="shared" si="45"/>
        <v>-0.59510552398446315</v>
      </c>
      <c r="AZ115" s="472">
        <f t="shared" si="46"/>
        <v>4.7156548851650548E-2</v>
      </c>
      <c r="BA115" s="472">
        <f t="shared" si="47"/>
        <v>8.7772613514479847E-2</v>
      </c>
      <c r="BB115" s="472">
        <f t="shared" si="48"/>
        <v>6.0871682493304213E-3</v>
      </c>
      <c r="BC115" s="472">
        <f t="shared" si="49"/>
        <v>6.0929748759801505E-2</v>
      </c>
      <c r="BD115" s="472" t="e">
        <f t="shared" si="52"/>
        <v>#DIV/0!</v>
      </c>
      <c r="BE115" s="472" t="e">
        <f t="shared" si="53"/>
        <v>#DIV/0!</v>
      </c>
    </row>
    <row r="116" spans="1:57" hidden="1" x14ac:dyDescent="0.35">
      <c r="A116" s="19">
        <v>45772</v>
      </c>
      <c r="B116" s="17">
        <v>38328512</v>
      </c>
      <c r="C116" s="17">
        <v>35631295</v>
      </c>
      <c r="D116" s="17">
        <v>2538592.9655172415</v>
      </c>
      <c r="E116" s="17">
        <v>2941412</v>
      </c>
      <c r="F116" s="484">
        <f t="shared" si="27"/>
        <v>2108619.9655172415</v>
      </c>
      <c r="G116" s="484">
        <f t="shared" si="28"/>
        <v>2585271</v>
      </c>
      <c r="H116" s="484">
        <f t="shared" si="29"/>
        <v>429973</v>
      </c>
      <c r="I116" s="484">
        <f t="shared" si="30"/>
        <v>356141</v>
      </c>
      <c r="J116" s="19">
        <v>46136</v>
      </c>
      <c r="K116" s="17">
        <v>2943088.510209234</v>
      </c>
      <c r="L116" s="17">
        <v>2445372.7951799599</v>
      </c>
      <c r="M116" s="17">
        <v>497715.715029274</v>
      </c>
      <c r="N116" s="17">
        <v>1938792</v>
      </c>
      <c r="O116" s="17">
        <v>2485615</v>
      </c>
      <c r="P116" s="17">
        <v>18018.965517241399</v>
      </c>
      <c r="Q116" s="17">
        <v>21234</v>
      </c>
      <c r="R116" s="17">
        <v>42050</v>
      </c>
      <c r="S116" s="17">
        <v>22286</v>
      </c>
      <c r="T116" s="17">
        <v>8072</v>
      </c>
      <c r="U116" s="17">
        <v>0</v>
      </c>
      <c r="V116" s="17">
        <v>101687</v>
      </c>
      <c r="W116" s="17">
        <v>56136</v>
      </c>
      <c r="X116" s="17">
        <v>321502</v>
      </c>
      <c r="Y116" s="17">
        <v>280641</v>
      </c>
      <c r="Z116" s="17">
        <v>81927</v>
      </c>
      <c r="AA116" s="17">
        <v>37782</v>
      </c>
      <c r="AB116" s="17">
        <v>14919</v>
      </c>
      <c r="AC116" s="17">
        <v>17034</v>
      </c>
      <c r="AD116" s="17">
        <v>11625</v>
      </c>
      <c r="AE116" s="17">
        <v>10707</v>
      </c>
      <c r="AF116" s="17">
        <v>0</v>
      </c>
      <c r="AG116" s="17">
        <v>8599</v>
      </c>
      <c r="AH116" s="17">
        <v>0</v>
      </c>
      <c r="AI116" s="17">
        <v>1378</v>
      </c>
      <c r="AJ116" s="54">
        <f t="shared" si="31"/>
        <v>403429</v>
      </c>
      <c r="AK116" s="54">
        <f t="shared" si="32"/>
        <v>318423</v>
      </c>
      <c r="AL116" s="54">
        <f t="shared" si="33"/>
        <v>26544</v>
      </c>
      <c r="AM116" s="54">
        <f t="shared" si="34"/>
        <v>27741</v>
      </c>
      <c r="AN116" s="19">
        <v>46136</v>
      </c>
      <c r="AO116" s="487">
        <f t="shared" si="35"/>
        <v>-7.037103344893747E-2</v>
      </c>
      <c r="AP116" s="487">
        <f t="shared" si="36"/>
        <v>0.15867807086619079</v>
      </c>
      <c r="AQ116" s="486">
        <f t="shared" si="37"/>
        <v>0.22604881025388401</v>
      </c>
      <c r="AR116" s="486">
        <f t="shared" si="38"/>
        <v>-0.17171310756721936</v>
      </c>
      <c r="AS116" s="472">
        <f t="shared" si="39"/>
        <v>0.28204314851722101</v>
      </c>
      <c r="AT116" s="472">
        <f t="shared" si="40"/>
        <v>0.1784250310975013</v>
      </c>
      <c r="AU116" s="472">
        <f t="shared" si="41"/>
        <v>-0.4700118906064209</v>
      </c>
      <c r="AV116" s="472">
        <f t="shared" si="42"/>
        <v>-1</v>
      </c>
      <c r="AW116" s="472">
        <f t="shared" si="43"/>
        <v>-0.4479530323443508</v>
      </c>
      <c r="AX116" s="472">
        <f t="shared" si="44"/>
        <v>-0.12709407717525867</v>
      </c>
      <c r="AY116" s="472">
        <f t="shared" si="45"/>
        <v>-0.53883335164231572</v>
      </c>
      <c r="AZ116" s="472">
        <f t="shared" si="46"/>
        <v>-0.21070869967206129</v>
      </c>
      <c r="BA116" s="472">
        <f t="shared" si="47"/>
        <v>0.14176553388296798</v>
      </c>
      <c r="BB116" s="472">
        <f t="shared" si="48"/>
        <v>-7.8967741935483837E-2</v>
      </c>
      <c r="BC116" s="472">
        <f t="shared" si="49"/>
        <v>4.5094936708860667E-2</v>
      </c>
      <c r="BD116" s="472" t="e">
        <f t="shared" si="52"/>
        <v>#DIV/0!</v>
      </c>
      <c r="BE116" s="472" t="e">
        <f t="shared" si="53"/>
        <v>#DIV/0!</v>
      </c>
    </row>
    <row r="117" spans="1:57" hidden="1" x14ac:dyDescent="0.35">
      <c r="A117" s="16">
        <v>45773</v>
      </c>
      <c r="B117" s="17">
        <v>42678504</v>
      </c>
      <c r="C117" s="17">
        <v>44200408</v>
      </c>
      <c r="D117" s="17">
        <v>2232713.931034483</v>
      </c>
      <c r="E117" s="17">
        <v>2337908</v>
      </c>
      <c r="F117" s="484">
        <f t="shared" si="27"/>
        <v>1872562.9310344828</v>
      </c>
      <c r="G117" s="484">
        <f t="shared" si="28"/>
        <v>1963146</v>
      </c>
      <c r="H117" s="484">
        <f t="shared" si="29"/>
        <v>360151</v>
      </c>
      <c r="I117" s="484">
        <f t="shared" si="30"/>
        <v>374762</v>
      </c>
      <c r="J117" s="19">
        <v>46137</v>
      </c>
      <c r="K117" s="17">
        <v>2922593.1010954212</v>
      </c>
      <c r="L117" s="17">
        <v>2381328.42008851</v>
      </c>
      <c r="M117" s="17">
        <v>541264.68100691098</v>
      </c>
      <c r="N117" s="17">
        <v>1752638</v>
      </c>
      <c r="O117" s="17">
        <v>1858764</v>
      </c>
      <c r="P117" s="17">
        <v>19887.931034482801</v>
      </c>
      <c r="Q117" s="17">
        <v>23248</v>
      </c>
      <c r="R117" s="17">
        <v>25737</v>
      </c>
      <c r="S117" s="17">
        <v>9296</v>
      </c>
      <c r="T117" s="17">
        <v>1459</v>
      </c>
      <c r="U117" s="17">
        <v>1497</v>
      </c>
      <c r="V117" s="17">
        <v>72841</v>
      </c>
      <c r="W117" s="17">
        <v>70341</v>
      </c>
      <c r="X117" s="17">
        <v>250845</v>
      </c>
      <c r="Y117" s="17">
        <v>308728</v>
      </c>
      <c r="Z117" s="17">
        <v>82494</v>
      </c>
      <c r="AA117" s="17">
        <v>43807</v>
      </c>
      <c r="AB117" s="17">
        <v>16169</v>
      </c>
      <c r="AC117" s="17">
        <v>13947</v>
      </c>
      <c r="AD117" s="17">
        <v>10643</v>
      </c>
      <c r="AE117" s="17">
        <v>4542</v>
      </c>
      <c r="AF117" s="17">
        <v>0</v>
      </c>
      <c r="AG117" s="17">
        <v>1327</v>
      </c>
      <c r="AH117" s="17">
        <v>0</v>
      </c>
      <c r="AI117" s="17">
        <v>2411</v>
      </c>
      <c r="AJ117" s="54">
        <f t="shared" si="31"/>
        <v>333339</v>
      </c>
      <c r="AK117" s="54">
        <f t="shared" si="32"/>
        <v>352535</v>
      </c>
      <c r="AL117" s="54">
        <f t="shared" si="33"/>
        <v>26812</v>
      </c>
      <c r="AM117" s="54">
        <f t="shared" si="34"/>
        <v>18489</v>
      </c>
      <c r="AN117" s="19">
        <v>46137</v>
      </c>
      <c r="AO117" s="487">
        <f t="shared" si="35"/>
        <v>3.5659731653199467E-2</v>
      </c>
      <c r="AP117" s="487">
        <f t="shared" si="36"/>
        <v>4.7114888971368396E-2</v>
      </c>
      <c r="AQ117" s="486">
        <f t="shared" si="37"/>
        <v>4.8373844993009341E-2</v>
      </c>
      <c r="AR117" s="486">
        <f t="shared" si="38"/>
        <v>4.0569094629752556E-2</v>
      </c>
      <c r="AS117" s="472">
        <f t="shared" si="39"/>
        <v>6.0552150529658677E-2</v>
      </c>
      <c r="AT117" s="472">
        <f t="shared" si="40"/>
        <v>0.16895015171217787</v>
      </c>
      <c r="AU117" s="472">
        <f t="shared" si="41"/>
        <v>-0.63880794187356726</v>
      </c>
      <c r="AV117" s="472">
        <f t="shared" si="42"/>
        <v>2.6045236463331012E-2</v>
      </c>
      <c r="AW117" s="472">
        <f t="shared" si="43"/>
        <v>-3.4321330020180896E-2</v>
      </c>
      <c r="AX117" s="472">
        <f t="shared" si="44"/>
        <v>0.23075205804381183</v>
      </c>
      <c r="AY117" s="472">
        <f t="shared" si="45"/>
        <v>-0.46896744005624647</v>
      </c>
      <c r="AZ117" s="472">
        <f t="shared" si="46"/>
        <v>5.7587021020642615E-2</v>
      </c>
      <c r="BA117" s="472">
        <f t="shared" si="47"/>
        <v>-0.13742346465458588</v>
      </c>
      <c r="BB117" s="472">
        <f t="shared" si="48"/>
        <v>-0.57324062764258199</v>
      </c>
      <c r="BC117" s="472">
        <f t="shared" si="49"/>
        <v>-0.31042070714605396</v>
      </c>
      <c r="BD117" s="472" t="e">
        <f t="shared" si="52"/>
        <v>#DIV/0!</v>
      </c>
      <c r="BE117" s="472" t="e">
        <f t="shared" si="53"/>
        <v>#DIV/0!</v>
      </c>
    </row>
    <row r="118" spans="1:57" hidden="1" x14ac:dyDescent="0.35">
      <c r="A118" s="19">
        <v>45774</v>
      </c>
      <c r="B118" s="17">
        <v>41528560</v>
      </c>
      <c r="C118" s="17">
        <v>44483663</v>
      </c>
      <c r="D118" s="17">
        <v>2438760.9655172415</v>
      </c>
      <c r="E118" s="17">
        <v>2740155</v>
      </c>
      <c r="F118" s="484">
        <f t="shared" si="27"/>
        <v>2059958.9655172415</v>
      </c>
      <c r="G118" s="484">
        <f t="shared" si="28"/>
        <v>2472285</v>
      </c>
      <c r="H118" s="484">
        <f t="shared" si="29"/>
        <v>378802</v>
      </c>
      <c r="I118" s="484">
        <f t="shared" si="30"/>
        <v>267870</v>
      </c>
      <c r="J118" s="19">
        <v>46138</v>
      </c>
      <c r="K118" s="17">
        <v>3121767.4812489282</v>
      </c>
      <c r="L118" s="17">
        <v>2426796.8099636701</v>
      </c>
      <c r="M118" s="17">
        <v>694970.67128525802</v>
      </c>
      <c r="N118" s="17">
        <v>1946010</v>
      </c>
      <c r="O118" s="17">
        <v>2402155</v>
      </c>
      <c r="P118" s="17">
        <v>18168.965517241399</v>
      </c>
      <c r="Q118" s="17">
        <v>22570</v>
      </c>
      <c r="R118" s="17">
        <v>19936</v>
      </c>
      <c r="S118" s="17">
        <v>5255</v>
      </c>
      <c r="T118" s="17">
        <v>3572</v>
      </c>
      <c r="U118" s="17">
        <v>0</v>
      </c>
      <c r="V118" s="17">
        <v>72272</v>
      </c>
      <c r="W118" s="17">
        <v>42305</v>
      </c>
      <c r="X118" s="17">
        <v>273543</v>
      </c>
      <c r="Y118" s="17">
        <v>188051</v>
      </c>
      <c r="Z118" s="17">
        <v>81092</v>
      </c>
      <c r="AA118" s="17">
        <v>44006</v>
      </c>
      <c r="AB118" s="17">
        <v>16940</v>
      </c>
      <c r="AC118" s="17">
        <v>23511</v>
      </c>
      <c r="AD118" s="17">
        <v>7227</v>
      </c>
      <c r="AE118" s="17">
        <v>6576</v>
      </c>
      <c r="AF118" s="17">
        <v>0</v>
      </c>
      <c r="AG118" s="17">
        <v>0</v>
      </c>
      <c r="AH118" s="17">
        <v>0</v>
      </c>
      <c r="AI118" s="17">
        <v>5726</v>
      </c>
      <c r="AJ118" s="54">
        <f t="shared" si="31"/>
        <v>354635</v>
      </c>
      <c r="AK118" s="54">
        <f t="shared" si="32"/>
        <v>232057</v>
      </c>
      <c r="AL118" s="54">
        <f t="shared" si="33"/>
        <v>24167</v>
      </c>
      <c r="AM118" s="54">
        <f t="shared" si="34"/>
        <v>30087</v>
      </c>
      <c r="AN118" s="19">
        <v>46138</v>
      </c>
      <c r="AO118" s="487">
        <f t="shared" si="35"/>
        <v>7.115833055612808E-2</v>
      </c>
      <c r="AP118" s="487">
        <f t="shared" si="36"/>
        <v>0.12358490181871318</v>
      </c>
      <c r="AQ118" s="486">
        <f t="shared" si="37"/>
        <v>0.2001622563288421</v>
      </c>
      <c r="AR118" s="486">
        <f t="shared" si="38"/>
        <v>-0.29284956256830741</v>
      </c>
      <c r="AS118" s="472">
        <f t="shared" si="39"/>
        <v>0.23440013155122541</v>
      </c>
      <c r="AT118" s="472">
        <f t="shared" si="40"/>
        <v>0.24222812677927363</v>
      </c>
      <c r="AU118" s="472">
        <f t="shared" si="41"/>
        <v>-0.7364065008025682</v>
      </c>
      <c r="AV118" s="472">
        <f t="shared" si="42"/>
        <v>-1</v>
      </c>
      <c r="AW118" s="472">
        <f t="shared" si="43"/>
        <v>-0.41464190834624748</v>
      </c>
      <c r="AX118" s="472">
        <f t="shared" si="44"/>
        <v>-0.31253587187389187</v>
      </c>
      <c r="AY118" s="472">
        <f t="shared" si="45"/>
        <v>-0.45733241256844082</v>
      </c>
      <c r="AZ118" s="472">
        <f t="shared" si="46"/>
        <v>-0.34564552286153372</v>
      </c>
      <c r="BA118" s="472">
        <f t="shared" si="47"/>
        <v>0.38789846517119253</v>
      </c>
      <c r="BB118" s="472">
        <f t="shared" si="48"/>
        <v>-9.0078870900788699E-2</v>
      </c>
      <c r="BC118" s="472">
        <f t="shared" si="49"/>
        <v>0.24496213845326276</v>
      </c>
      <c r="BD118" s="472" t="e">
        <f t="shared" si="52"/>
        <v>#DIV/0!</v>
      </c>
      <c r="BE118" s="472" t="e">
        <f t="shared" si="53"/>
        <v>#DIV/0!</v>
      </c>
    </row>
    <row r="119" spans="1:57" hidden="1" x14ac:dyDescent="0.35">
      <c r="A119" s="16">
        <v>45775</v>
      </c>
      <c r="B119" s="17">
        <v>24509435</v>
      </c>
      <c r="C119" s="17">
        <v>25760577</v>
      </c>
      <c r="D119" s="17">
        <v>3201083.1724137929</v>
      </c>
      <c r="E119" s="17">
        <v>4338837</v>
      </c>
      <c r="F119" s="484">
        <f t="shared" si="27"/>
        <v>2811166.1724137929</v>
      </c>
      <c r="G119" s="484">
        <f t="shared" si="28"/>
        <v>3743971</v>
      </c>
      <c r="H119" s="484">
        <f t="shared" si="29"/>
        <v>389917</v>
      </c>
      <c r="I119" s="484">
        <f t="shared" si="30"/>
        <v>594866</v>
      </c>
      <c r="J119" s="19">
        <v>46139</v>
      </c>
      <c r="K119" s="17">
        <v>3938557.7823995668</v>
      </c>
      <c r="L119" s="17">
        <v>3150380.9104436301</v>
      </c>
      <c r="M119" s="17">
        <v>788176.87195593701</v>
      </c>
      <c r="N119" s="17">
        <v>2632448</v>
      </c>
      <c r="O119" s="17">
        <v>3645929</v>
      </c>
      <c r="P119" s="17">
        <v>14455.1724137931</v>
      </c>
      <c r="Q119" s="17">
        <v>20822</v>
      </c>
      <c r="R119" s="17">
        <v>64714</v>
      </c>
      <c r="S119" s="17">
        <v>10309</v>
      </c>
      <c r="T119" s="17">
        <v>9783</v>
      </c>
      <c r="U119" s="17">
        <v>2738</v>
      </c>
      <c r="V119" s="17">
        <v>89766</v>
      </c>
      <c r="W119" s="17">
        <v>64173</v>
      </c>
      <c r="X119" s="17">
        <v>268976</v>
      </c>
      <c r="Y119" s="17">
        <v>460477</v>
      </c>
      <c r="Z119" s="17">
        <v>80501</v>
      </c>
      <c r="AA119" s="17">
        <v>93404</v>
      </c>
      <c r="AB119" s="17">
        <v>31107</v>
      </c>
      <c r="AC119" s="17">
        <v>20032</v>
      </c>
      <c r="AD119" s="17">
        <v>9333</v>
      </c>
      <c r="AE119" s="17">
        <v>9335</v>
      </c>
      <c r="AF119" s="17">
        <v>0</v>
      </c>
      <c r="AG119" s="17">
        <v>8011</v>
      </c>
      <c r="AH119" s="17">
        <v>0</v>
      </c>
      <c r="AI119" s="17">
        <v>3607</v>
      </c>
      <c r="AJ119" s="54">
        <f t="shared" si="31"/>
        <v>349477</v>
      </c>
      <c r="AK119" s="54">
        <f t="shared" si="32"/>
        <v>553881</v>
      </c>
      <c r="AL119" s="54">
        <f t="shared" si="33"/>
        <v>40440</v>
      </c>
      <c r="AM119" s="54">
        <f t="shared" si="34"/>
        <v>29367</v>
      </c>
      <c r="AN119" s="19">
        <v>46139</v>
      </c>
      <c r="AO119" s="487">
        <f t="shared" si="35"/>
        <v>5.1047361964892346E-2</v>
      </c>
      <c r="AP119" s="487">
        <f t="shared" si="36"/>
        <v>0.35542776188732339</v>
      </c>
      <c r="AQ119" s="486">
        <f t="shared" si="37"/>
        <v>0.33182130488759376</v>
      </c>
      <c r="AR119" s="486">
        <f t="shared" si="38"/>
        <v>0.52562211957929517</v>
      </c>
      <c r="AS119" s="472">
        <f t="shared" si="39"/>
        <v>0.38499563904016343</v>
      </c>
      <c r="AT119" s="472">
        <f t="shared" si="40"/>
        <v>0.44045324427480947</v>
      </c>
      <c r="AU119" s="472">
        <f t="shared" si="41"/>
        <v>-0.84069907593411008</v>
      </c>
      <c r="AV119" s="472">
        <f t="shared" si="42"/>
        <v>-0.7201267504855362</v>
      </c>
      <c r="AW119" s="472">
        <f t="shared" si="43"/>
        <v>-0.285107947329724</v>
      </c>
      <c r="AX119" s="472">
        <f t="shared" si="44"/>
        <v>0.71196314912854675</v>
      </c>
      <c r="AY119" s="472">
        <f t="shared" si="45"/>
        <v>0.16028372318356299</v>
      </c>
      <c r="AZ119" s="472">
        <f t="shared" si="46"/>
        <v>0.58488541449079623</v>
      </c>
      <c r="BA119" s="472">
        <f t="shared" si="47"/>
        <v>-0.35602918957147911</v>
      </c>
      <c r="BB119" s="472">
        <f t="shared" si="48"/>
        <v>2.1429336762035511E-4</v>
      </c>
      <c r="BC119" s="472">
        <f t="shared" si="49"/>
        <v>-0.27381305637982201</v>
      </c>
      <c r="BD119" s="472" t="e">
        <f t="shared" si="52"/>
        <v>#DIV/0!</v>
      </c>
      <c r="BE119" s="472" t="e">
        <f t="shared" si="53"/>
        <v>#DIV/0!</v>
      </c>
    </row>
    <row r="120" spans="1:57" hidden="1" x14ac:dyDescent="0.35">
      <c r="A120" s="19">
        <v>45776</v>
      </c>
      <c r="B120" s="17">
        <v>26524854</v>
      </c>
      <c r="C120" s="17">
        <v>29247943</v>
      </c>
      <c r="D120" s="17">
        <v>3535092.2068965519</v>
      </c>
      <c r="E120" s="17">
        <v>3992193</v>
      </c>
      <c r="F120" s="484">
        <f t="shared" si="27"/>
        <v>3198332.2068965519</v>
      </c>
      <c r="G120" s="484">
        <f t="shared" si="28"/>
        <v>3528146</v>
      </c>
      <c r="H120" s="484">
        <f t="shared" si="29"/>
        <v>336760</v>
      </c>
      <c r="I120" s="484">
        <f t="shared" si="30"/>
        <v>464047</v>
      </c>
      <c r="J120" s="19">
        <v>46140</v>
      </c>
      <c r="K120" s="17">
        <v>4775363.2823169054</v>
      </c>
      <c r="L120" s="17">
        <v>3865009.1529240501</v>
      </c>
      <c r="M120" s="17">
        <v>910354.12939285499</v>
      </c>
      <c r="N120" s="17">
        <v>3065439</v>
      </c>
      <c r="O120" s="17">
        <v>3414301</v>
      </c>
      <c r="P120" s="17">
        <v>17661.206896551699</v>
      </c>
      <c r="Q120" s="17">
        <v>21260</v>
      </c>
      <c r="R120" s="17">
        <v>28804</v>
      </c>
      <c r="S120" s="17">
        <v>30481</v>
      </c>
      <c r="T120" s="17">
        <v>996</v>
      </c>
      <c r="U120" s="17">
        <v>1453</v>
      </c>
      <c r="V120" s="17">
        <v>85432</v>
      </c>
      <c r="W120" s="17">
        <v>60651</v>
      </c>
      <c r="X120" s="17">
        <v>243921</v>
      </c>
      <c r="Y120" s="17">
        <v>297757</v>
      </c>
      <c r="Z120" s="17">
        <v>68863</v>
      </c>
      <c r="AA120" s="17">
        <v>122634</v>
      </c>
      <c r="AB120" s="17">
        <v>14584</v>
      </c>
      <c r="AC120" s="17">
        <v>18935</v>
      </c>
      <c r="AD120" s="17">
        <v>9392</v>
      </c>
      <c r="AE120" s="17">
        <v>8545</v>
      </c>
      <c r="AF120" s="17">
        <v>0</v>
      </c>
      <c r="AG120" s="17">
        <v>11569</v>
      </c>
      <c r="AH120" s="17">
        <v>0</v>
      </c>
      <c r="AI120" s="17">
        <v>4607</v>
      </c>
      <c r="AJ120" s="54">
        <f t="shared" si="31"/>
        <v>312784</v>
      </c>
      <c r="AK120" s="54">
        <f t="shared" si="32"/>
        <v>420391</v>
      </c>
      <c r="AL120" s="54">
        <f t="shared" si="33"/>
        <v>23976</v>
      </c>
      <c r="AM120" s="54">
        <f t="shared" si="34"/>
        <v>27480</v>
      </c>
      <c r="AN120" s="19">
        <v>46140</v>
      </c>
      <c r="AO120" s="487">
        <f t="shared" si="35"/>
        <v>0.10266179033445377</v>
      </c>
      <c r="AP120" s="487">
        <f t="shared" si="36"/>
        <v>0.12930378229221229</v>
      </c>
      <c r="AQ120" s="486">
        <f t="shared" si="37"/>
        <v>0.10312055526698316</v>
      </c>
      <c r="AR120" s="486">
        <f t="shared" si="38"/>
        <v>0.37797541275685953</v>
      </c>
      <c r="AS120" s="472">
        <f t="shared" si="39"/>
        <v>0.11380490689914224</v>
      </c>
      <c r="AT120" s="472">
        <f t="shared" si="40"/>
        <v>0.20376824327622556</v>
      </c>
      <c r="AU120" s="472">
        <f t="shared" si="41"/>
        <v>5.8221080405499226E-2</v>
      </c>
      <c r="AV120" s="472">
        <f t="shared" si="42"/>
        <v>0.45883534136546178</v>
      </c>
      <c r="AW120" s="472">
        <f t="shared" si="43"/>
        <v>-0.29006695383462866</v>
      </c>
      <c r="AX120" s="472">
        <f t="shared" si="44"/>
        <v>0.22071080390782272</v>
      </c>
      <c r="AY120" s="472">
        <f t="shared" si="45"/>
        <v>0.78084021898552192</v>
      </c>
      <c r="AZ120" s="472">
        <f t="shared" si="46"/>
        <v>0.34402974576704692</v>
      </c>
      <c r="BA120" s="472">
        <f t="shared" si="47"/>
        <v>0.29834064728469545</v>
      </c>
      <c r="BB120" s="472">
        <f t="shared" si="48"/>
        <v>-9.0183134582623503E-2</v>
      </c>
      <c r="BC120" s="472">
        <f t="shared" si="49"/>
        <v>0.14614614614614618</v>
      </c>
      <c r="BD120" s="472" t="e">
        <f t="shared" si="52"/>
        <v>#DIV/0!</v>
      </c>
      <c r="BE120" s="472" t="e">
        <f t="shared" si="53"/>
        <v>#DIV/0!</v>
      </c>
    </row>
    <row r="121" spans="1:57" hidden="1" x14ac:dyDescent="0.35">
      <c r="A121" s="16">
        <v>45777</v>
      </c>
      <c r="B121" s="17">
        <v>25819285</v>
      </c>
      <c r="C121" s="17">
        <v>33378286</v>
      </c>
      <c r="D121" s="17">
        <v>3278850.1724137929</v>
      </c>
      <c r="E121" s="17">
        <v>3886923</v>
      </c>
      <c r="F121" s="484">
        <f t="shared" si="27"/>
        <v>2941061.1724137929</v>
      </c>
      <c r="G121" s="484">
        <f t="shared" si="28"/>
        <v>3408267</v>
      </c>
      <c r="H121" s="484">
        <f t="shared" si="29"/>
        <v>337789</v>
      </c>
      <c r="I121" s="484">
        <f t="shared" si="30"/>
        <v>478656</v>
      </c>
      <c r="J121" s="19">
        <v>46141</v>
      </c>
      <c r="K121" s="17">
        <v>4786174.5106639257</v>
      </c>
      <c r="L121" s="17">
        <v>3969770.1570955799</v>
      </c>
      <c r="M121" s="17">
        <v>816404.35356834601</v>
      </c>
      <c r="N121" s="17">
        <v>2779622</v>
      </c>
      <c r="O121" s="17">
        <v>3197203</v>
      </c>
      <c r="P121" s="17">
        <v>15955.1724137931</v>
      </c>
      <c r="Q121" s="17">
        <v>23371</v>
      </c>
      <c r="R121" s="17">
        <v>51237</v>
      </c>
      <c r="S121" s="17">
        <v>59752</v>
      </c>
      <c r="T121" s="17">
        <v>13462</v>
      </c>
      <c r="U121" s="17">
        <v>1516</v>
      </c>
      <c r="V121" s="17">
        <v>80785</v>
      </c>
      <c r="W121" s="17">
        <v>126425</v>
      </c>
      <c r="X121" s="17">
        <v>259639</v>
      </c>
      <c r="Y121" s="17">
        <v>317515</v>
      </c>
      <c r="Z121" s="17">
        <v>53075</v>
      </c>
      <c r="AA121" s="17">
        <v>127512</v>
      </c>
      <c r="AB121" s="17">
        <v>18341</v>
      </c>
      <c r="AC121" s="17">
        <v>17434</v>
      </c>
      <c r="AD121" s="17">
        <v>6734</v>
      </c>
      <c r="AE121" s="17">
        <v>4509</v>
      </c>
      <c r="AF121" s="17">
        <v>0</v>
      </c>
      <c r="AG121" s="17">
        <v>7208</v>
      </c>
      <c r="AH121" s="17">
        <v>0</v>
      </c>
      <c r="AI121" s="17">
        <v>4478</v>
      </c>
      <c r="AJ121" s="54">
        <f t="shared" si="31"/>
        <v>312714</v>
      </c>
      <c r="AK121" s="54">
        <f t="shared" si="32"/>
        <v>445027</v>
      </c>
      <c r="AL121" s="54">
        <f t="shared" si="33"/>
        <v>25075</v>
      </c>
      <c r="AM121" s="54">
        <f t="shared" si="34"/>
        <v>21943</v>
      </c>
      <c r="AN121" s="19">
        <v>46141</v>
      </c>
      <c r="AO121" s="487">
        <f t="shared" si="35"/>
        <v>0.29276569819807174</v>
      </c>
      <c r="AP121" s="487">
        <f t="shared" si="36"/>
        <v>0.18545306909786663</v>
      </c>
      <c r="AQ121" s="486">
        <f t="shared" si="37"/>
        <v>0.15885620876180595</v>
      </c>
      <c r="AR121" s="486">
        <f t="shared" si="38"/>
        <v>0.41702660536607161</v>
      </c>
      <c r="AS121" s="472">
        <f t="shared" si="39"/>
        <v>0.15022941968368353</v>
      </c>
      <c r="AT121" s="472">
        <f t="shared" si="40"/>
        <v>0.46479144153879437</v>
      </c>
      <c r="AU121" s="472">
        <f t="shared" si="41"/>
        <v>0.16618849659425816</v>
      </c>
      <c r="AV121" s="472">
        <f t="shared" si="42"/>
        <v>-0.88738671816966275</v>
      </c>
      <c r="AW121" s="472">
        <f t="shared" si="43"/>
        <v>0.56495636566194229</v>
      </c>
      <c r="AX121" s="472">
        <f t="shared" si="44"/>
        <v>0.22290950126906983</v>
      </c>
      <c r="AY121" s="472">
        <f t="shared" si="45"/>
        <v>1.4024870466321242</v>
      </c>
      <c r="AZ121" s="472">
        <f t="shared" si="46"/>
        <v>0.42311185300306353</v>
      </c>
      <c r="BA121" s="472">
        <f t="shared" si="47"/>
        <v>-4.9452047325663773E-2</v>
      </c>
      <c r="BB121" s="472">
        <f t="shared" si="48"/>
        <v>-0.33041283041283043</v>
      </c>
      <c r="BC121" s="472">
        <f t="shared" si="49"/>
        <v>-0.12490528414755731</v>
      </c>
      <c r="BD121" s="472" t="e">
        <f t="shared" si="52"/>
        <v>#DIV/0!</v>
      </c>
      <c r="BE121" s="472" t="e">
        <f t="shared" si="53"/>
        <v>#DIV/0!</v>
      </c>
    </row>
    <row r="122" spans="1:57" hidden="1" x14ac:dyDescent="0.35">
      <c r="A122" s="19">
        <v>45778</v>
      </c>
      <c r="B122" s="17">
        <v>39998805</v>
      </c>
      <c r="C122" s="17">
        <v>30386544</v>
      </c>
      <c r="D122" s="17">
        <v>2881877.7241379311</v>
      </c>
      <c r="E122" s="17">
        <v>2872615</v>
      </c>
      <c r="F122" s="484">
        <f t="shared" si="27"/>
        <v>2407273.7241379311</v>
      </c>
      <c r="G122" s="484">
        <f t="shared" si="28"/>
        <v>2492142</v>
      </c>
      <c r="H122" s="484">
        <f t="shared" si="29"/>
        <v>474604</v>
      </c>
      <c r="I122" s="484">
        <f t="shared" si="30"/>
        <v>380473</v>
      </c>
      <c r="J122" s="19">
        <v>46142</v>
      </c>
      <c r="K122" s="17">
        <v>4665726.4877311597</v>
      </c>
      <c r="L122" s="17">
        <v>3834357.5068530198</v>
      </c>
      <c r="M122" s="17">
        <v>831368.98087813996</v>
      </c>
      <c r="N122" s="17">
        <v>2265014</v>
      </c>
      <c r="O122" s="17">
        <v>2367928</v>
      </c>
      <c r="P122" s="17">
        <v>19726.724137931</v>
      </c>
      <c r="Q122" s="17">
        <v>13584</v>
      </c>
      <c r="R122" s="17">
        <v>14608</v>
      </c>
      <c r="S122" s="17">
        <v>30645</v>
      </c>
      <c r="T122" s="17">
        <v>195</v>
      </c>
      <c r="U122" s="17">
        <v>1800</v>
      </c>
      <c r="V122" s="17">
        <v>107730</v>
      </c>
      <c r="W122" s="17">
        <v>78185</v>
      </c>
      <c r="X122" s="17">
        <v>402948</v>
      </c>
      <c r="Y122" s="17">
        <v>230564</v>
      </c>
      <c r="Z122" s="17">
        <v>54211</v>
      </c>
      <c r="AA122" s="17">
        <v>119400</v>
      </c>
      <c r="AB122" s="17">
        <v>12681</v>
      </c>
      <c r="AC122" s="17">
        <v>15064</v>
      </c>
      <c r="AD122" s="17">
        <v>4764</v>
      </c>
      <c r="AE122" s="17">
        <v>10948</v>
      </c>
      <c r="AF122" s="17">
        <v>0</v>
      </c>
      <c r="AG122" s="17">
        <v>2681</v>
      </c>
      <c r="AH122" s="17">
        <v>0</v>
      </c>
      <c r="AI122" s="17">
        <v>1816</v>
      </c>
      <c r="AJ122" s="54">
        <f t="shared" si="31"/>
        <v>457159</v>
      </c>
      <c r="AK122" s="54">
        <f t="shared" si="32"/>
        <v>349964</v>
      </c>
      <c r="AL122" s="54">
        <f t="shared" si="33"/>
        <v>17445</v>
      </c>
      <c r="AM122" s="54">
        <f t="shared" si="34"/>
        <v>26012</v>
      </c>
      <c r="AN122" s="19">
        <v>46142</v>
      </c>
      <c r="AO122" s="487">
        <f t="shared" si="35"/>
        <v>-0.24031370437191812</v>
      </c>
      <c r="AP122" s="487">
        <f t="shared" si="36"/>
        <v>-3.2141280875134237E-3</v>
      </c>
      <c r="AQ122" s="486">
        <f t="shared" si="37"/>
        <v>3.5254933832861601E-2</v>
      </c>
      <c r="AR122" s="486">
        <f t="shared" si="38"/>
        <v>-0.19833587580382805</v>
      </c>
      <c r="AS122" s="472">
        <f t="shared" si="39"/>
        <v>4.5436363748744935E-2</v>
      </c>
      <c r="AT122" s="472">
        <f t="shared" si="40"/>
        <v>-0.31139098894375616</v>
      </c>
      <c r="AU122" s="472">
        <f t="shared" si="41"/>
        <v>1.0978231106243155</v>
      </c>
      <c r="AV122" s="472">
        <f t="shared" si="42"/>
        <v>8.2307692307692299</v>
      </c>
      <c r="AW122" s="472">
        <f t="shared" si="43"/>
        <v>-0.2742504409171076</v>
      </c>
      <c r="AX122" s="472">
        <f t="shared" si="44"/>
        <v>-0.42780706195340346</v>
      </c>
      <c r="AY122" s="472">
        <f t="shared" si="45"/>
        <v>1.2025050266551069</v>
      </c>
      <c r="AZ122" s="472">
        <f t="shared" si="46"/>
        <v>-0.23448078239737158</v>
      </c>
      <c r="BA122" s="472">
        <f t="shared" si="47"/>
        <v>0.18791893383802538</v>
      </c>
      <c r="BB122" s="472">
        <f t="shared" si="48"/>
        <v>1.2980688497061292</v>
      </c>
      <c r="BC122" s="472">
        <f t="shared" si="49"/>
        <v>0.49108627113786185</v>
      </c>
      <c r="BD122" s="472" t="e">
        <f t="shared" si="52"/>
        <v>#DIV/0!</v>
      </c>
      <c r="BE122" s="472" t="e">
        <f t="shared" si="53"/>
        <v>#DIV/0!</v>
      </c>
    </row>
    <row r="123" spans="1:57" hidden="1" x14ac:dyDescent="0.35">
      <c r="A123" s="16">
        <v>45779</v>
      </c>
      <c r="B123" s="17">
        <v>34113604</v>
      </c>
      <c r="C123" s="17">
        <v>44124537</v>
      </c>
      <c r="D123" s="17">
        <v>2970705.9655172415</v>
      </c>
      <c r="E123" s="17">
        <v>2481290</v>
      </c>
      <c r="F123" s="484">
        <f t="shared" si="27"/>
        <v>2536484.9655172415</v>
      </c>
      <c r="G123" s="484">
        <f t="shared" si="28"/>
        <v>2137875</v>
      </c>
      <c r="H123" s="484">
        <f t="shared" si="29"/>
        <v>434221</v>
      </c>
      <c r="I123" s="484">
        <f t="shared" si="30"/>
        <v>343415</v>
      </c>
      <c r="J123" s="19">
        <v>46143</v>
      </c>
      <c r="K123" s="17">
        <v>3662928.8948852308</v>
      </c>
      <c r="L123" s="17">
        <v>3090983.4582338501</v>
      </c>
      <c r="M123" s="17">
        <v>571945.43665138097</v>
      </c>
      <c r="N123" s="17">
        <v>2361198</v>
      </c>
      <c r="O123" s="17">
        <v>2069924</v>
      </c>
      <c r="P123" s="17">
        <v>17493.965517241399</v>
      </c>
      <c r="Q123" s="17">
        <v>31463</v>
      </c>
      <c r="R123" s="17">
        <v>63530</v>
      </c>
      <c r="S123" s="17">
        <v>2522</v>
      </c>
      <c r="T123" s="17">
        <v>10847</v>
      </c>
      <c r="U123" s="17">
        <v>0</v>
      </c>
      <c r="V123" s="17">
        <v>83416</v>
      </c>
      <c r="W123" s="17">
        <v>33966</v>
      </c>
      <c r="X123" s="17">
        <v>355472</v>
      </c>
      <c r="Y123" s="17">
        <v>215596</v>
      </c>
      <c r="Z123" s="17">
        <v>50730</v>
      </c>
      <c r="AA123" s="17">
        <v>89389</v>
      </c>
      <c r="AB123" s="17">
        <v>19076</v>
      </c>
      <c r="AC123" s="17">
        <v>23623</v>
      </c>
      <c r="AD123" s="17">
        <v>8943</v>
      </c>
      <c r="AE123" s="17">
        <v>9448</v>
      </c>
      <c r="AF123" s="17">
        <v>0</v>
      </c>
      <c r="AG123" s="17">
        <v>2225</v>
      </c>
      <c r="AH123" s="17">
        <v>0</v>
      </c>
      <c r="AI123" s="17">
        <v>3134</v>
      </c>
      <c r="AJ123" s="54">
        <f t="shared" si="31"/>
        <v>406202</v>
      </c>
      <c r="AK123" s="54">
        <f t="shared" si="32"/>
        <v>304985</v>
      </c>
      <c r="AL123" s="54">
        <f t="shared" si="33"/>
        <v>28019</v>
      </c>
      <c r="AM123" s="54">
        <f t="shared" si="34"/>
        <v>33071</v>
      </c>
      <c r="AN123" s="19">
        <v>46143</v>
      </c>
      <c r="AO123" s="487">
        <f t="shared" si="35"/>
        <v>0.29345867414067417</v>
      </c>
      <c r="AP123" s="487">
        <f t="shared" si="36"/>
        <v>-0.16474736012186497</v>
      </c>
      <c r="AQ123" s="486">
        <f t="shared" si="37"/>
        <v>-0.1571505334887553</v>
      </c>
      <c r="AR123" s="486">
        <f t="shared" si="38"/>
        <v>-0.20912392537440616</v>
      </c>
      <c r="AS123" s="472">
        <f t="shared" si="39"/>
        <v>-0.12335856628711361</v>
      </c>
      <c r="AT123" s="472">
        <f t="shared" si="40"/>
        <v>0.79850588873010198</v>
      </c>
      <c r="AU123" s="472">
        <f t="shared" si="41"/>
        <v>-0.96030221942389427</v>
      </c>
      <c r="AV123" s="472">
        <f t="shared" si="42"/>
        <v>-1</v>
      </c>
      <c r="AW123" s="472">
        <f t="shared" si="43"/>
        <v>-0.59281193056487957</v>
      </c>
      <c r="AX123" s="472">
        <f t="shared" si="44"/>
        <v>-0.39349372102444069</v>
      </c>
      <c r="AY123" s="472">
        <f t="shared" si="45"/>
        <v>0.76205401143307716</v>
      </c>
      <c r="AZ123" s="472">
        <f t="shared" si="46"/>
        <v>-0.24917897991639626</v>
      </c>
      <c r="BA123" s="472">
        <f t="shared" si="47"/>
        <v>0.23836234011323132</v>
      </c>
      <c r="BB123" s="472">
        <f t="shared" si="48"/>
        <v>5.6468746505646816E-2</v>
      </c>
      <c r="BC123" s="472">
        <f t="shared" si="49"/>
        <v>0.18030622077875735</v>
      </c>
      <c r="BD123" s="472" t="e">
        <f t="shared" si="52"/>
        <v>#DIV/0!</v>
      </c>
      <c r="BE123" s="472" t="e">
        <f t="shared" si="53"/>
        <v>#DIV/0!</v>
      </c>
    </row>
    <row r="124" spans="1:57" hidden="1" x14ac:dyDescent="0.35">
      <c r="A124" s="19">
        <v>45780</v>
      </c>
      <c r="B124" s="17">
        <v>37655000</v>
      </c>
      <c r="C124" s="17">
        <v>39743152</v>
      </c>
      <c r="D124" s="17">
        <v>2257483.8275862066</v>
      </c>
      <c r="E124" s="17">
        <v>2308501</v>
      </c>
      <c r="F124" s="484">
        <f t="shared" si="27"/>
        <v>1785645.8275862068</v>
      </c>
      <c r="G124" s="484">
        <f t="shared" si="28"/>
        <v>2039500</v>
      </c>
      <c r="H124" s="484">
        <f t="shared" si="29"/>
        <v>471838</v>
      </c>
      <c r="I124" s="484">
        <f t="shared" si="30"/>
        <v>269001</v>
      </c>
      <c r="J124" s="19">
        <v>46144</v>
      </c>
      <c r="K124" s="17">
        <v>3806845.0181720783</v>
      </c>
      <c r="L124" s="17">
        <v>3283565.1481157802</v>
      </c>
      <c r="M124" s="17">
        <v>523279.87005629798</v>
      </c>
      <c r="N124" s="17">
        <v>1666165</v>
      </c>
      <c r="O124" s="17">
        <v>1930522</v>
      </c>
      <c r="P124" s="17">
        <v>20994.827586206899</v>
      </c>
      <c r="Q124" s="17">
        <v>20804</v>
      </c>
      <c r="R124" s="17">
        <v>23268</v>
      </c>
      <c r="S124" s="17">
        <v>-732</v>
      </c>
      <c r="T124" s="17">
        <v>3184</v>
      </c>
      <c r="U124" s="17">
        <v>1144</v>
      </c>
      <c r="V124" s="17">
        <v>72034</v>
      </c>
      <c r="W124" s="17">
        <v>87762</v>
      </c>
      <c r="X124" s="17">
        <v>398776</v>
      </c>
      <c r="Y124" s="17">
        <v>178276</v>
      </c>
      <c r="Z124" s="17">
        <v>45043</v>
      </c>
      <c r="AA124" s="17">
        <v>69883</v>
      </c>
      <c r="AB124" s="17">
        <v>18901</v>
      </c>
      <c r="AC124" s="17">
        <v>10926</v>
      </c>
      <c r="AD124" s="17">
        <v>9118</v>
      </c>
      <c r="AE124" s="17">
        <v>4862</v>
      </c>
      <c r="AF124" s="17">
        <v>0</v>
      </c>
      <c r="AG124" s="17">
        <v>447</v>
      </c>
      <c r="AH124" s="17">
        <v>0</v>
      </c>
      <c r="AI124" s="17">
        <v>4607</v>
      </c>
      <c r="AJ124" s="54">
        <f t="shared" si="31"/>
        <v>443819</v>
      </c>
      <c r="AK124" s="54">
        <f t="shared" si="32"/>
        <v>248159</v>
      </c>
      <c r="AL124" s="54">
        <f t="shared" si="33"/>
        <v>28019</v>
      </c>
      <c r="AM124" s="54">
        <f t="shared" si="34"/>
        <v>15788</v>
      </c>
      <c r="AN124" s="19">
        <v>46144</v>
      </c>
      <c r="AO124" s="487">
        <f t="shared" si="35"/>
        <v>5.5454839994688587E-2</v>
      </c>
      <c r="AP124" s="487">
        <f t="shared" si="36"/>
        <v>2.2599130851069349E-2</v>
      </c>
      <c r="AQ124" s="486">
        <f t="shared" si="37"/>
        <v>0.1421637866210832</v>
      </c>
      <c r="AR124" s="486">
        <f t="shared" si="38"/>
        <v>-0.42988695272529975</v>
      </c>
      <c r="AS124" s="472">
        <f t="shared" si="39"/>
        <v>0.1586619572491319</v>
      </c>
      <c r="AT124" s="472">
        <f t="shared" si="40"/>
        <v>-9.0892666502423447E-3</v>
      </c>
      <c r="AU124" s="472">
        <f t="shared" si="41"/>
        <v>-1.0314595152140278</v>
      </c>
      <c r="AV124" s="472">
        <f t="shared" si="42"/>
        <v>-0.64070351758793964</v>
      </c>
      <c r="AW124" s="472">
        <f t="shared" si="43"/>
        <v>0.2183413388122275</v>
      </c>
      <c r="AX124" s="472">
        <f t="shared" si="44"/>
        <v>-0.55294200252773484</v>
      </c>
      <c r="AY124" s="472">
        <f t="shared" si="45"/>
        <v>0.55147303687587423</v>
      </c>
      <c r="AZ124" s="472">
        <f t="shared" si="46"/>
        <v>-0.44085539375285876</v>
      </c>
      <c r="BA124" s="472">
        <f t="shared" si="47"/>
        <v>-0.42193534733611981</v>
      </c>
      <c r="BB124" s="472">
        <f t="shared" si="48"/>
        <v>-0.4667690282956789</v>
      </c>
      <c r="BC124" s="472">
        <f t="shared" si="49"/>
        <v>-0.4365252150326564</v>
      </c>
      <c r="BD124" s="472" t="e">
        <f t="shared" si="52"/>
        <v>#DIV/0!</v>
      </c>
      <c r="BE124" s="472" t="e">
        <f t="shared" si="53"/>
        <v>#DIV/0!</v>
      </c>
    </row>
    <row r="125" spans="1:57" hidden="1" x14ac:dyDescent="0.35">
      <c r="A125" s="16">
        <v>45781</v>
      </c>
      <c r="B125" s="17">
        <v>39231400</v>
      </c>
      <c r="C125" s="17">
        <v>39483198</v>
      </c>
      <c r="D125" s="17">
        <v>2960192.8965517241</v>
      </c>
      <c r="E125" s="17">
        <v>3082322</v>
      </c>
      <c r="F125" s="484">
        <f t="shared" si="27"/>
        <v>2440808.8965517241</v>
      </c>
      <c r="G125" s="484">
        <f t="shared" si="28"/>
        <v>2730016</v>
      </c>
      <c r="H125" s="484">
        <f t="shared" si="29"/>
        <v>519384</v>
      </c>
      <c r="I125" s="484">
        <f t="shared" si="30"/>
        <v>352306</v>
      </c>
      <c r="J125" s="19">
        <v>46145</v>
      </c>
      <c r="K125" s="17">
        <v>2883172.567160266</v>
      </c>
      <c r="L125" s="17">
        <v>2314560.4380195201</v>
      </c>
      <c r="M125" s="17">
        <v>568612.12914074596</v>
      </c>
      <c r="N125" s="17">
        <v>2338777</v>
      </c>
      <c r="O125" s="17">
        <v>2628259</v>
      </c>
      <c r="P125" s="17">
        <v>20781.896551724101</v>
      </c>
      <c r="Q125" s="17">
        <v>23026</v>
      </c>
      <c r="R125" s="17">
        <v>21236</v>
      </c>
      <c r="S125" s="17">
        <v>11669</v>
      </c>
      <c r="T125" s="17">
        <v>2543</v>
      </c>
      <c r="U125" s="17">
        <v>740</v>
      </c>
      <c r="V125" s="17">
        <v>57471</v>
      </c>
      <c r="W125" s="17">
        <v>66322</v>
      </c>
      <c r="X125" s="17">
        <v>451270</v>
      </c>
      <c r="Y125" s="17">
        <v>227157</v>
      </c>
      <c r="Z125" s="17">
        <v>37594</v>
      </c>
      <c r="AA125" s="17">
        <v>91628</v>
      </c>
      <c r="AB125" s="17">
        <v>17703</v>
      </c>
      <c r="AC125" s="17">
        <v>19133</v>
      </c>
      <c r="AD125" s="17">
        <v>12817</v>
      </c>
      <c r="AE125" s="17">
        <v>8602</v>
      </c>
      <c r="AF125" s="17">
        <v>0</v>
      </c>
      <c r="AG125" s="17">
        <v>370</v>
      </c>
      <c r="AH125" s="17">
        <v>0</v>
      </c>
      <c r="AI125" s="17">
        <v>5416</v>
      </c>
      <c r="AJ125" s="54">
        <f t="shared" si="31"/>
        <v>488864</v>
      </c>
      <c r="AK125" s="54">
        <f t="shared" si="32"/>
        <v>318785</v>
      </c>
      <c r="AL125" s="54">
        <f t="shared" si="33"/>
        <v>30520</v>
      </c>
      <c r="AM125" s="54">
        <f t="shared" si="34"/>
        <v>27735</v>
      </c>
      <c r="AN125" s="19">
        <v>46145</v>
      </c>
      <c r="AO125" s="487">
        <f t="shared" si="35"/>
        <v>6.4182771963274821E-3</v>
      </c>
      <c r="AP125" s="487">
        <f t="shared" si="36"/>
        <v>4.1257143610655245E-2</v>
      </c>
      <c r="AQ125" s="486">
        <f t="shared" si="37"/>
        <v>0.11848822079305599</v>
      </c>
      <c r="AR125" s="486">
        <f t="shared" si="38"/>
        <v>-0.32168491905796093</v>
      </c>
      <c r="AS125" s="472">
        <f t="shared" si="39"/>
        <v>0.12377494733358496</v>
      </c>
      <c r="AT125" s="472">
        <f t="shared" si="40"/>
        <v>0.1079835732359915</v>
      </c>
      <c r="AU125" s="472">
        <f t="shared" si="41"/>
        <v>-0.45050857035223202</v>
      </c>
      <c r="AV125" s="472">
        <f t="shared" si="42"/>
        <v>-0.7090051120723555</v>
      </c>
      <c r="AW125" s="472">
        <f t="shared" si="43"/>
        <v>0.15400810843729884</v>
      </c>
      <c r="AX125" s="472">
        <f t="shared" si="44"/>
        <v>-0.49662729629711699</v>
      </c>
      <c r="AY125" s="472">
        <f t="shared" si="45"/>
        <v>1.43730382507847</v>
      </c>
      <c r="AZ125" s="472">
        <f t="shared" si="46"/>
        <v>-0.34790657524383062</v>
      </c>
      <c r="BA125" s="472">
        <f t="shared" si="47"/>
        <v>8.0777269389369133E-2</v>
      </c>
      <c r="BB125" s="472">
        <f t="shared" si="48"/>
        <v>-0.32886010766950147</v>
      </c>
      <c r="BC125" s="472">
        <f t="shared" si="49"/>
        <v>-9.1251638269986945E-2</v>
      </c>
      <c r="BD125" s="472" t="e">
        <f t="shared" si="52"/>
        <v>#DIV/0!</v>
      </c>
      <c r="BE125" s="472" t="e">
        <f t="shared" si="53"/>
        <v>#DIV/0!</v>
      </c>
    </row>
    <row r="126" spans="1:57" hidden="1" x14ac:dyDescent="0.35">
      <c r="A126" s="19">
        <v>45782</v>
      </c>
      <c r="B126" s="17">
        <v>35100553</v>
      </c>
      <c r="C126" s="17">
        <v>32627546</v>
      </c>
      <c r="D126" s="17">
        <v>4497774.1034482755</v>
      </c>
      <c r="E126" s="17">
        <v>4976725</v>
      </c>
      <c r="F126" s="484">
        <f t="shared" si="27"/>
        <v>3750904.1034482759</v>
      </c>
      <c r="G126" s="484">
        <f t="shared" si="28"/>
        <v>4250799</v>
      </c>
      <c r="H126" s="484">
        <f t="shared" si="29"/>
        <v>746870</v>
      </c>
      <c r="I126" s="484">
        <f t="shared" si="30"/>
        <v>725926</v>
      </c>
      <c r="J126" s="19">
        <v>46146</v>
      </c>
      <c r="K126" s="17">
        <v>3791917.7701865463</v>
      </c>
      <c r="L126" s="17">
        <v>3166007.94079248</v>
      </c>
      <c r="M126" s="17">
        <v>625909.82939406601</v>
      </c>
      <c r="N126" s="17">
        <v>3540534</v>
      </c>
      <c r="O126" s="17">
        <v>4124173</v>
      </c>
      <c r="P126" s="17">
        <v>14493.103448275901</v>
      </c>
      <c r="Q126" s="17">
        <v>25420</v>
      </c>
      <c r="R126" s="17">
        <v>86421</v>
      </c>
      <c r="S126" s="17">
        <v>28207</v>
      </c>
      <c r="T126" s="17">
        <v>8958</v>
      </c>
      <c r="U126" s="17">
        <v>5623</v>
      </c>
      <c r="V126" s="17">
        <v>100498</v>
      </c>
      <c r="W126" s="17">
        <v>67376</v>
      </c>
      <c r="X126" s="17">
        <v>625936</v>
      </c>
      <c r="Y126" s="17">
        <v>521359</v>
      </c>
      <c r="Z126" s="17">
        <v>72774</v>
      </c>
      <c r="AA126" s="17">
        <v>170941</v>
      </c>
      <c r="AB126" s="17">
        <v>35858</v>
      </c>
      <c r="AC126" s="17">
        <v>18893</v>
      </c>
      <c r="AD126" s="17">
        <v>12302</v>
      </c>
      <c r="AE126" s="17">
        <v>10593</v>
      </c>
      <c r="AF126" s="17">
        <v>0</v>
      </c>
      <c r="AG126" s="17">
        <v>2031</v>
      </c>
      <c r="AH126" s="17">
        <v>0</v>
      </c>
      <c r="AI126" s="17">
        <v>2109</v>
      </c>
      <c r="AJ126" s="54">
        <f t="shared" si="31"/>
        <v>698710</v>
      </c>
      <c r="AK126" s="54">
        <f t="shared" si="32"/>
        <v>692300</v>
      </c>
      <c r="AL126" s="54">
        <f t="shared" si="33"/>
        <v>48160</v>
      </c>
      <c r="AM126" s="54">
        <f t="shared" si="34"/>
        <v>29486</v>
      </c>
      <c r="AN126" s="19">
        <v>46146</v>
      </c>
      <c r="AO126" s="487">
        <f t="shared" si="35"/>
        <v>-7.0454929869623428E-2</v>
      </c>
      <c r="AP126" s="487">
        <f t="shared" si="36"/>
        <v>0.10648620529531061</v>
      </c>
      <c r="AQ126" s="486">
        <f t="shared" si="37"/>
        <v>0.13327317435072827</v>
      </c>
      <c r="AR126" s="486">
        <f t="shared" si="38"/>
        <v>-2.8042363463521069E-2</v>
      </c>
      <c r="AS126" s="472">
        <f t="shared" si="39"/>
        <v>0.16484490757608872</v>
      </c>
      <c r="AT126" s="472">
        <f t="shared" si="40"/>
        <v>0.75393766357363323</v>
      </c>
      <c r="AU126" s="472">
        <f t="shared" si="41"/>
        <v>-0.67360942363545895</v>
      </c>
      <c r="AV126" s="472">
        <f t="shared" si="42"/>
        <v>-0.3722929225273498</v>
      </c>
      <c r="AW126" s="472">
        <f t="shared" si="43"/>
        <v>-0.3295786980835439</v>
      </c>
      <c r="AX126" s="472">
        <f t="shared" si="44"/>
        <v>-0.16707299148794763</v>
      </c>
      <c r="AY126" s="472">
        <f t="shared" si="45"/>
        <v>1.3489295627559295</v>
      </c>
      <c r="AZ126" s="472">
        <f t="shared" si="46"/>
        <v>-9.174049319460198E-3</v>
      </c>
      <c r="BA126" s="472">
        <f t="shared" si="47"/>
        <v>-0.47311618048970938</v>
      </c>
      <c r="BB126" s="472">
        <f t="shared" si="48"/>
        <v>-0.13892050073158835</v>
      </c>
      <c r="BC126" s="472">
        <f t="shared" si="49"/>
        <v>-0.38774916943521598</v>
      </c>
      <c r="BD126" s="472" t="e">
        <f t="shared" si="52"/>
        <v>#DIV/0!</v>
      </c>
      <c r="BE126" s="472" t="e">
        <f t="shared" si="53"/>
        <v>#DIV/0!</v>
      </c>
    </row>
    <row r="127" spans="1:57" hidden="1" x14ac:dyDescent="0.35">
      <c r="A127" s="16">
        <v>45783</v>
      </c>
      <c r="B127" s="17">
        <v>33135134</v>
      </c>
      <c r="C127" s="17">
        <v>38637821</v>
      </c>
      <c r="D127" s="17">
        <v>4799597.3103448283</v>
      </c>
      <c r="E127" s="17">
        <v>5525688</v>
      </c>
      <c r="F127" s="484">
        <f t="shared" si="27"/>
        <v>3988250.3103448278</v>
      </c>
      <c r="G127" s="484">
        <f t="shared" si="28"/>
        <v>4651096</v>
      </c>
      <c r="H127" s="484">
        <f t="shared" si="29"/>
        <v>811347</v>
      </c>
      <c r="I127" s="484">
        <f t="shared" si="30"/>
        <v>874592</v>
      </c>
      <c r="J127" s="19">
        <v>46147</v>
      </c>
      <c r="K127" s="17">
        <v>5750368.4992179256</v>
      </c>
      <c r="L127" s="17">
        <v>4850315.21632984</v>
      </c>
      <c r="M127" s="17">
        <v>900053.28288808605</v>
      </c>
      <c r="N127" s="17">
        <v>3783300</v>
      </c>
      <c r="O127" s="17">
        <v>4494478</v>
      </c>
      <c r="P127" s="17">
        <v>19229.310344827602</v>
      </c>
      <c r="Q127" s="17">
        <v>24526</v>
      </c>
      <c r="R127" s="17">
        <v>89988</v>
      </c>
      <c r="S127" s="17">
        <v>55447</v>
      </c>
      <c r="T127" s="17">
        <v>20578</v>
      </c>
      <c r="U127" s="17">
        <v>6329</v>
      </c>
      <c r="V127" s="17">
        <v>75155</v>
      </c>
      <c r="W127" s="17">
        <v>70316</v>
      </c>
      <c r="X127" s="17">
        <v>719475</v>
      </c>
      <c r="Y127" s="17">
        <v>610542</v>
      </c>
      <c r="Z127" s="17">
        <v>54500</v>
      </c>
      <c r="AA127" s="17">
        <v>206091</v>
      </c>
      <c r="AB127" s="17">
        <v>28166</v>
      </c>
      <c r="AC127" s="17">
        <v>34471</v>
      </c>
      <c r="AD127" s="17">
        <v>9206</v>
      </c>
      <c r="AE127" s="17">
        <v>15053</v>
      </c>
      <c r="AF127" s="17">
        <v>0</v>
      </c>
      <c r="AG127" s="17">
        <v>4388</v>
      </c>
      <c r="AH127" s="17">
        <v>0</v>
      </c>
      <c r="AI127" s="17">
        <v>4047</v>
      </c>
      <c r="AJ127" s="54">
        <f t="shared" si="31"/>
        <v>773975</v>
      </c>
      <c r="AK127" s="54">
        <f t="shared" si="32"/>
        <v>816633</v>
      </c>
      <c r="AL127" s="54">
        <f t="shared" si="33"/>
        <v>37372</v>
      </c>
      <c r="AM127" s="54">
        <f t="shared" si="34"/>
        <v>49524</v>
      </c>
      <c r="AN127" s="19">
        <v>46147</v>
      </c>
      <c r="AO127" s="487">
        <f t="shared" si="35"/>
        <v>0.16606804728781244</v>
      </c>
      <c r="AP127" s="487">
        <f t="shared" si="36"/>
        <v>0.15128158524678503</v>
      </c>
      <c r="AQ127" s="486">
        <f t="shared" si="37"/>
        <v>0.16619962090540441</v>
      </c>
      <c r="AR127" s="486">
        <f t="shared" si="38"/>
        <v>7.795061792303426E-2</v>
      </c>
      <c r="AS127" s="472">
        <f t="shared" si="39"/>
        <v>0.1879782200724236</v>
      </c>
      <c r="AT127" s="472">
        <f t="shared" si="40"/>
        <v>0.27544875818165404</v>
      </c>
      <c r="AU127" s="472">
        <f t="shared" si="41"/>
        <v>-0.38384006756456412</v>
      </c>
      <c r="AV127" s="472">
        <f t="shared" si="42"/>
        <v>-0.6924385265817864</v>
      </c>
      <c r="AW127" s="472">
        <f t="shared" si="43"/>
        <v>-6.4386933670414481E-2</v>
      </c>
      <c r="AX127" s="472">
        <f t="shared" si="44"/>
        <v>-0.15140623371208173</v>
      </c>
      <c r="AY127" s="472">
        <f t="shared" si="45"/>
        <v>2.7814862385321102</v>
      </c>
      <c r="AZ127" s="472">
        <f t="shared" si="46"/>
        <v>5.5115475306049877E-2</v>
      </c>
      <c r="BA127" s="472">
        <f t="shared" si="47"/>
        <v>0.22385145210537538</v>
      </c>
      <c r="BB127" s="472">
        <f t="shared" si="48"/>
        <v>0.63512926352378885</v>
      </c>
      <c r="BC127" s="472">
        <f t="shared" si="49"/>
        <v>0.32516322380391727</v>
      </c>
      <c r="BD127" s="472" t="e">
        <f t="shared" si="52"/>
        <v>#DIV/0!</v>
      </c>
      <c r="BE127" s="472" t="e">
        <f t="shared" si="53"/>
        <v>#DIV/0!</v>
      </c>
    </row>
    <row r="128" spans="1:57" hidden="1" x14ac:dyDescent="0.35">
      <c r="A128" s="19">
        <v>45784</v>
      </c>
      <c r="B128" s="17">
        <v>39489714</v>
      </c>
      <c r="C128" s="17">
        <v>34646775</v>
      </c>
      <c r="D128" s="17">
        <v>4200470.7241379311</v>
      </c>
      <c r="E128" s="17">
        <v>5018467</v>
      </c>
      <c r="F128" s="484">
        <f t="shared" si="27"/>
        <v>3402239.7241379311</v>
      </c>
      <c r="G128" s="484">
        <f t="shared" si="28"/>
        <v>4229824</v>
      </c>
      <c r="H128" s="484">
        <f t="shared" si="29"/>
        <v>798231</v>
      </c>
      <c r="I128" s="484">
        <f t="shared" si="30"/>
        <v>788643</v>
      </c>
      <c r="J128" s="19">
        <v>46148</v>
      </c>
      <c r="K128" s="17">
        <v>6152825.8702747505</v>
      </c>
      <c r="L128" s="17">
        <v>5175071.3334592404</v>
      </c>
      <c r="M128" s="17">
        <v>977754.53681551002</v>
      </c>
      <c r="N128" s="17">
        <v>3194165</v>
      </c>
      <c r="O128" s="17">
        <v>4088680</v>
      </c>
      <c r="P128" s="17">
        <v>17851.724137931</v>
      </c>
      <c r="Q128" s="17">
        <v>22236</v>
      </c>
      <c r="R128" s="17">
        <v>61190</v>
      </c>
      <c r="S128" s="17">
        <v>15858</v>
      </c>
      <c r="T128" s="17">
        <v>12303</v>
      </c>
      <c r="U128" s="17">
        <v>0</v>
      </c>
      <c r="V128" s="17">
        <v>116730</v>
      </c>
      <c r="W128" s="17">
        <v>103050</v>
      </c>
      <c r="X128" s="17">
        <v>705144</v>
      </c>
      <c r="Y128" s="17">
        <v>584166</v>
      </c>
      <c r="Z128" s="17">
        <v>60042</v>
      </c>
      <c r="AA128" s="17">
        <v>168986</v>
      </c>
      <c r="AB128" s="17">
        <v>17079</v>
      </c>
      <c r="AC128" s="17">
        <v>21276</v>
      </c>
      <c r="AD128" s="17">
        <v>15966</v>
      </c>
      <c r="AE128" s="17">
        <v>9621</v>
      </c>
      <c r="AF128" s="17">
        <v>0</v>
      </c>
      <c r="AG128" s="17">
        <v>4594</v>
      </c>
      <c r="AH128" s="17">
        <v>0</v>
      </c>
      <c r="AI128" s="17">
        <v>0</v>
      </c>
      <c r="AJ128" s="54">
        <f t="shared" si="31"/>
        <v>765186</v>
      </c>
      <c r="AK128" s="54">
        <f t="shared" si="32"/>
        <v>753152</v>
      </c>
      <c r="AL128" s="54">
        <f t="shared" si="33"/>
        <v>33045</v>
      </c>
      <c r="AM128" s="54">
        <f t="shared" si="34"/>
        <v>30897</v>
      </c>
      <c r="AN128" s="19">
        <v>46148</v>
      </c>
      <c r="AO128" s="487">
        <f t="shared" si="35"/>
        <v>-0.12263798618546595</v>
      </c>
      <c r="AP128" s="487">
        <f t="shared" si="36"/>
        <v>0.19473919224373293</v>
      </c>
      <c r="AQ128" s="486">
        <f t="shared" si="37"/>
        <v>0.24324690291239381</v>
      </c>
      <c r="AR128" s="486">
        <f t="shared" si="38"/>
        <v>-1.2011560563295554E-2</v>
      </c>
      <c r="AS128" s="472">
        <f t="shared" si="39"/>
        <v>0.28004658494473511</v>
      </c>
      <c r="AT128" s="472">
        <f t="shared" si="40"/>
        <v>0.24559397334363764</v>
      </c>
      <c r="AU128" s="472">
        <f t="shared" si="41"/>
        <v>-0.74084000653701587</v>
      </c>
      <c r="AV128" s="472">
        <f t="shared" si="42"/>
        <v>-1</v>
      </c>
      <c r="AW128" s="472">
        <f t="shared" si="43"/>
        <v>-0.1171935235158057</v>
      </c>
      <c r="AX128" s="472">
        <f t="shared" si="44"/>
        <v>-0.17156495694496443</v>
      </c>
      <c r="AY128" s="472">
        <f t="shared" si="45"/>
        <v>1.8144632090869726</v>
      </c>
      <c r="AZ128" s="472">
        <f t="shared" si="46"/>
        <v>-1.5726895160131038E-2</v>
      </c>
      <c r="BA128" s="472">
        <f t="shared" si="47"/>
        <v>0.24574038292640088</v>
      </c>
      <c r="BB128" s="472">
        <f t="shared" si="48"/>
        <v>-0.39740698985343859</v>
      </c>
      <c r="BC128" s="472">
        <f t="shared" si="49"/>
        <v>-6.5002269632319587E-2</v>
      </c>
      <c r="BD128" s="472" t="e">
        <f t="shared" si="52"/>
        <v>#DIV/0!</v>
      </c>
      <c r="BE128" s="472" t="e">
        <f t="shared" si="53"/>
        <v>#DIV/0!</v>
      </c>
    </row>
    <row r="129" spans="1:57" hidden="1" x14ac:dyDescent="0.35">
      <c r="A129" s="16">
        <v>45785</v>
      </c>
      <c r="B129" s="17">
        <v>45546209</v>
      </c>
      <c r="C129" s="17">
        <v>41686093</v>
      </c>
      <c r="D129" s="17">
        <v>2894740.7931034481</v>
      </c>
      <c r="E129" s="17">
        <v>3967857</v>
      </c>
      <c r="F129" s="484">
        <f t="shared" si="27"/>
        <v>2137501.7931034481</v>
      </c>
      <c r="G129" s="484">
        <f t="shared" si="28"/>
        <v>3370444</v>
      </c>
      <c r="H129" s="484">
        <f t="shared" si="29"/>
        <v>757239</v>
      </c>
      <c r="I129" s="484">
        <f t="shared" si="30"/>
        <v>597413</v>
      </c>
      <c r="J129" s="19">
        <v>46149</v>
      </c>
      <c r="K129" s="17">
        <v>5371374.2149370881</v>
      </c>
      <c r="L129" s="17">
        <v>4409425.7740396904</v>
      </c>
      <c r="M129" s="17">
        <v>961948.44089739805</v>
      </c>
      <c r="N129" s="17">
        <v>2000980</v>
      </c>
      <c r="O129" s="17">
        <v>3214171</v>
      </c>
      <c r="P129" s="17">
        <v>18313.793103448301</v>
      </c>
      <c r="Q129" s="17">
        <v>22409</v>
      </c>
      <c r="R129" s="17">
        <v>30809</v>
      </c>
      <c r="S129" s="17">
        <v>45962</v>
      </c>
      <c r="T129" s="17">
        <v>14752</v>
      </c>
      <c r="U129" s="17">
        <v>0</v>
      </c>
      <c r="V129" s="17">
        <v>72647</v>
      </c>
      <c r="W129" s="17">
        <v>87902</v>
      </c>
      <c r="X129" s="17">
        <v>653374</v>
      </c>
      <c r="Y129" s="17">
        <v>433044</v>
      </c>
      <c r="Z129" s="17">
        <v>69136</v>
      </c>
      <c r="AA129" s="17">
        <v>142471</v>
      </c>
      <c r="AB129" s="17">
        <v>20501</v>
      </c>
      <c r="AC129" s="17">
        <v>10390</v>
      </c>
      <c r="AD129" s="17">
        <v>14228</v>
      </c>
      <c r="AE129" s="17">
        <v>7381</v>
      </c>
      <c r="AF129" s="17">
        <v>0</v>
      </c>
      <c r="AG129" s="17">
        <v>2879</v>
      </c>
      <c r="AH129" s="17">
        <v>0</v>
      </c>
      <c r="AI129" s="17">
        <v>1248</v>
      </c>
      <c r="AJ129" s="54">
        <f t="shared" si="31"/>
        <v>722510</v>
      </c>
      <c r="AK129" s="54">
        <f t="shared" si="32"/>
        <v>575515</v>
      </c>
      <c r="AL129" s="54">
        <f t="shared" si="33"/>
        <v>34729</v>
      </c>
      <c r="AM129" s="54">
        <f t="shared" si="34"/>
        <v>17771</v>
      </c>
      <c r="AN129" s="19">
        <v>46149</v>
      </c>
      <c r="AO129" s="487">
        <f t="shared" si="35"/>
        <v>-8.4751642008229489E-2</v>
      </c>
      <c r="AP129" s="487">
        <f t="shared" si="36"/>
        <v>0.3707123654916491</v>
      </c>
      <c r="AQ129" s="486">
        <f t="shared" si="37"/>
        <v>0.57681458367641314</v>
      </c>
      <c r="AR129" s="486">
        <f t="shared" si="38"/>
        <v>-0.21106414223250525</v>
      </c>
      <c r="AS129" s="472">
        <f t="shared" si="39"/>
        <v>0.60629841377724913</v>
      </c>
      <c r="AT129" s="472">
        <f t="shared" si="40"/>
        <v>0.22361325550743572</v>
      </c>
      <c r="AU129" s="472">
        <f t="shared" si="41"/>
        <v>0.49183680093479176</v>
      </c>
      <c r="AV129" s="472">
        <f t="shared" si="42"/>
        <v>-1</v>
      </c>
      <c r="AW129" s="472">
        <f t="shared" si="43"/>
        <v>0.20998802428180108</v>
      </c>
      <c r="AX129" s="472">
        <f t="shared" si="44"/>
        <v>-0.33721880576821239</v>
      </c>
      <c r="AY129" s="472">
        <f t="shared" si="45"/>
        <v>1.0607353621846793</v>
      </c>
      <c r="AZ129" s="472">
        <f t="shared" si="46"/>
        <v>-0.20345047127375404</v>
      </c>
      <c r="BA129" s="472">
        <f t="shared" si="47"/>
        <v>-0.49319545388029851</v>
      </c>
      <c r="BB129" s="472">
        <f t="shared" si="48"/>
        <v>-0.48123418611189206</v>
      </c>
      <c r="BC129" s="472">
        <f t="shared" si="49"/>
        <v>-0.48829508479944717</v>
      </c>
      <c r="BD129" s="472" t="e">
        <f t="shared" si="52"/>
        <v>#DIV/0!</v>
      </c>
      <c r="BE129" s="472" t="e">
        <f t="shared" si="53"/>
        <v>#DIV/0!</v>
      </c>
    </row>
    <row r="130" spans="1:57" hidden="1" x14ac:dyDescent="0.35">
      <c r="A130" s="19">
        <v>45786</v>
      </c>
      <c r="B130" s="17">
        <v>51077737</v>
      </c>
      <c r="C130" s="17">
        <v>43156233</v>
      </c>
      <c r="D130" s="17">
        <v>2085135.0344827585</v>
      </c>
      <c r="E130" s="17">
        <v>2461360</v>
      </c>
      <c r="F130" s="484">
        <f t="shared" si="27"/>
        <v>1522812.0344827585</v>
      </c>
      <c r="G130" s="484">
        <f t="shared" si="28"/>
        <v>1695505</v>
      </c>
      <c r="H130" s="484">
        <f t="shared" si="29"/>
        <v>562323</v>
      </c>
      <c r="I130" s="484">
        <f t="shared" si="30"/>
        <v>765855</v>
      </c>
      <c r="J130" s="19">
        <v>46150</v>
      </c>
      <c r="K130" s="17">
        <v>3695975.1329928571</v>
      </c>
      <c r="L130" s="17">
        <v>2783426.1647910401</v>
      </c>
      <c r="M130" s="17">
        <v>912548.96820181701</v>
      </c>
      <c r="N130" s="17">
        <v>1368567</v>
      </c>
      <c r="O130" s="17">
        <v>1615018</v>
      </c>
      <c r="P130" s="17">
        <v>19131.034482758601</v>
      </c>
      <c r="Q130" s="17">
        <v>19192</v>
      </c>
      <c r="R130" s="17">
        <v>16561</v>
      </c>
      <c r="S130" s="17">
        <v>7092</v>
      </c>
      <c r="T130" s="17">
        <v>4452</v>
      </c>
      <c r="U130" s="17">
        <v>1998</v>
      </c>
      <c r="V130" s="17">
        <v>114101</v>
      </c>
      <c r="W130" s="17">
        <v>52205</v>
      </c>
      <c r="X130" s="17">
        <v>495524</v>
      </c>
      <c r="Y130" s="17">
        <v>453556</v>
      </c>
      <c r="Z130" s="17">
        <v>50019</v>
      </c>
      <c r="AA130" s="17">
        <v>262519</v>
      </c>
      <c r="AB130" s="17">
        <v>9383</v>
      </c>
      <c r="AC130" s="17">
        <v>32442</v>
      </c>
      <c r="AD130" s="17">
        <v>7397</v>
      </c>
      <c r="AE130" s="17">
        <v>12700</v>
      </c>
      <c r="AF130" s="17">
        <v>0</v>
      </c>
      <c r="AG130" s="17">
        <v>3174</v>
      </c>
      <c r="AH130" s="17">
        <v>0</v>
      </c>
      <c r="AI130" s="17">
        <v>1464</v>
      </c>
      <c r="AJ130" s="54">
        <f t="shared" si="31"/>
        <v>545543</v>
      </c>
      <c r="AK130" s="54">
        <f t="shared" si="32"/>
        <v>716075</v>
      </c>
      <c r="AL130" s="54">
        <f t="shared" si="33"/>
        <v>16780</v>
      </c>
      <c r="AM130" s="54">
        <f t="shared" si="34"/>
        <v>45142</v>
      </c>
      <c r="AN130" s="19">
        <v>46150</v>
      </c>
      <c r="AO130" s="487">
        <f t="shared" si="35"/>
        <v>-0.15508721539484027</v>
      </c>
      <c r="AP130" s="487">
        <f t="shared" si="36"/>
        <v>0.18043194291758113</v>
      </c>
      <c r="AQ130" s="486">
        <f t="shared" si="37"/>
        <v>0.11340399314344718</v>
      </c>
      <c r="AR130" s="486">
        <f t="shared" si="38"/>
        <v>0.36194855981348795</v>
      </c>
      <c r="AS130" s="472">
        <f t="shared" si="39"/>
        <v>0.18007960151019287</v>
      </c>
      <c r="AT130" s="472">
        <f t="shared" si="40"/>
        <v>3.1867339581841403E-3</v>
      </c>
      <c r="AU130" s="472">
        <f t="shared" si="41"/>
        <v>-0.57176499003683356</v>
      </c>
      <c r="AV130" s="472">
        <f t="shared" si="42"/>
        <v>-0.55121293800539084</v>
      </c>
      <c r="AW130" s="472">
        <f t="shared" si="43"/>
        <v>-0.54246676190392717</v>
      </c>
      <c r="AX130" s="472">
        <f t="shared" si="44"/>
        <v>-8.4694182320129818E-2</v>
      </c>
      <c r="AY130" s="472">
        <f t="shared" si="45"/>
        <v>4.2483856134668825</v>
      </c>
      <c r="AZ130" s="472">
        <f t="shared" si="46"/>
        <v>0.31259130810953484</v>
      </c>
      <c r="BA130" s="472">
        <f t="shared" si="47"/>
        <v>2.4575295747628689</v>
      </c>
      <c r="BB130" s="472">
        <f t="shared" si="48"/>
        <v>0.71691226172772748</v>
      </c>
      <c r="BC130" s="472">
        <f t="shared" si="49"/>
        <v>1.6902264600715138</v>
      </c>
      <c r="BD130" s="472" t="e">
        <f t="shared" si="52"/>
        <v>#DIV/0!</v>
      </c>
      <c r="BE130" s="472" t="e">
        <f t="shared" si="53"/>
        <v>#DIV/0!</v>
      </c>
    </row>
    <row r="131" spans="1:57" hidden="1" x14ac:dyDescent="0.35">
      <c r="A131" s="16">
        <v>45787</v>
      </c>
      <c r="B131" s="17">
        <v>40072359</v>
      </c>
      <c r="C131" s="17">
        <v>60125006</v>
      </c>
      <c r="D131" s="17">
        <v>1746464.8275862068</v>
      </c>
      <c r="E131" s="17">
        <v>2259760</v>
      </c>
      <c r="F131" s="484">
        <f t="shared" ref="F131:F194" si="54">SUM(N131,P131,R131,T131,V131)</f>
        <v>1203062.8275862068</v>
      </c>
      <c r="G131" s="484">
        <f t="shared" ref="G131:G194" si="55">SUM(O131,Q131,S131,U131,W131)</f>
        <v>1685511</v>
      </c>
      <c r="H131" s="484">
        <f t="shared" ref="H131:H194" si="56">SUM(X131,Z131,AB131,AD131,AF131,AH131)</f>
        <v>543402</v>
      </c>
      <c r="I131" s="484">
        <f t="shared" ref="I131:I194" si="57">SUM(Y131,AA131,AC131,AE131,AG131,AI131)</f>
        <v>574249</v>
      </c>
      <c r="J131" s="19">
        <v>46151</v>
      </c>
      <c r="K131" s="17">
        <v>2650696.7502161767</v>
      </c>
      <c r="L131" s="17">
        <v>1973041.1177855299</v>
      </c>
      <c r="M131" s="17">
        <v>677655.63243064703</v>
      </c>
      <c r="N131" s="17">
        <v>1100345</v>
      </c>
      <c r="O131" s="17">
        <v>1558074</v>
      </c>
      <c r="P131" s="17">
        <v>16069.8275862069</v>
      </c>
      <c r="Q131" s="17">
        <v>23729</v>
      </c>
      <c r="R131" s="17">
        <v>8962</v>
      </c>
      <c r="S131" s="17">
        <v>12190</v>
      </c>
      <c r="T131" s="17">
        <v>3222</v>
      </c>
      <c r="U131" s="17">
        <v>4102</v>
      </c>
      <c r="V131" s="17">
        <v>74464</v>
      </c>
      <c r="W131" s="17">
        <v>87416</v>
      </c>
      <c r="X131" s="17">
        <v>461097</v>
      </c>
      <c r="Y131" s="17">
        <v>361074</v>
      </c>
      <c r="Z131" s="17">
        <v>61803</v>
      </c>
      <c r="AA131" s="17">
        <v>192329</v>
      </c>
      <c r="AB131" s="17">
        <v>8257</v>
      </c>
      <c r="AC131" s="17">
        <v>9552</v>
      </c>
      <c r="AD131" s="17">
        <v>12245</v>
      </c>
      <c r="AE131" s="17">
        <v>10260</v>
      </c>
      <c r="AF131" s="17">
        <v>0</v>
      </c>
      <c r="AG131" s="17">
        <v>388</v>
      </c>
      <c r="AH131" s="17">
        <v>0</v>
      </c>
      <c r="AI131" s="17">
        <v>646</v>
      </c>
      <c r="AJ131" s="54">
        <f t="shared" ref="AJ131:AJ194" si="58">X131+Z131</f>
        <v>522900</v>
      </c>
      <c r="AK131" s="54">
        <f t="shared" ref="AK131:AK194" si="59">Y131+AA131</f>
        <v>553403</v>
      </c>
      <c r="AL131" s="54">
        <f t="shared" ref="AL131:AL194" si="60">AD131+AB131</f>
        <v>20502</v>
      </c>
      <c r="AM131" s="54">
        <f t="shared" ref="AM131:AM194" si="61">AE131+AC131</f>
        <v>19812</v>
      </c>
      <c r="AN131" s="19">
        <v>46151</v>
      </c>
      <c r="AO131" s="487">
        <f t="shared" ref="AO131:AO194" si="62">C131/B131-1</f>
        <v>0.5004109441123743</v>
      </c>
      <c r="AP131" s="487">
        <f t="shared" ref="AP131:AP194" si="63">E131/D131-1</f>
        <v>0.29390524464395873</v>
      </c>
      <c r="AQ131" s="486">
        <f t="shared" ref="AQ131:AQ194" si="64">G131/F131-1</f>
        <v>0.40101660640763392</v>
      </c>
      <c r="AR131" s="486">
        <f t="shared" ref="AR131:AR194" si="65">I131/H131-1</f>
        <v>5.6766445467627991E-2</v>
      </c>
      <c r="AS131" s="472">
        <f t="shared" ref="AS131:AS194" si="66">O131/N131-1</f>
        <v>0.41598680413870204</v>
      </c>
      <c r="AT131" s="472">
        <f t="shared" ref="AT131:AT194" si="67">Q131/P131-1</f>
        <v>0.47661820717772607</v>
      </c>
      <c r="AU131" s="472">
        <f t="shared" ref="AU131:AU194" si="68">S131/R131-1</f>
        <v>0.36018745815666153</v>
      </c>
      <c r="AV131" s="472">
        <f t="shared" ref="AV131:AV194" si="69">U131/T131-1</f>
        <v>0.27312228429546859</v>
      </c>
      <c r="AW131" s="472">
        <f t="shared" ref="AW131:AW194" si="70">W131/V131-1</f>
        <v>0.17393639879673395</v>
      </c>
      <c r="AX131" s="472">
        <f t="shared" ref="AX131:AX194" si="71">Y131/X131-1</f>
        <v>-0.21692398779432531</v>
      </c>
      <c r="AY131" s="472">
        <f t="shared" ref="AY131:AY194" si="72">AA131/Z131-1</f>
        <v>2.1119686746598063</v>
      </c>
      <c r="AZ131" s="472">
        <f t="shared" ref="AZ131:AZ194" si="73">AK131/AJ131-1</f>
        <v>5.8334289539108797E-2</v>
      </c>
      <c r="BA131" s="472">
        <f t="shared" ref="BA131:BA194" si="74">AC131/AB131-1</f>
        <v>0.15683662347099436</v>
      </c>
      <c r="BB131" s="472">
        <f t="shared" ref="BB131:BB194" si="75">AE131/AD131-1</f>
        <v>-0.16210698244181299</v>
      </c>
      <c r="BC131" s="472">
        <f t="shared" ref="BC131:BC194" si="76">AM131/AL131-1</f>
        <v>-3.3655253146034569E-2</v>
      </c>
      <c r="BD131" s="472" t="e">
        <f t="shared" ref="BD131:BD153" si="77">AG131/AF131-1</f>
        <v>#DIV/0!</v>
      </c>
      <c r="BE131" s="472" t="e">
        <f t="shared" ref="BE131:BE153" si="78">AI131/AH131-1</f>
        <v>#DIV/0!</v>
      </c>
    </row>
    <row r="132" spans="1:57" hidden="1" x14ac:dyDescent="0.35">
      <c r="A132" s="19">
        <v>45788</v>
      </c>
      <c r="B132" s="17">
        <v>40325337</v>
      </c>
      <c r="C132" s="17">
        <v>36716841</v>
      </c>
      <c r="D132" s="17">
        <v>2103151.2758620689</v>
      </c>
      <c r="E132" s="17">
        <v>2560763</v>
      </c>
      <c r="F132" s="484">
        <f t="shared" si="54"/>
        <v>1632957.2758620691</v>
      </c>
      <c r="G132" s="484">
        <f t="shared" si="55"/>
        <v>1990844</v>
      </c>
      <c r="H132" s="484">
        <f t="shared" si="56"/>
        <v>470194</v>
      </c>
      <c r="I132" s="484">
        <f t="shared" si="57"/>
        <v>569919</v>
      </c>
      <c r="J132" s="19">
        <v>46152</v>
      </c>
      <c r="K132" s="17">
        <v>2216972.367587375</v>
      </c>
      <c r="L132" s="17">
        <v>1562118.43848599</v>
      </c>
      <c r="M132" s="17">
        <v>654853.92910138494</v>
      </c>
      <c r="N132" s="17">
        <v>1540924</v>
      </c>
      <c r="O132" s="17">
        <v>1920563</v>
      </c>
      <c r="P132" s="17">
        <v>20098.275862069</v>
      </c>
      <c r="Q132" s="17">
        <v>20514</v>
      </c>
      <c r="R132" s="17">
        <v>2643</v>
      </c>
      <c r="S132" s="17">
        <v>-705</v>
      </c>
      <c r="T132" s="17">
        <v>4578</v>
      </c>
      <c r="U132" s="17">
        <v>2209</v>
      </c>
      <c r="V132" s="17">
        <v>64714</v>
      </c>
      <c r="W132" s="17">
        <v>48263</v>
      </c>
      <c r="X132" s="17">
        <v>382228</v>
      </c>
      <c r="Y132" s="17">
        <v>395528</v>
      </c>
      <c r="Z132" s="17">
        <v>63782</v>
      </c>
      <c r="AA132" s="17">
        <v>141929</v>
      </c>
      <c r="AB132" s="17">
        <v>16117</v>
      </c>
      <c r="AC132" s="17">
        <v>24844</v>
      </c>
      <c r="AD132" s="17">
        <v>8067</v>
      </c>
      <c r="AE132" s="17">
        <v>7362</v>
      </c>
      <c r="AF132" s="17">
        <v>0</v>
      </c>
      <c r="AG132" s="17">
        <v>256</v>
      </c>
      <c r="AH132" s="17">
        <v>0</v>
      </c>
      <c r="AI132" s="17">
        <v>0</v>
      </c>
      <c r="AJ132" s="54">
        <f t="shared" si="58"/>
        <v>446010</v>
      </c>
      <c r="AK132" s="54">
        <f t="shared" si="59"/>
        <v>537457</v>
      </c>
      <c r="AL132" s="54">
        <f t="shared" si="60"/>
        <v>24184</v>
      </c>
      <c r="AM132" s="54">
        <f t="shared" si="61"/>
        <v>32206</v>
      </c>
      <c r="AN132" s="19">
        <v>46152</v>
      </c>
      <c r="AO132" s="487">
        <f t="shared" si="62"/>
        <v>-8.9484583848611132E-2</v>
      </c>
      <c r="AP132" s="487">
        <f t="shared" si="63"/>
        <v>0.21758383687847593</v>
      </c>
      <c r="AQ132" s="486">
        <f t="shared" si="64"/>
        <v>0.21916478123960448</v>
      </c>
      <c r="AR132" s="486">
        <f t="shared" si="65"/>
        <v>0.21209330616724165</v>
      </c>
      <c r="AS132" s="472">
        <f t="shared" si="66"/>
        <v>0.24637100856369298</v>
      </c>
      <c r="AT132" s="472">
        <f t="shared" si="67"/>
        <v>2.0684567212831739E-2</v>
      </c>
      <c r="AU132" s="472">
        <f t="shared" si="68"/>
        <v>-1.2667423382519865</v>
      </c>
      <c r="AV132" s="472">
        <f t="shared" si="69"/>
        <v>-0.51747487986020091</v>
      </c>
      <c r="AW132" s="472">
        <f t="shared" si="70"/>
        <v>-0.25421083536792655</v>
      </c>
      <c r="AX132" s="472">
        <f t="shared" si="71"/>
        <v>3.4795985642077421E-2</v>
      </c>
      <c r="AY132" s="472">
        <f t="shared" si="72"/>
        <v>1.225220281584146</v>
      </c>
      <c r="AZ132" s="472">
        <f t="shared" si="73"/>
        <v>0.20503351942781545</v>
      </c>
      <c r="BA132" s="472">
        <f t="shared" si="74"/>
        <v>0.54147794254513859</v>
      </c>
      <c r="BB132" s="472">
        <f t="shared" si="75"/>
        <v>-8.7393082930457444E-2</v>
      </c>
      <c r="BC132" s="472">
        <f t="shared" si="76"/>
        <v>0.33170691366192528</v>
      </c>
      <c r="BD132" s="472" t="e">
        <f t="shared" si="77"/>
        <v>#DIV/0!</v>
      </c>
      <c r="BE132" s="472" t="e">
        <f t="shared" si="78"/>
        <v>#DIV/0!</v>
      </c>
    </row>
    <row r="133" spans="1:57" hidden="1" x14ac:dyDescent="0.35">
      <c r="A133" s="16">
        <v>45789</v>
      </c>
      <c r="B133" s="17">
        <v>23242388</v>
      </c>
      <c r="C133" s="17">
        <v>23190846</v>
      </c>
      <c r="D133" s="17">
        <v>3090290.5517241377</v>
      </c>
      <c r="E133" s="17">
        <v>3115453</v>
      </c>
      <c r="F133" s="484">
        <f t="shared" si="54"/>
        <v>2561867.5517241377</v>
      </c>
      <c r="G133" s="484">
        <f t="shared" si="55"/>
        <v>2557182</v>
      </c>
      <c r="H133" s="484">
        <f t="shared" si="56"/>
        <v>528423</v>
      </c>
      <c r="I133" s="484">
        <f t="shared" si="57"/>
        <v>558271</v>
      </c>
      <c r="J133" s="19">
        <v>46153</v>
      </c>
      <c r="K133" s="17">
        <v>2692193.9660598803</v>
      </c>
      <c r="L133" s="17">
        <v>2125563.0218603802</v>
      </c>
      <c r="M133" s="17">
        <v>566630.94419950002</v>
      </c>
      <c r="N133" s="17">
        <v>2436435</v>
      </c>
      <c r="O133" s="17">
        <v>2440025</v>
      </c>
      <c r="P133" s="17">
        <v>21396.551724137898</v>
      </c>
      <c r="Q133" s="17">
        <v>21672</v>
      </c>
      <c r="R133" s="17">
        <v>14035</v>
      </c>
      <c r="S133" s="17">
        <v>29073</v>
      </c>
      <c r="T133" s="17">
        <v>14004</v>
      </c>
      <c r="U133" s="17">
        <v>5953</v>
      </c>
      <c r="V133" s="17">
        <v>75997</v>
      </c>
      <c r="W133" s="17">
        <v>60459</v>
      </c>
      <c r="X133" s="17">
        <v>401282</v>
      </c>
      <c r="Y133" s="17">
        <v>409424</v>
      </c>
      <c r="Z133" s="17">
        <v>95820</v>
      </c>
      <c r="AA133" s="17">
        <v>123764</v>
      </c>
      <c r="AB133" s="17">
        <v>24006</v>
      </c>
      <c r="AC133" s="17">
        <v>11328</v>
      </c>
      <c r="AD133" s="17">
        <v>7315</v>
      </c>
      <c r="AE133" s="17">
        <v>10655</v>
      </c>
      <c r="AF133" s="17">
        <v>0</v>
      </c>
      <c r="AG133" s="17">
        <v>991</v>
      </c>
      <c r="AH133" s="17">
        <v>0</v>
      </c>
      <c r="AI133" s="17">
        <v>2109</v>
      </c>
      <c r="AJ133" s="54">
        <f t="shared" si="58"/>
        <v>497102</v>
      </c>
      <c r="AK133" s="54">
        <f t="shared" si="59"/>
        <v>533188</v>
      </c>
      <c r="AL133" s="54">
        <f t="shared" si="60"/>
        <v>31321</v>
      </c>
      <c r="AM133" s="54">
        <f t="shared" si="61"/>
        <v>21983</v>
      </c>
      <c r="AN133" s="19">
        <v>46153</v>
      </c>
      <c r="AO133" s="487">
        <f t="shared" si="62"/>
        <v>-2.217586248022374E-3</v>
      </c>
      <c r="AP133" s="487">
        <f t="shared" si="63"/>
        <v>8.1424215149683565E-3</v>
      </c>
      <c r="AQ133" s="486">
        <f t="shared" si="64"/>
        <v>-1.8289593936986481E-3</v>
      </c>
      <c r="AR133" s="486">
        <f t="shared" si="65"/>
        <v>5.6485050802103531E-2</v>
      </c>
      <c r="AS133" s="472">
        <f t="shared" si="66"/>
        <v>1.4734643033775807E-3</v>
      </c>
      <c r="AT133" s="472">
        <f t="shared" si="67"/>
        <v>1.2873489121677517E-2</v>
      </c>
      <c r="AU133" s="472">
        <f t="shared" si="68"/>
        <v>1.0714641966512293</v>
      </c>
      <c r="AV133" s="472">
        <f t="shared" si="69"/>
        <v>-0.57490716938017705</v>
      </c>
      <c r="AW133" s="472">
        <f t="shared" si="70"/>
        <v>-0.20445543903048802</v>
      </c>
      <c r="AX133" s="472">
        <f t="shared" si="71"/>
        <v>2.0289970644085775E-2</v>
      </c>
      <c r="AY133" s="472">
        <f t="shared" si="72"/>
        <v>0.29163013984554365</v>
      </c>
      <c r="AZ133" s="472">
        <f t="shared" si="73"/>
        <v>7.2592747564885984E-2</v>
      </c>
      <c r="BA133" s="472">
        <f t="shared" si="74"/>
        <v>-0.52811797050737308</v>
      </c>
      <c r="BB133" s="472">
        <f t="shared" si="75"/>
        <v>0.456596035543404</v>
      </c>
      <c r="BC133" s="472">
        <f t="shared" si="76"/>
        <v>-0.2981386290348329</v>
      </c>
      <c r="BD133" s="472" t="e">
        <f t="shared" si="77"/>
        <v>#DIV/0!</v>
      </c>
      <c r="BE133" s="472" t="e">
        <f t="shared" si="78"/>
        <v>#DIV/0!</v>
      </c>
    </row>
    <row r="134" spans="1:57" hidden="1" x14ac:dyDescent="0.35">
      <c r="A134" s="19">
        <v>45790</v>
      </c>
      <c r="B134" s="17">
        <v>25300042</v>
      </c>
      <c r="C134" s="17">
        <v>22809337</v>
      </c>
      <c r="D134" s="17">
        <v>3459932.4137931033</v>
      </c>
      <c r="E134" s="17">
        <v>3470071</v>
      </c>
      <c r="F134" s="484">
        <f t="shared" si="54"/>
        <v>2923768.4137931033</v>
      </c>
      <c r="G134" s="484">
        <f t="shared" si="55"/>
        <v>2918804</v>
      </c>
      <c r="H134" s="484">
        <f t="shared" si="56"/>
        <v>536164</v>
      </c>
      <c r="I134" s="484">
        <f t="shared" si="57"/>
        <v>551267</v>
      </c>
      <c r="J134" s="19">
        <v>46154</v>
      </c>
      <c r="K134" s="17">
        <v>3977917.8176610083</v>
      </c>
      <c r="L134" s="17">
        <v>3341115.0863910802</v>
      </c>
      <c r="M134" s="17">
        <v>636802.73126992804</v>
      </c>
      <c r="N134" s="17">
        <v>2811134</v>
      </c>
      <c r="O134" s="17">
        <v>2815317</v>
      </c>
      <c r="P134" s="17">
        <v>23572.413793103398</v>
      </c>
      <c r="Q134" s="17">
        <v>21451</v>
      </c>
      <c r="R134" s="17">
        <v>40509</v>
      </c>
      <c r="S134" s="17">
        <v>23262</v>
      </c>
      <c r="T134" s="17">
        <v>1759</v>
      </c>
      <c r="U134" s="17">
        <v>3933</v>
      </c>
      <c r="V134" s="17">
        <v>46794</v>
      </c>
      <c r="W134" s="17">
        <v>54841</v>
      </c>
      <c r="X134" s="17">
        <v>386009</v>
      </c>
      <c r="Y134" s="17">
        <v>383123</v>
      </c>
      <c r="Z134" s="17">
        <v>119690</v>
      </c>
      <c r="AA134" s="17">
        <v>135469</v>
      </c>
      <c r="AB134" s="17">
        <v>21353</v>
      </c>
      <c r="AC134" s="17">
        <v>16632</v>
      </c>
      <c r="AD134" s="17">
        <v>9112</v>
      </c>
      <c r="AE134" s="17">
        <v>10371</v>
      </c>
      <c r="AF134" s="17">
        <v>0</v>
      </c>
      <c r="AG134" s="17">
        <v>1022</v>
      </c>
      <c r="AH134" s="17">
        <v>0</v>
      </c>
      <c r="AI134" s="17">
        <v>4650</v>
      </c>
      <c r="AJ134" s="54">
        <f t="shared" si="58"/>
        <v>505699</v>
      </c>
      <c r="AK134" s="54">
        <f t="shared" si="59"/>
        <v>518592</v>
      </c>
      <c r="AL134" s="54">
        <f t="shared" si="60"/>
        <v>30465</v>
      </c>
      <c r="AM134" s="54">
        <f t="shared" si="61"/>
        <v>27003</v>
      </c>
      <c r="AN134" s="19">
        <v>46154</v>
      </c>
      <c r="AO134" s="487">
        <f t="shared" si="62"/>
        <v>-9.8446674515402011E-2</v>
      </c>
      <c r="AP134" s="487">
        <f t="shared" si="63"/>
        <v>2.9302844663898764E-3</v>
      </c>
      <c r="AQ134" s="486">
        <f t="shared" si="64"/>
        <v>-1.6979504155265612E-3</v>
      </c>
      <c r="AR134" s="486">
        <f t="shared" si="65"/>
        <v>2.8168620049089377E-2</v>
      </c>
      <c r="AS134" s="472">
        <f t="shared" si="66"/>
        <v>1.488011599589445E-3</v>
      </c>
      <c r="AT134" s="472">
        <f t="shared" si="67"/>
        <v>-8.9995611468693171E-2</v>
      </c>
      <c r="AU134" s="472">
        <f t="shared" si="68"/>
        <v>-0.42575723913204477</v>
      </c>
      <c r="AV134" s="472">
        <f t="shared" si="69"/>
        <v>1.2359295054007959</v>
      </c>
      <c r="AW134" s="472">
        <f t="shared" si="70"/>
        <v>0.17196649143052523</v>
      </c>
      <c r="AX134" s="472">
        <f t="shared" si="71"/>
        <v>-7.4765096150607446E-3</v>
      </c>
      <c r="AY134" s="472">
        <f t="shared" si="72"/>
        <v>0.13183223326927895</v>
      </c>
      <c r="AZ134" s="472">
        <f t="shared" si="73"/>
        <v>2.5495403392136406E-2</v>
      </c>
      <c r="BA134" s="472">
        <f t="shared" si="74"/>
        <v>-0.22109305484006936</v>
      </c>
      <c r="BB134" s="472">
        <f t="shared" si="75"/>
        <v>0.13816944688323085</v>
      </c>
      <c r="BC134" s="472">
        <f t="shared" si="76"/>
        <v>-0.11363860167405215</v>
      </c>
      <c r="BD134" s="472" t="e">
        <f t="shared" si="77"/>
        <v>#DIV/0!</v>
      </c>
      <c r="BE134" s="472" t="e">
        <f t="shared" si="78"/>
        <v>#DIV/0!</v>
      </c>
    </row>
    <row r="135" spans="1:57" hidden="1" x14ac:dyDescent="0.35">
      <c r="A135" s="16">
        <v>45791</v>
      </c>
      <c r="B135" s="17">
        <v>28389964</v>
      </c>
      <c r="C135" s="17">
        <v>27932143</v>
      </c>
      <c r="D135" s="17">
        <v>3483171.3103448278</v>
      </c>
      <c r="E135" s="17">
        <v>4366460</v>
      </c>
      <c r="F135" s="484">
        <f t="shared" si="54"/>
        <v>2879834.3103448278</v>
      </c>
      <c r="G135" s="484">
        <f t="shared" si="55"/>
        <v>3817307</v>
      </c>
      <c r="H135" s="484">
        <f t="shared" si="56"/>
        <v>603337</v>
      </c>
      <c r="I135" s="484">
        <f t="shared" si="57"/>
        <v>549153</v>
      </c>
      <c r="J135" s="19">
        <v>46155</v>
      </c>
      <c r="K135" s="17">
        <v>4432932.8504142966</v>
      </c>
      <c r="L135" s="17">
        <v>3786801.4374958398</v>
      </c>
      <c r="M135" s="17">
        <v>646131.41291845695</v>
      </c>
      <c r="N135" s="17">
        <v>2777558</v>
      </c>
      <c r="O135" s="17">
        <v>3700459</v>
      </c>
      <c r="P135" s="17">
        <v>17204.310344827602</v>
      </c>
      <c r="Q135" s="17">
        <v>26216</v>
      </c>
      <c r="R135" s="17">
        <v>30525</v>
      </c>
      <c r="S135" s="17">
        <v>28501</v>
      </c>
      <c r="T135" s="17">
        <v>2915</v>
      </c>
      <c r="U135" s="17">
        <v>4829</v>
      </c>
      <c r="V135" s="17">
        <v>51632</v>
      </c>
      <c r="W135" s="17">
        <v>57302</v>
      </c>
      <c r="X135" s="17">
        <v>406451</v>
      </c>
      <c r="Y135" s="17">
        <v>381201</v>
      </c>
      <c r="Z135" s="17">
        <v>166963</v>
      </c>
      <c r="AA135" s="17">
        <v>138856</v>
      </c>
      <c r="AB135" s="17">
        <v>21663</v>
      </c>
      <c r="AC135" s="17">
        <v>19491</v>
      </c>
      <c r="AD135" s="17">
        <v>8260</v>
      </c>
      <c r="AE135" s="17">
        <v>6421</v>
      </c>
      <c r="AF135" s="17">
        <v>0</v>
      </c>
      <c r="AG135" s="17">
        <v>1247</v>
      </c>
      <c r="AH135" s="17">
        <v>0</v>
      </c>
      <c r="AI135" s="17">
        <v>1937</v>
      </c>
      <c r="AJ135" s="54">
        <f t="shared" si="58"/>
        <v>573414</v>
      </c>
      <c r="AK135" s="54">
        <f t="shared" si="59"/>
        <v>520057</v>
      </c>
      <c r="AL135" s="54">
        <f t="shared" si="60"/>
        <v>29923</v>
      </c>
      <c r="AM135" s="54">
        <f t="shared" si="61"/>
        <v>25912</v>
      </c>
      <c r="AN135" s="19">
        <v>46155</v>
      </c>
      <c r="AO135" s="487">
        <f t="shared" si="62"/>
        <v>-1.6126156412174408E-2</v>
      </c>
      <c r="AP135" s="487">
        <f t="shared" si="63"/>
        <v>0.25358749569159955</v>
      </c>
      <c r="AQ135" s="486">
        <f t="shared" si="64"/>
        <v>0.32553007868807571</v>
      </c>
      <c r="AR135" s="486">
        <f t="shared" si="65"/>
        <v>-8.9807189017083289E-2</v>
      </c>
      <c r="AS135" s="472">
        <f t="shared" si="66"/>
        <v>0.33227064925376903</v>
      </c>
      <c r="AT135" s="472">
        <f t="shared" si="67"/>
        <v>0.52380417898481602</v>
      </c>
      <c r="AU135" s="472">
        <f t="shared" si="68"/>
        <v>-6.6306306306306295E-2</v>
      </c>
      <c r="AV135" s="472">
        <f t="shared" si="69"/>
        <v>0.65660377358490574</v>
      </c>
      <c r="AW135" s="472">
        <f t="shared" si="70"/>
        <v>0.10981561822125818</v>
      </c>
      <c r="AX135" s="472">
        <f t="shared" si="71"/>
        <v>-6.2123109550720756E-2</v>
      </c>
      <c r="AY135" s="472">
        <f t="shared" si="72"/>
        <v>-0.16834268670304198</v>
      </c>
      <c r="AZ135" s="472">
        <f t="shared" si="73"/>
        <v>-9.305144276212296E-2</v>
      </c>
      <c r="BA135" s="472">
        <f t="shared" si="74"/>
        <v>-0.10026312145132255</v>
      </c>
      <c r="BB135" s="472">
        <f t="shared" si="75"/>
        <v>-0.22263922518159807</v>
      </c>
      <c r="BC135" s="472">
        <f t="shared" si="76"/>
        <v>-0.13404404638572331</v>
      </c>
      <c r="BD135" s="472" t="e">
        <f t="shared" si="77"/>
        <v>#DIV/0!</v>
      </c>
      <c r="BE135" s="472" t="e">
        <f t="shared" si="78"/>
        <v>#DIV/0!</v>
      </c>
    </row>
    <row r="136" spans="1:57" hidden="1" x14ac:dyDescent="0.35">
      <c r="A136" s="19">
        <v>45792</v>
      </c>
      <c r="B136" s="17">
        <v>37812054</v>
      </c>
      <c r="C136" s="17">
        <v>33640854</v>
      </c>
      <c r="D136" s="17">
        <v>3141109.8620689656</v>
      </c>
      <c r="E136" s="17">
        <v>3195610</v>
      </c>
      <c r="F136" s="484">
        <f t="shared" si="54"/>
        <v>2500276.8620689656</v>
      </c>
      <c r="G136" s="484">
        <f t="shared" si="55"/>
        <v>2705430</v>
      </c>
      <c r="H136" s="484">
        <f t="shared" si="56"/>
        <v>640833</v>
      </c>
      <c r="I136" s="484">
        <f t="shared" si="57"/>
        <v>490180</v>
      </c>
      <c r="J136" s="19">
        <v>46156</v>
      </c>
      <c r="K136" s="17">
        <v>4463971.3255278813</v>
      </c>
      <c r="L136" s="17">
        <v>3736889.70819441</v>
      </c>
      <c r="M136" s="17">
        <v>727081.61733347096</v>
      </c>
      <c r="N136" s="17">
        <v>2343626</v>
      </c>
      <c r="O136" s="17">
        <v>2625651</v>
      </c>
      <c r="P136" s="17">
        <v>17875.8620689655</v>
      </c>
      <c r="Q136" s="17">
        <v>10282</v>
      </c>
      <c r="R136" s="17">
        <v>48768</v>
      </c>
      <c r="S136" s="17">
        <v>6634</v>
      </c>
      <c r="T136" s="17">
        <v>1400</v>
      </c>
      <c r="U136" s="17">
        <v>0</v>
      </c>
      <c r="V136" s="17">
        <v>88607</v>
      </c>
      <c r="W136" s="17">
        <v>62863</v>
      </c>
      <c r="X136" s="17">
        <v>449212</v>
      </c>
      <c r="Y136" s="17">
        <v>360073</v>
      </c>
      <c r="Z136" s="17">
        <v>166991</v>
      </c>
      <c r="AA136" s="17">
        <v>105100</v>
      </c>
      <c r="AB136" s="17">
        <v>16715</v>
      </c>
      <c r="AC136" s="17">
        <v>12418</v>
      </c>
      <c r="AD136" s="17">
        <v>7915</v>
      </c>
      <c r="AE136" s="17">
        <v>4862</v>
      </c>
      <c r="AF136" s="17">
        <v>0</v>
      </c>
      <c r="AG136" s="17">
        <v>5230</v>
      </c>
      <c r="AH136" s="17">
        <v>0</v>
      </c>
      <c r="AI136" s="17">
        <v>2497</v>
      </c>
      <c r="AJ136" s="54">
        <f t="shared" si="58"/>
        <v>616203</v>
      </c>
      <c r="AK136" s="54">
        <f t="shared" si="59"/>
        <v>465173</v>
      </c>
      <c r="AL136" s="54">
        <f t="shared" si="60"/>
        <v>24630</v>
      </c>
      <c r="AM136" s="54">
        <f t="shared" si="61"/>
        <v>17280</v>
      </c>
      <c r="AN136" s="19">
        <v>46156</v>
      </c>
      <c r="AO136" s="487">
        <f t="shared" si="62"/>
        <v>-0.11031402843125104</v>
      </c>
      <c r="AP136" s="487">
        <f t="shared" si="63"/>
        <v>1.7350599095294461E-2</v>
      </c>
      <c r="AQ136" s="486">
        <f t="shared" si="64"/>
        <v>8.2052168319180163E-2</v>
      </c>
      <c r="AR136" s="486">
        <f t="shared" si="65"/>
        <v>-0.23508932904516466</v>
      </c>
      <c r="AS136" s="472">
        <f t="shared" si="66"/>
        <v>0.12033703329797496</v>
      </c>
      <c r="AT136" s="472">
        <f t="shared" si="67"/>
        <v>-0.42481095679012293</v>
      </c>
      <c r="AU136" s="472">
        <f t="shared" si="68"/>
        <v>-0.86396817585301844</v>
      </c>
      <c r="AV136" s="472">
        <f t="shared" si="69"/>
        <v>-1</v>
      </c>
      <c r="AW136" s="472">
        <f t="shared" si="70"/>
        <v>-0.29054137934926139</v>
      </c>
      <c r="AX136" s="472">
        <f t="shared" si="71"/>
        <v>-0.19843414690613781</v>
      </c>
      <c r="AY136" s="472">
        <f t="shared" si="72"/>
        <v>-0.3706247642088496</v>
      </c>
      <c r="AZ136" s="472">
        <f t="shared" si="73"/>
        <v>-0.24509780056247699</v>
      </c>
      <c r="BA136" s="472">
        <f t="shared" si="74"/>
        <v>-0.25707448399641042</v>
      </c>
      <c r="BB136" s="472">
        <f t="shared" si="75"/>
        <v>-0.38572331017056227</v>
      </c>
      <c r="BC136" s="472">
        <f t="shared" si="76"/>
        <v>-0.2984165651644336</v>
      </c>
      <c r="BD136" s="472" t="e">
        <f t="shared" si="77"/>
        <v>#DIV/0!</v>
      </c>
      <c r="BE136" s="472" t="e">
        <f t="shared" si="78"/>
        <v>#DIV/0!</v>
      </c>
    </row>
    <row r="137" spans="1:57" hidden="1" x14ac:dyDescent="0.35">
      <c r="A137" s="16">
        <v>45793</v>
      </c>
      <c r="B137" s="17">
        <v>38245451</v>
      </c>
      <c r="C137" s="17">
        <v>37321124</v>
      </c>
      <c r="D137" s="17">
        <v>2766953.5517241377</v>
      </c>
      <c r="E137" s="17">
        <v>2998893</v>
      </c>
      <c r="F137" s="484">
        <f t="shared" si="54"/>
        <v>2253842.5517241377</v>
      </c>
      <c r="G137" s="484">
        <f t="shared" si="55"/>
        <v>2544886</v>
      </c>
      <c r="H137" s="484">
        <f t="shared" si="56"/>
        <v>513111</v>
      </c>
      <c r="I137" s="484">
        <f t="shared" si="57"/>
        <v>454007</v>
      </c>
      <c r="J137" s="19">
        <v>46157</v>
      </c>
      <c r="K137" s="17">
        <v>4004790.069113472</v>
      </c>
      <c r="L137" s="17">
        <v>3232522.0098353899</v>
      </c>
      <c r="M137" s="17">
        <v>772268.05927808199</v>
      </c>
      <c r="N137" s="17">
        <v>2112541</v>
      </c>
      <c r="O137" s="17">
        <v>2405121</v>
      </c>
      <c r="P137" s="17">
        <v>25296.551724137898</v>
      </c>
      <c r="Q137" s="17">
        <v>30006</v>
      </c>
      <c r="R137" s="17">
        <v>27754</v>
      </c>
      <c r="S137" s="17">
        <v>17955</v>
      </c>
      <c r="T137" s="17">
        <v>1869</v>
      </c>
      <c r="U137" s="17">
        <v>904</v>
      </c>
      <c r="V137" s="17">
        <v>86382</v>
      </c>
      <c r="W137" s="17">
        <v>90900</v>
      </c>
      <c r="X137" s="17">
        <v>369211</v>
      </c>
      <c r="Y137" s="17">
        <v>329128</v>
      </c>
      <c r="Z137" s="17">
        <v>113629</v>
      </c>
      <c r="AA137" s="17">
        <v>99332</v>
      </c>
      <c r="AB137" s="17">
        <v>16988</v>
      </c>
      <c r="AC137" s="17">
        <v>9755</v>
      </c>
      <c r="AD137" s="17">
        <v>13283</v>
      </c>
      <c r="AE137" s="17">
        <v>6678</v>
      </c>
      <c r="AF137" s="17">
        <v>0</v>
      </c>
      <c r="AG137" s="17">
        <v>4507</v>
      </c>
      <c r="AH137" s="17">
        <v>0</v>
      </c>
      <c r="AI137" s="17">
        <v>4607</v>
      </c>
      <c r="AJ137" s="54">
        <f t="shared" si="58"/>
        <v>482840</v>
      </c>
      <c r="AK137" s="54">
        <f t="shared" si="59"/>
        <v>428460</v>
      </c>
      <c r="AL137" s="54">
        <f t="shared" si="60"/>
        <v>30271</v>
      </c>
      <c r="AM137" s="54">
        <f t="shared" si="61"/>
        <v>16433</v>
      </c>
      <c r="AN137" s="19">
        <v>46157</v>
      </c>
      <c r="AO137" s="487">
        <f t="shared" si="62"/>
        <v>-2.4168286053157018E-2</v>
      </c>
      <c r="AP137" s="487">
        <f t="shared" si="63"/>
        <v>8.3824843438855989E-2</v>
      </c>
      <c r="AQ137" s="486">
        <f t="shared" si="64"/>
        <v>0.12913211175874761</v>
      </c>
      <c r="AR137" s="486">
        <f t="shared" si="65"/>
        <v>-0.11518755201116326</v>
      </c>
      <c r="AS137" s="472">
        <f t="shared" si="66"/>
        <v>0.13849672030033977</v>
      </c>
      <c r="AT137" s="472">
        <f t="shared" si="67"/>
        <v>0.18616957470011064</v>
      </c>
      <c r="AU137" s="472">
        <f t="shared" si="68"/>
        <v>-0.35306622468833326</v>
      </c>
      <c r="AV137" s="472">
        <f t="shared" si="69"/>
        <v>-0.51631888710540397</v>
      </c>
      <c r="AW137" s="472">
        <f t="shared" si="70"/>
        <v>5.2302563033965299E-2</v>
      </c>
      <c r="AX137" s="472">
        <f t="shared" si="71"/>
        <v>-0.10856393769416406</v>
      </c>
      <c r="AY137" s="472">
        <f t="shared" si="72"/>
        <v>-0.12582175324961054</v>
      </c>
      <c r="AZ137" s="472">
        <f t="shared" si="73"/>
        <v>-0.11262530030651974</v>
      </c>
      <c r="BA137" s="472">
        <f t="shared" si="74"/>
        <v>-0.42577113256416299</v>
      </c>
      <c r="BB137" s="472">
        <f t="shared" si="75"/>
        <v>-0.49725212677858921</v>
      </c>
      <c r="BC137" s="472">
        <f t="shared" si="76"/>
        <v>-0.45713719401407282</v>
      </c>
      <c r="BD137" s="472" t="e">
        <f t="shared" si="77"/>
        <v>#DIV/0!</v>
      </c>
      <c r="BE137" s="472" t="e">
        <f t="shared" si="78"/>
        <v>#DIV/0!</v>
      </c>
    </row>
    <row r="138" spans="1:57" hidden="1" x14ac:dyDescent="0.35">
      <c r="A138" s="19">
        <v>45794</v>
      </c>
      <c r="B138" s="17">
        <v>44431907</v>
      </c>
      <c r="C138" s="17">
        <v>44523452</v>
      </c>
      <c r="D138" s="17">
        <v>2722508.7931034481</v>
      </c>
      <c r="E138" s="17">
        <v>2583182</v>
      </c>
      <c r="F138" s="484">
        <f t="shared" si="54"/>
        <v>2214408.7931034481</v>
      </c>
      <c r="G138" s="484">
        <f t="shared" si="55"/>
        <v>2134435</v>
      </c>
      <c r="H138" s="484">
        <f t="shared" si="56"/>
        <v>508100</v>
      </c>
      <c r="I138" s="484">
        <f t="shared" si="57"/>
        <v>448747</v>
      </c>
      <c r="J138" s="19">
        <v>46158</v>
      </c>
      <c r="K138" s="17">
        <v>3538923.2997836089</v>
      </c>
      <c r="L138" s="17">
        <v>2920573.0647547701</v>
      </c>
      <c r="M138" s="17">
        <v>618350.23502883897</v>
      </c>
      <c r="N138" s="17">
        <v>2109532</v>
      </c>
      <c r="O138" s="17">
        <v>2034460</v>
      </c>
      <c r="P138" s="17">
        <v>21563.793103448301</v>
      </c>
      <c r="Q138" s="17">
        <v>29019</v>
      </c>
      <c r="R138" s="17">
        <v>-607</v>
      </c>
      <c r="S138" s="17">
        <v>11244</v>
      </c>
      <c r="T138" s="17">
        <v>4423</v>
      </c>
      <c r="U138" s="17">
        <v>0</v>
      </c>
      <c r="V138" s="17">
        <v>79497</v>
      </c>
      <c r="W138" s="17">
        <v>59712</v>
      </c>
      <c r="X138" s="17">
        <v>366239</v>
      </c>
      <c r="Y138" s="17">
        <v>310105</v>
      </c>
      <c r="Z138" s="17">
        <v>114522</v>
      </c>
      <c r="AA138" s="17">
        <v>110133</v>
      </c>
      <c r="AB138" s="17">
        <v>20368</v>
      </c>
      <c r="AC138" s="17">
        <v>19652</v>
      </c>
      <c r="AD138" s="17">
        <v>6971</v>
      </c>
      <c r="AE138" s="17">
        <v>5748</v>
      </c>
      <c r="AF138" s="17">
        <v>0</v>
      </c>
      <c r="AG138" s="17">
        <v>1224</v>
      </c>
      <c r="AH138" s="17">
        <v>0</v>
      </c>
      <c r="AI138" s="17">
        <v>1885</v>
      </c>
      <c r="AJ138" s="54">
        <f t="shared" si="58"/>
        <v>480761</v>
      </c>
      <c r="AK138" s="54">
        <f t="shared" si="59"/>
        <v>420238</v>
      </c>
      <c r="AL138" s="54">
        <f t="shared" si="60"/>
        <v>27339</v>
      </c>
      <c r="AM138" s="54">
        <f t="shared" si="61"/>
        <v>25400</v>
      </c>
      <c r="AN138" s="19">
        <v>46158</v>
      </c>
      <c r="AO138" s="487">
        <f t="shared" si="62"/>
        <v>2.060343707507295E-3</v>
      </c>
      <c r="AP138" s="487">
        <f t="shared" si="63"/>
        <v>-5.1175883602795014E-2</v>
      </c>
      <c r="AQ138" s="486">
        <f t="shared" si="64"/>
        <v>-3.6115189459380082E-2</v>
      </c>
      <c r="AR138" s="486">
        <f t="shared" si="65"/>
        <v>-0.11681361936626644</v>
      </c>
      <c r="AS138" s="472">
        <f t="shared" si="66"/>
        <v>-3.5587040158670313E-2</v>
      </c>
      <c r="AT138" s="472">
        <f t="shared" si="67"/>
        <v>0.34572799232429685</v>
      </c>
      <c r="AU138" s="472">
        <f t="shared" si="68"/>
        <v>-19.523887973640857</v>
      </c>
      <c r="AV138" s="472">
        <f t="shared" si="69"/>
        <v>-1</v>
      </c>
      <c r="AW138" s="472">
        <f t="shared" si="70"/>
        <v>-0.24887731612513675</v>
      </c>
      <c r="AX138" s="472">
        <f t="shared" si="71"/>
        <v>-0.15327149757398861</v>
      </c>
      <c r="AY138" s="472">
        <f t="shared" si="72"/>
        <v>-3.8324514067166082E-2</v>
      </c>
      <c r="AZ138" s="472">
        <f t="shared" si="73"/>
        <v>-0.1258899952367184</v>
      </c>
      <c r="BA138" s="472">
        <f t="shared" si="74"/>
        <v>-3.5153181461115457E-2</v>
      </c>
      <c r="BB138" s="472">
        <f t="shared" si="75"/>
        <v>-0.17544111318318745</v>
      </c>
      <c r="BC138" s="472">
        <f t="shared" si="76"/>
        <v>-7.092432056768716E-2</v>
      </c>
      <c r="BD138" s="472" t="e">
        <f t="shared" si="77"/>
        <v>#DIV/0!</v>
      </c>
      <c r="BE138" s="472" t="e">
        <f t="shared" si="78"/>
        <v>#DIV/0!</v>
      </c>
    </row>
    <row r="139" spans="1:57" hidden="1" x14ac:dyDescent="0.35">
      <c r="A139" s="16">
        <v>45795</v>
      </c>
      <c r="B139" s="17">
        <v>45518633</v>
      </c>
      <c r="C139" s="17">
        <v>46674763</v>
      </c>
      <c r="D139" s="17">
        <v>3370753</v>
      </c>
      <c r="E139" s="17">
        <v>3250399</v>
      </c>
      <c r="F139" s="484">
        <f t="shared" si="54"/>
        <v>2796536</v>
      </c>
      <c r="G139" s="484">
        <f t="shared" si="55"/>
        <v>2700269</v>
      </c>
      <c r="H139" s="484">
        <f t="shared" si="56"/>
        <v>574217</v>
      </c>
      <c r="I139" s="484">
        <f t="shared" si="57"/>
        <v>550130</v>
      </c>
      <c r="J139" s="19">
        <v>46159</v>
      </c>
      <c r="K139" s="17">
        <v>3493857.9422336142</v>
      </c>
      <c r="L139" s="17">
        <v>2881546.4649545201</v>
      </c>
      <c r="M139" s="17">
        <v>612311.47727909405</v>
      </c>
      <c r="N139" s="17">
        <v>2677032</v>
      </c>
      <c r="O139" s="17">
        <v>2587277</v>
      </c>
      <c r="P139" s="17">
        <v>20975</v>
      </c>
      <c r="Q139" s="17">
        <v>27932</v>
      </c>
      <c r="R139" s="17">
        <v>22100</v>
      </c>
      <c r="S139" s="17">
        <v>-6421</v>
      </c>
      <c r="T139" s="17">
        <v>-481</v>
      </c>
      <c r="U139" s="17">
        <v>2492</v>
      </c>
      <c r="V139" s="17">
        <v>76910</v>
      </c>
      <c r="W139" s="17">
        <v>88989</v>
      </c>
      <c r="X139" s="17">
        <v>427036</v>
      </c>
      <c r="Y139" s="17">
        <v>391486</v>
      </c>
      <c r="Z139" s="17">
        <v>120368</v>
      </c>
      <c r="AA139" s="17">
        <v>132520</v>
      </c>
      <c r="AB139" s="17">
        <v>16748</v>
      </c>
      <c r="AC139" s="17">
        <v>15266</v>
      </c>
      <c r="AD139" s="17">
        <v>10065</v>
      </c>
      <c r="AE139" s="17">
        <v>6798</v>
      </c>
      <c r="AF139" s="17">
        <v>0</v>
      </c>
      <c r="AG139" s="17">
        <v>658</v>
      </c>
      <c r="AH139" s="17">
        <v>0</v>
      </c>
      <c r="AI139" s="17">
        <v>3402</v>
      </c>
      <c r="AJ139" s="54">
        <f t="shared" si="58"/>
        <v>547404</v>
      </c>
      <c r="AK139" s="54">
        <f t="shared" si="59"/>
        <v>524006</v>
      </c>
      <c r="AL139" s="54">
        <f t="shared" si="60"/>
        <v>26813</v>
      </c>
      <c r="AM139" s="54">
        <f t="shared" si="61"/>
        <v>22064</v>
      </c>
      <c r="AN139" s="19">
        <v>46159</v>
      </c>
      <c r="AO139" s="487">
        <f t="shared" si="62"/>
        <v>2.5399049220129255E-2</v>
      </c>
      <c r="AP139" s="487">
        <f t="shared" si="63"/>
        <v>-3.5705375030445685E-2</v>
      </c>
      <c r="AQ139" s="486">
        <f t="shared" si="64"/>
        <v>-3.4423658411692148E-2</v>
      </c>
      <c r="AR139" s="486">
        <f t="shared" si="65"/>
        <v>-4.1947556411600528E-2</v>
      </c>
      <c r="AS139" s="472">
        <f t="shared" si="66"/>
        <v>-3.3527802431946974E-2</v>
      </c>
      <c r="AT139" s="472">
        <f t="shared" si="67"/>
        <v>0.33168057210965429</v>
      </c>
      <c r="AU139" s="472">
        <f t="shared" si="68"/>
        <v>-1.2905429864253395</v>
      </c>
      <c r="AV139" s="472">
        <f t="shared" si="69"/>
        <v>-6.1808731808731805</v>
      </c>
      <c r="AW139" s="472">
        <f t="shared" si="70"/>
        <v>0.15705369912885181</v>
      </c>
      <c r="AX139" s="472">
        <f t="shared" si="71"/>
        <v>-8.3248250732959272E-2</v>
      </c>
      <c r="AY139" s="472">
        <f t="shared" si="72"/>
        <v>0.10095706500066459</v>
      </c>
      <c r="AZ139" s="472">
        <f t="shared" si="73"/>
        <v>-4.2743567821937778E-2</v>
      </c>
      <c r="BA139" s="472">
        <f t="shared" si="74"/>
        <v>-8.8488177692858883E-2</v>
      </c>
      <c r="BB139" s="472">
        <f t="shared" si="75"/>
        <v>-0.32459016393442619</v>
      </c>
      <c r="BC139" s="472">
        <f t="shared" si="76"/>
        <v>-0.17711557826427482</v>
      </c>
      <c r="BD139" s="472" t="e">
        <f t="shared" si="77"/>
        <v>#DIV/0!</v>
      </c>
      <c r="BE139" s="472" t="e">
        <f t="shared" si="78"/>
        <v>#DIV/0!</v>
      </c>
    </row>
    <row r="140" spans="1:57" hidden="1" x14ac:dyDescent="0.35">
      <c r="A140" s="19">
        <v>45796</v>
      </c>
      <c r="B140" s="17">
        <v>26117094</v>
      </c>
      <c r="C140" s="17">
        <v>26723469</v>
      </c>
      <c r="D140" s="17">
        <v>3957267.2068965519</v>
      </c>
      <c r="E140" s="17">
        <v>4669428</v>
      </c>
      <c r="F140" s="484">
        <f t="shared" si="54"/>
        <v>3384960.2068965519</v>
      </c>
      <c r="G140" s="484">
        <f t="shared" si="55"/>
        <v>4154071</v>
      </c>
      <c r="H140" s="484">
        <f t="shared" si="56"/>
        <v>572307</v>
      </c>
      <c r="I140" s="484">
        <f t="shared" si="57"/>
        <v>515357</v>
      </c>
      <c r="J140" s="19">
        <v>46160</v>
      </c>
      <c r="K140" s="17">
        <v>4314540.9203777462</v>
      </c>
      <c r="L140" s="17">
        <v>3622551.8246312998</v>
      </c>
      <c r="M140" s="17">
        <v>691989.09574644605</v>
      </c>
      <c r="N140" s="17">
        <v>3127249</v>
      </c>
      <c r="O140" s="17">
        <v>3987638</v>
      </c>
      <c r="P140" s="17">
        <v>20161.206896551699</v>
      </c>
      <c r="Q140" s="17">
        <v>29579</v>
      </c>
      <c r="R140" s="17">
        <v>63309</v>
      </c>
      <c r="S140" s="17">
        <v>37318</v>
      </c>
      <c r="T140" s="17">
        <v>9654</v>
      </c>
      <c r="U140" s="17">
        <v>0</v>
      </c>
      <c r="V140" s="17">
        <v>164587</v>
      </c>
      <c r="W140" s="17">
        <v>99536</v>
      </c>
      <c r="X140" s="17">
        <v>398765</v>
      </c>
      <c r="Y140" s="17">
        <v>377581</v>
      </c>
      <c r="Z140" s="17">
        <v>133448</v>
      </c>
      <c r="AA140" s="17">
        <v>105418</v>
      </c>
      <c r="AB140" s="17">
        <v>26159</v>
      </c>
      <c r="AC140" s="17">
        <v>19920</v>
      </c>
      <c r="AD140" s="17">
        <v>13935</v>
      </c>
      <c r="AE140" s="17">
        <v>5481</v>
      </c>
      <c r="AF140" s="17">
        <v>0</v>
      </c>
      <c r="AG140" s="17">
        <v>2264</v>
      </c>
      <c r="AH140" s="17">
        <v>0</v>
      </c>
      <c r="AI140" s="17">
        <v>4693</v>
      </c>
      <c r="AJ140" s="54">
        <f t="shared" si="58"/>
        <v>532213</v>
      </c>
      <c r="AK140" s="54">
        <f t="shared" si="59"/>
        <v>482999</v>
      </c>
      <c r="AL140" s="54">
        <f t="shared" si="60"/>
        <v>40094</v>
      </c>
      <c r="AM140" s="54">
        <f t="shared" si="61"/>
        <v>25401</v>
      </c>
      <c r="AN140" s="19">
        <v>46160</v>
      </c>
      <c r="AO140" s="487">
        <f t="shared" si="62"/>
        <v>2.3217552458171697E-2</v>
      </c>
      <c r="AP140" s="487">
        <f t="shared" si="63"/>
        <v>0.17996277629732083</v>
      </c>
      <c r="AQ140" s="486">
        <f t="shared" si="64"/>
        <v>0.22721413136156055</v>
      </c>
      <c r="AR140" s="486">
        <f t="shared" si="65"/>
        <v>-9.9509528976580719E-2</v>
      </c>
      <c r="AS140" s="472">
        <f t="shared" si="66"/>
        <v>0.27512647697704917</v>
      </c>
      <c r="AT140" s="472">
        <f t="shared" si="67"/>
        <v>0.46712447085988118</v>
      </c>
      <c r="AU140" s="472">
        <f t="shared" si="68"/>
        <v>-0.41054194506310315</v>
      </c>
      <c r="AV140" s="472">
        <f t="shared" si="69"/>
        <v>-1</v>
      </c>
      <c r="AW140" s="472">
        <f t="shared" si="70"/>
        <v>-0.39523777698117102</v>
      </c>
      <c r="AX140" s="472">
        <f t="shared" si="71"/>
        <v>-5.3124020413025219E-2</v>
      </c>
      <c r="AY140" s="472">
        <f t="shared" si="72"/>
        <v>-0.21004436184881004</v>
      </c>
      <c r="AZ140" s="472">
        <f t="shared" si="73"/>
        <v>-9.2470495835314082E-2</v>
      </c>
      <c r="BA140" s="472">
        <f t="shared" si="74"/>
        <v>-0.23850300087923848</v>
      </c>
      <c r="BB140" s="472">
        <f t="shared" si="75"/>
        <v>-0.60667384284176529</v>
      </c>
      <c r="BC140" s="472">
        <f t="shared" si="76"/>
        <v>-0.36646381004639095</v>
      </c>
      <c r="BD140" s="472" t="e">
        <f t="shared" si="77"/>
        <v>#DIV/0!</v>
      </c>
      <c r="BE140" s="472" t="e">
        <f t="shared" si="78"/>
        <v>#DIV/0!</v>
      </c>
    </row>
    <row r="141" spans="1:57" hidden="1" x14ac:dyDescent="0.35">
      <c r="A141" s="16">
        <v>45797</v>
      </c>
      <c r="B141" s="17">
        <v>29370833</v>
      </c>
      <c r="C141" s="17">
        <v>28069178</v>
      </c>
      <c r="D141" s="17">
        <v>3973977.5172413792</v>
      </c>
      <c r="E141" s="17">
        <v>4787490</v>
      </c>
      <c r="F141" s="484">
        <f t="shared" si="54"/>
        <v>3470556.5172413792</v>
      </c>
      <c r="G141" s="484">
        <f t="shared" si="55"/>
        <v>4315099</v>
      </c>
      <c r="H141" s="484">
        <f t="shared" si="56"/>
        <v>503421</v>
      </c>
      <c r="I141" s="484">
        <f t="shared" si="57"/>
        <v>472391</v>
      </c>
      <c r="J141" s="19">
        <v>46161</v>
      </c>
      <c r="K141" s="17">
        <v>5069955.5931407074</v>
      </c>
      <c r="L141" s="17">
        <v>4380268.2390230801</v>
      </c>
      <c r="M141" s="17">
        <v>689687.35411762702</v>
      </c>
      <c r="N141" s="17">
        <v>3241569</v>
      </c>
      <c r="O141" s="17">
        <v>4181035</v>
      </c>
      <c r="P141" s="17">
        <v>22440.517241379301</v>
      </c>
      <c r="Q141" s="17">
        <v>24160</v>
      </c>
      <c r="R141" s="17">
        <v>94697</v>
      </c>
      <c r="S141" s="17">
        <v>29139</v>
      </c>
      <c r="T141" s="17">
        <v>6895</v>
      </c>
      <c r="U141" s="17">
        <v>3705</v>
      </c>
      <c r="V141" s="17">
        <v>104955</v>
      </c>
      <c r="W141" s="17">
        <v>77060</v>
      </c>
      <c r="X141" s="17">
        <v>334212</v>
      </c>
      <c r="Y141" s="17">
        <v>350122</v>
      </c>
      <c r="Z141" s="17">
        <v>131940</v>
      </c>
      <c r="AA141" s="17">
        <v>81101</v>
      </c>
      <c r="AB141" s="17">
        <v>26309</v>
      </c>
      <c r="AC141" s="17">
        <v>24716</v>
      </c>
      <c r="AD141" s="17">
        <v>10960</v>
      </c>
      <c r="AE141" s="17">
        <v>9017</v>
      </c>
      <c r="AF141" s="17">
        <v>0</v>
      </c>
      <c r="AG141" s="17">
        <v>4981</v>
      </c>
      <c r="AH141" s="17">
        <v>0</v>
      </c>
      <c r="AI141" s="17">
        <v>2454</v>
      </c>
      <c r="AJ141" s="54">
        <f t="shared" si="58"/>
        <v>466152</v>
      </c>
      <c r="AK141" s="54">
        <f t="shared" si="59"/>
        <v>431223</v>
      </c>
      <c r="AL141" s="54">
        <f t="shared" si="60"/>
        <v>37269</v>
      </c>
      <c r="AM141" s="54">
        <f t="shared" si="61"/>
        <v>33733</v>
      </c>
      <c r="AN141" s="19">
        <v>46161</v>
      </c>
      <c r="AO141" s="487">
        <f t="shared" si="62"/>
        <v>-4.4317946310886036E-2</v>
      </c>
      <c r="AP141" s="487">
        <f t="shared" si="63"/>
        <v>0.2047098855565086</v>
      </c>
      <c r="AQ141" s="486">
        <f t="shared" si="64"/>
        <v>0.2433449732234636</v>
      </c>
      <c r="AR141" s="486">
        <f t="shared" si="65"/>
        <v>-6.1638270950159058E-2</v>
      </c>
      <c r="AS141" s="472">
        <f t="shared" si="66"/>
        <v>0.28981829478255738</v>
      </c>
      <c r="AT141" s="472">
        <f t="shared" si="67"/>
        <v>7.6624025200722645E-2</v>
      </c>
      <c r="AU141" s="472">
        <f t="shared" si="68"/>
        <v>-0.69229225846647724</v>
      </c>
      <c r="AV141" s="472">
        <f t="shared" si="69"/>
        <v>-0.46265409717186368</v>
      </c>
      <c r="AW141" s="472">
        <f t="shared" si="70"/>
        <v>-0.26578057262636368</v>
      </c>
      <c r="AX141" s="472">
        <f t="shared" si="71"/>
        <v>4.7604514499778539E-2</v>
      </c>
      <c r="AY141" s="472">
        <f t="shared" si="72"/>
        <v>-0.38531908443231777</v>
      </c>
      <c r="AZ141" s="472">
        <f t="shared" si="73"/>
        <v>-7.4930494774236744E-2</v>
      </c>
      <c r="BA141" s="472">
        <f t="shared" si="74"/>
        <v>-6.0549621802425069E-2</v>
      </c>
      <c r="BB141" s="472">
        <f t="shared" si="75"/>
        <v>-0.17728102189781025</v>
      </c>
      <c r="BC141" s="472">
        <f t="shared" si="76"/>
        <v>-9.4877780460972949E-2</v>
      </c>
      <c r="BD141" s="472" t="e">
        <f t="shared" si="77"/>
        <v>#DIV/0!</v>
      </c>
      <c r="BE141" s="472" t="e">
        <f t="shared" si="78"/>
        <v>#DIV/0!</v>
      </c>
    </row>
    <row r="142" spans="1:57" hidden="1" x14ac:dyDescent="0.35">
      <c r="A142" s="19">
        <v>45798</v>
      </c>
      <c r="B142" s="17">
        <v>32364229</v>
      </c>
      <c r="C142" s="17">
        <v>32746350</v>
      </c>
      <c r="D142" s="17">
        <v>3532226.2413793104</v>
      </c>
      <c r="E142" s="17">
        <v>4807232</v>
      </c>
      <c r="F142" s="484">
        <f t="shared" si="54"/>
        <v>2925315.2413793104</v>
      </c>
      <c r="G142" s="484">
        <f t="shared" si="55"/>
        <v>4243811</v>
      </c>
      <c r="H142" s="484">
        <f t="shared" si="56"/>
        <v>606911</v>
      </c>
      <c r="I142" s="484">
        <f t="shared" si="57"/>
        <v>563421</v>
      </c>
      <c r="J142" s="19">
        <v>46162</v>
      </c>
      <c r="K142" s="17">
        <v>5085439.3611811008</v>
      </c>
      <c r="L142" s="17">
        <v>4478766.5483424496</v>
      </c>
      <c r="M142" s="17">
        <v>606672.81283865101</v>
      </c>
      <c r="N142" s="17">
        <v>2735434</v>
      </c>
      <c r="O142" s="17">
        <v>4079378</v>
      </c>
      <c r="P142" s="17">
        <v>22517.241379310301</v>
      </c>
      <c r="Q142" s="17">
        <v>21174</v>
      </c>
      <c r="R142" s="17">
        <v>59374</v>
      </c>
      <c r="S142" s="17">
        <v>58712</v>
      </c>
      <c r="T142" s="17">
        <v>11701</v>
      </c>
      <c r="U142" s="17">
        <v>0</v>
      </c>
      <c r="V142" s="17">
        <v>96289</v>
      </c>
      <c r="W142" s="17">
        <v>84547</v>
      </c>
      <c r="X142" s="17">
        <v>374047</v>
      </c>
      <c r="Y142" s="17">
        <v>418327</v>
      </c>
      <c r="Z142" s="17">
        <v>193832</v>
      </c>
      <c r="AA142" s="17">
        <v>105255</v>
      </c>
      <c r="AB142" s="17">
        <v>28023</v>
      </c>
      <c r="AC142" s="17">
        <v>23214</v>
      </c>
      <c r="AD142" s="17">
        <v>11009</v>
      </c>
      <c r="AE142" s="17">
        <v>10330</v>
      </c>
      <c r="AF142" s="17">
        <v>0</v>
      </c>
      <c r="AG142" s="17">
        <v>1645</v>
      </c>
      <c r="AH142" s="17">
        <v>0</v>
      </c>
      <c r="AI142" s="17">
        <v>4650</v>
      </c>
      <c r="AJ142" s="54">
        <f t="shared" si="58"/>
        <v>567879</v>
      </c>
      <c r="AK142" s="54">
        <f t="shared" si="59"/>
        <v>523582</v>
      </c>
      <c r="AL142" s="54">
        <f t="shared" si="60"/>
        <v>39032</v>
      </c>
      <c r="AM142" s="54">
        <f t="shared" si="61"/>
        <v>33544</v>
      </c>
      <c r="AN142" s="19">
        <v>46162</v>
      </c>
      <c r="AO142" s="487">
        <f t="shared" si="62"/>
        <v>1.1806893345118752E-2</v>
      </c>
      <c r="AP142" s="487">
        <f t="shared" si="63"/>
        <v>0.36096378643141747</v>
      </c>
      <c r="AQ142" s="486">
        <f t="shared" si="64"/>
        <v>0.45071920453913461</v>
      </c>
      <c r="AR142" s="486">
        <f t="shared" si="65"/>
        <v>-7.1657953143047348E-2</v>
      </c>
      <c r="AS142" s="472">
        <f t="shared" si="66"/>
        <v>0.49130924014251476</v>
      </c>
      <c r="AT142" s="472">
        <f t="shared" si="67"/>
        <v>-5.9653905053596912E-2</v>
      </c>
      <c r="AU142" s="472">
        <f t="shared" si="68"/>
        <v>-1.1149661467982575E-2</v>
      </c>
      <c r="AV142" s="472">
        <f t="shared" si="69"/>
        <v>-1</v>
      </c>
      <c r="AW142" s="472">
        <f t="shared" si="70"/>
        <v>-0.12194539355481937</v>
      </c>
      <c r="AX142" s="472">
        <f t="shared" si="71"/>
        <v>0.11838084518790426</v>
      </c>
      <c r="AY142" s="472">
        <f t="shared" si="72"/>
        <v>-0.45697820793264265</v>
      </c>
      <c r="AZ142" s="472">
        <f t="shared" si="73"/>
        <v>-7.800429316808688E-2</v>
      </c>
      <c r="BA142" s="472">
        <f t="shared" si="74"/>
        <v>-0.17160903543517825</v>
      </c>
      <c r="BB142" s="472">
        <f t="shared" si="75"/>
        <v>-6.1676809882823092E-2</v>
      </c>
      <c r="BC142" s="472">
        <f t="shared" si="76"/>
        <v>-0.14060258249641322</v>
      </c>
      <c r="BD142" s="472" t="e">
        <f t="shared" si="77"/>
        <v>#DIV/0!</v>
      </c>
      <c r="BE142" s="472" t="e">
        <f t="shared" si="78"/>
        <v>#DIV/0!</v>
      </c>
    </row>
    <row r="143" spans="1:57" hidden="1" x14ac:dyDescent="0.35">
      <c r="A143" s="16">
        <v>45799</v>
      </c>
      <c r="B143" s="17">
        <v>36223027</v>
      </c>
      <c r="C143" s="17">
        <v>35778618</v>
      </c>
      <c r="D143" s="17">
        <v>3458995.4137931033</v>
      </c>
      <c r="E143" s="17">
        <v>3674910</v>
      </c>
      <c r="F143" s="484">
        <f t="shared" si="54"/>
        <v>2884341.4137931033</v>
      </c>
      <c r="G143" s="484">
        <f t="shared" si="55"/>
        <v>3247145</v>
      </c>
      <c r="H143" s="484">
        <f t="shared" si="56"/>
        <v>574654</v>
      </c>
      <c r="I143" s="484">
        <f t="shared" si="57"/>
        <v>427765</v>
      </c>
      <c r="J143" s="19">
        <v>46163</v>
      </c>
      <c r="K143" s="17">
        <v>4523339.2005073801</v>
      </c>
      <c r="L143" s="17">
        <v>3791950.55459726</v>
      </c>
      <c r="M143" s="17">
        <v>731388.64591011999</v>
      </c>
      <c r="N143" s="17">
        <v>2701648</v>
      </c>
      <c r="O143" s="17">
        <v>3103521</v>
      </c>
      <c r="P143" s="17">
        <v>22197.4137931035</v>
      </c>
      <c r="Q143" s="17">
        <v>20693</v>
      </c>
      <c r="R143" s="17">
        <v>57018</v>
      </c>
      <c r="S143" s="17">
        <v>30196</v>
      </c>
      <c r="T143" s="17">
        <v>2723</v>
      </c>
      <c r="U143" s="17">
        <v>-383</v>
      </c>
      <c r="V143" s="17">
        <v>100755</v>
      </c>
      <c r="W143" s="17">
        <v>93118</v>
      </c>
      <c r="X143" s="17">
        <v>368227</v>
      </c>
      <c r="Y143" s="17">
        <v>304721</v>
      </c>
      <c r="Z143" s="17">
        <v>184282</v>
      </c>
      <c r="AA143" s="17">
        <v>98067</v>
      </c>
      <c r="AB143" s="17">
        <v>13230</v>
      </c>
      <c r="AC143" s="17">
        <v>14821</v>
      </c>
      <c r="AD143" s="17">
        <v>8915</v>
      </c>
      <c r="AE143" s="17">
        <v>5605</v>
      </c>
      <c r="AF143" s="17">
        <v>0</v>
      </c>
      <c r="AG143" s="17">
        <v>1786</v>
      </c>
      <c r="AH143" s="17">
        <v>0</v>
      </c>
      <c r="AI143" s="17">
        <v>2765</v>
      </c>
      <c r="AJ143" s="54">
        <f t="shared" si="58"/>
        <v>552509</v>
      </c>
      <c r="AK143" s="54">
        <f t="shared" si="59"/>
        <v>402788</v>
      </c>
      <c r="AL143" s="54">
        <f t="shared" si="60"/>
        <v>22145</v>
      </c>
      <c r="AM143" s="54">
        <f t="shared" si="61"/>
        <v>20426</v>
      </c>
      <c r="AN143" s="19">
        <v>46163</v>
      </c>
      <c r="AO143" s="487">
        <f t="shared" si="62"/>
        <v>-1.2268687539558787E-2</v>
      </c>
      <c r="AP143" s="487">
        <f t="shared" si="63"/>
        <v>6.2421183140606296E-2</v>
      </c>
      <c r="AQ143" s="486">
        <f t="shared" si="64"/>
        <v>0.12578385640200107</v>
      </c>
      <c r="AR143" s="486">
        <f t="shared" si="65"/>
        <v>-0.25561294274467772</v>
      </c>
      <c r="AS143" s="472">
        <f t="shared" si="66"/>
        <v>0.14875105861311311</v>
      </c>
      <c r="AT143" s="472">
        <f t="shared" si="67"/>
        <v>-6.7774282496409821E-2</v>
      </c>
      <c r="AU143" s="472">
        <f t="shared" si="68"/>
        <v>-0.47041285208179873</v>
      </c>
      <c r="AV143" s="472">
        <f t="shared" si="69"/>
        <v>-1.1406536907822256</v>
      </c>
      <c r="AW143" s="472">
        <f t="shared" si="70"/>
        <v>-7.5797727159942485E-2</v>
      </c>
      <c r="AX143" s="472">
        <f t="shared" si="71"/>
        <v>-0.17246426796514103</v>
      </c>
      <c r="AY143" s="472">
        <f t="shared" si="72"/>
        <v>-0.46784276272234948</v>
      </c>
      <c r="AZ143" s="472">
        <f t="shared" si="73"/>
        <v>-0.27098382107802765</v>
      </c>
      <c r="BA143" s="472">
        <f t="shared" si="74"/>
        <v>0.12025699168556314</v>
      </c>
      <c r="BB143" s="472">
        <f t="shared" si="75"/>
        <v>-0.37128435221536737</v>
      </c>
      <c r="BC143" s="472">
        <f t="shared" si="76"/>
        <v>-7.7624745992323274E-2</v>
      </c>
      <c r="BD143" s="472" t="e">
        <f t="shared" si="77"/>
        <v>#DIV/0!</v>
      </c>
      <c r="BE143" s="472" t="e">
        <f t="shared" si="78"/>
        <v>#DIV/0!</v>
      </c>
    </row>
    <row r="144" spans="1:57" hidden="1" x14ac:dyDescent="0.35">
      <c r="A144" s="19">
        <v>45800</v>
      </c>
      <c r="B144" s="17">
        <v>37119549</v>
      </c>
      <c r="C144" s="17">
        <v>40503524</v>
      </c>
      <c r="D144" s="17">
        <v>2538117.2758620689</v>
      </c>
      <c r="E144" s="17">
        <v>3460735</v>
      </c>
      <c r="F144" s="484">
        <f t="shared" si="54"/>
        <v>1996233.2758620691</v>
      </c>
      <c r="G144" s="484">
        <f t="shared" si="55"/>
        <v>3040981</v>
      </c>
      <c r="H144" s="484">
        <f t="shared" si="56"/>
        <v>541884</v>
      </c>
      <c r="I144" s="484">
        <f t="shared" si="57"/>
        <v>419754</v>
      </c>
      <c r="J144" s="19">
        <v>46164</v>
      </c>
      <c r="K144" s="17">
        <v>4419525.1349156173</v>
      </c>
      <c r="L144" s="17">
        <v>3727009.4103252999</v>
      </c>
      <c r="M144" s="17">
        <v>692515.724590317</v>
      </c>
      <c r="N144" s="17">
        <v>1819774</v>
      </c>
      <c r="O144" s="17">
        <v>2880995</v>
      </c>
      <c r="P144" s="17">
        <v>21773.275862069</v>
      </c>
      <c r="Q144" s="17">
        <v>17373</v>
      </c>
      <c r="R144" s="17">
        <v>44511</v>
      </c>
      <c r="S144" s="17">
        <v>7090</v>
      </c>
      <c r="T144" s="17">
        <v>5468</v>
      </c>
      <c r="U144" s="17">
        <v>1848</v>
      </c>
      <c r="V144" s="17">
        <v>104707</v>
      </c>
      <c r="W144" s="17">
        <v>133675</v>
      </c>
      <c r="X144" s="17">
        <v>359912</v>
      </c>
      <c r="Y144" s="17">
        <v>287211</v>
      </c>
      <c r="Z144" s="17">
        <v>161958</v>
      </c>
      <c r="AA144" s="17">
        <v>103665</v>
      </c>
      <c r="AB144" s="17">
        <v>14507</v>
      </c>
      <c r="AC144" s="17">
        <v>17656</v>
      </c>
      <c r="AD144" s="17">
        <v>5507</v>
      </c>
      <c r="AE144" s="17">
        <v>10102</v>
      </c>
      <c r="AF144" s="17">
        <v>0</v>
      </c>
      <c r="AG144" s="17">
        <v>0</v>
      </c>
      <c r="AH144" s="17">
        <v>0</v>
      </c>
      <c r="AI144" s="17">
        <v>1120</v>
      </c>
      <c r="AJ144" s="54">
        <f t="shared" si="58"/>
        <v>521870</v>
      </c>
      <c r="AK144" s="54">
        <f t="shared" si="59"/>
        <v>390876</v>
      </c>
      <c r="AL144" s="54">
        <f t="shared" si="60"/>
        <v>20014</v>
      </c>
      <c r="AM144" s="54">
        <f t="shared" si="61"/>
        <v>27758</v>
      </c>
      <c r="AN144" s="19">
        <v>46164</v>
      </c>
      <c r="AO144" s="487">
        <f t="shared" si="62"/>
        <v>9.1164227237782391E-2</v>
      </c>
      <c r="AP144" s="487">
        <f t="shared" si="63"/>
        <v>0.36350476509189877</v>
      </c>
      <c r="AQ144" s="486">
        <f t="shared" si="64"/>
        <v>0.52335953757045695</v>
      </c>
      <c r="AR144" s="486">
        <f t="shared" si="65"/>
        <v>-0.22538033970370042</v>
      </c>
      <c r="AS144" s="472">
        <f t="shared" si="66"/>
        <v>0.58316087602086863</v>
      </c>
      <c r="AT144" s="472">
        <f t="shared" si="67"/>
        <v>-0.20209526071980177</v>
      </c>
      <c r="AU144" s="472">
        <f t="shared" si="68"/>
        <v>-0.84071353148659878</v>
      </c>
      <c r="AV144" s="472">
        <f t="shared" si="69"/>
        <v>-0.66203365032918793</v>
      </c>
      <c r="AW144" s="472">
        <f t="shared" si="70"/>
        <v>0.27665772106926956</v>
      </c>
      <c r="AX144" s="472">
        <f t="shared" si="71"/>
        <v>-0.20199659916868573</v>
      </c>
      <c r="AY144" s="472">
        <f t="shared" si="72"/>
        <v>-0.35992664764939053</v>
      </c>
      <c r="AZ144" s="472">
        <f t="shared" si="73"/>
        <v>-0.25100887194128807</v>
      </c>
      <c r="BA144" s="472">
        <f t="shared" si="74"/>
        <v>0.2170676225270558</v>
      </c>
      <c r="BB144" s="472">
        <f t="shared" si="75"/>
        <v>0.8343925912475032</v>
      </c>
      <c r="BC144" s="472">
        <f t="shared" si="76"/>
        <v>0.38692914959528335</v>
      </c>
      <c r="BD144" s="472" t="e">
        <f t="shared" si="77"/>
        <v>#DIV/0!</v>
      </c>
      <c r="BE144" s="472" t="e">
        <f t="shared" si="78"/>
        <v>#DIV/0!</v>
      </c>
    </row>
    <row r="145" spans="1:57" hidden="1" x14ac:dyDescent="0.35">
      <c r="A145" s="16">
        <v>45801</v>
      </c>
      <c r="B145" s="17">
        <v>45670035</v>
      </c>
      <c r="C145" s="17">
        <v>49237984</v>
      </c>
      <c r="D145" s="17">
        <v>2062777.1379310344</v>
      </c>
      <c r="E145" s="17">
        <v>2844667</v>
      </c>
      <c r="F145" s="484">
        <f t="shared" si="54"/>
        <v>1553979.1379310344</v>
      </c>
      <c r="G145" s="484">
        <f t="shared" si="55"/>
        <v>2384143</v>
      </c>
      <c r="H145" s="484">
        <f t="shared" si="56"/>
        <v>508798</v>
      </c>
      <c r="I145" s="484">
        <f t="shared" si="57"/>
        <v>460524</v>
      </c>
      <c r="J145" s="19">
        <v>46165</v>
      </c>
      <c r="K145" s="17">
        <v>3232528.9287060522</v>
      </c>
      <c r="L145" s="17">
        <v>2579504.3419044302</v>
      </c>
      <c r="M145" s="17">
        <v>653024.58680162195</v>
      </c>
      <c r="N145" s="17">
        <v>1467747</v>
      </c>
      <c r="O145" s="17">
        <v>2252409</v>
      </c>
      <c r="P145" s="17">
        <v>21924.1379310345</v>
      </c>
      <c r="Q145" s="17">
        <v>21274</v>
      </c>
      <c r="R145" s="17">
        <v>4053</v>
      </c>
      <c r="S145" s="17">
        <v>-3235</v>
      </c>
      <c r="T145" s="17">
        <v>-155</v>
      </c>
      <c r="U145" s="17">
        <v>3525</v>
      </c>
      <c r="V145" s="17">
        <v>60410</v>
      </c>
      <c r="W145" s="17">
        <v>110170</v>
      </c>
      <c r="X145" s="17">
        <v>342742</v>
      </c>
      <c r="Y145" s="17">
        <v>326147</v>
      </c>
      <c r="Z145" s="17">
        <v>137614</v>
      </c>
      <c r="AA145" s="17">
        <v>99899</v>
      </c>
      <c r="AB145" s="17">
        <v>23925</v>
      </c>
      <c r="AC145" s="17">
        <v>20856</v>
      </c>
      <c r="AD145" s="17">
        <v>4517</v>
      </c>
      <c r="AE145" s="17">
        <v>6566</v>
      </c>
      <c r="AF145" s="17">
        <v>0</v>
      </c>
      <c r="AG145" s="17">
        <v>897</v>
      </c>
      <c r="AH145" s="17">
        <v>0</v>
      </c>
      <c r="AI145" s="17">
        <v>6159</v>
      </c>
      <c r="AJ145" s="54">
        <f t="shared" si="58"/>
        <v>480356</v>
      </c>
      <c r="AK145" s="54">
        <f t="shared" si="59"/>
        <v>426046</v>
      </c>
      <c r="AL145" s="54">
        <f t="shared" si="60"/>
        <v>28442</v>
      </c>
      <c r="AM145" s="54">
        <f t="shared" si="61"/>
        <v>27422</v>
      </c>
      <c r="AN145" s="19">
        <v>46165</v>
      </c>
      <c r="AO145" s="487">
        <f t="shared" si="62"/>
        <v>7.8124507677736599E-2</v>
      </c>
      <c r="AP145" s="487">
        <f t="shared" si="63"/>
        <v>0.37904718240827573</v>
      </c>
      <c r="AQ145" s="486">
        <f t="shared" si="64"/>
        <v>0.53421815120005056</v>
      </c>
      <c r="AR145" s="486">
        <f t="shared" si="65"/>
        <v>-9.4878517604235824E-2</v>
      </c>
      <c r="AS145" s="472">
        <f t="shared" si="66"/>
        <v>0.53460303444667234</v>
      </c>
      <c r="AT145" s="472">
        <f t="shared" si="67"/>
        <v>-2.9653979238755124E-2</v>
      </c>
      <c r="AU145" s="472">
        <f t="shared" si="68"/>
        <v>-1.7981741919565755</v>
      </c>
      <c r="AV145" s="472">
        <f t="shared" si="69"/>
        <v>-23.741935483870968</v>
      </c>
      <c r="AW145" s="472">
        <f t="shared" si="70"/>
        <v>0.82370468465485858</v>
      </c>
      <c r="AX145" s="472">
        <f t="shared" si="71"/>
        <v>-4.841834382713528E-2</v>
      </c>
      <c r="AY145" s="472">
        <f t="shared" si="72"/>
        <v>-0.27406368538084791</v>
      </c>
      <c r="AZ145" s="472">
        <f t="shared" si="73"/>
        <v>-0.11306197903221782</v>
      </c>
      <c r="BA145" s="472">
        <f t="shared" si="74"/>
        <v>-0.12827586206896546</v>
      </c>
      <c r="BB145" s="472">
        <f t="shared" si="75"/>
        <v>0.45361965906575152</v>
      </c>
      <c r="BC145" s="472">
        <f t="shared" si="76"/>
        <v>-3.5862456929892428E-2</v>
      </c>
      <c r="BD145" s="472" t="e">
        <f t="shared" si="77"/>
        <v>#DIV/0!</v>
      </c>
      <c r="BE145" s="472" t="e">
        <f t="shared" si="78"/>
        <v>#DIV/0!</v>
      </c>
    </row>
    <row r="146" spans="1:57" hidden="1" x14ac:dyDescent="0.35">
      <c r="A146" s="19">
        <v>45802</v>
      </c>
      <c r="B146" s="17">
        <v>43078411</v>
      </c>
      <c r="C146" s="17">
        <v>47019817</v>
      </c>
      <c r="D146" s="17">
        <v>2328991.931034483</v>
      </c>
      <c r="E146" s="17">
        <v>3297659</v>
      </c>
      <c r="F146" s="484">
        <f t="shared" si="54"/>
        <v>1754451.9310344828</v>
      </c>
      <c r="G146" s="484">
        <f t="shared" si="55"/>
        <v>2819668</v>
      </c>
      <c r="H146" s="484">
        <f t="shared" si="56"/>
        <v>574540</v>
      </c>
      <c r="I146" s="484">
        <f t="shared" si="57"/>
        <v>477991</v>
      </c>
      <c r="J146" s="19">
        <v>46166</v>
      </c>
      <c r="K146" s="17">
        <v>2628853.6956993621</v>
      </c>
      <c r="L146" s="17">
        <v>2015701.05839047</v>
      </c>
      <c r="M146" s="17">
        <v>613152.63730889198</v>
      </c>
      <c r="N146" s="17">
        <v>1619702</v>
      </c>
      <c r="O146" s="17">
        <v>2731286</v>
      </c>
      <c r="P146" s="17">
        <v>27512.931034482801</v>
      </c>
      <c r="Q146" s="17">
        <v>21174</v>
      </c>
      <c r="R146" s="17">
        <v>7700</v>
      </c>
      <c r="S146" s="17">
        <v>0</v>
      </c>
      <c r="T146" s="17">
        <v>-1294</v>
      </c>
      <c r="U146" s="17">
        <v>4187</v>
      </c>
      <c r="V146" s="17">
        <v>100831</v>
      </c>
      <c r="W146" s="17">
        <v>63021</v>
      </c>
      <c r="X146" s="17">
        <v>396662</v>
      </c>
      <c r="Y146" s="17">
        <v>343565</v>
      </c>
      <c r="Z146" s="17">
        <v>149588</v>
      </c>
      <c r="AA146" s="17">
        <v>92128</v>
      </c>
      <c r="AB146" s="17">
        <v>19789</v>
      </c>
      <c r="AC146" s="17">
        <v>20143</v>
      </c>
      <c r="AD146" s="17">
        <v>8501</v>
      </c>
      <c r="AE146" s="17">
        <v>11392</v>
      </c>
      <c r="AF146" s="17">
        <v>0</v>
      </c>
      <c r="AG146" s="17">
        <v>4347</v>
      </c>
      <c r="AH146" s="17">
        <v>0</v>
      </c>
      <c r="AI146" s="17">
        <v>6416</v>
      </c>
      <c r="AJ146" s="54">
        <f t="shared" si="58"/>
        <v>546250</v>
      </c>
      <c r="AK146" s="54">
        <f t="shared" si="59"/>
        <v>435693</v>
      </c>
      <c r="AL146" s="54">
        <f t="shared" si="60"/>
        <v>28290</v>
      </c>
      <c r="AM146" s="54">
        <f t="shared" si="61"/>
        <v>31535</v>
      </c>
      <c r="AN146" s="19">
        <v>46166</v>
      </c>
      <c r="AO146" s="487">
        <f t="shared" si="62"/>
        <v>9.1493764707337943E-2</v>
      </c>
      <c r="AP146" s="487">
        <f t="shared" si="63"/>
        <v>0.41591688492250722</v>
      </c>
      <c r="AQ146" s="486">
        <f t="shared" si="64"/>
        <v>0.60715033003921093</v>
      </c>
      <c r="AR146" s="486">
        <f t="shared" si="65"/>
        <v>-0.16804574094057856</v>
      </c>
      <c r="AS146" s="472">
        <f t="shared" si="66"/>
        <v>0.68628920628609458</v>
      </c>
      <c r="AT146" s="472">
        <f t="shared" si="67"/>
        <v>-0.23039824533918341</v>
      </c>
      <c r="AU146" s="472">
        <f t="shared" si="68"/>
        <v>-1</v>
      </c>
      <c r="AV146" s="472">
        <f t="shared" si="69"/>
        <v>-4.2357032457496135</v>
      </c>
      <c r="AW146" s="472">
        <f t="shared" si="70"/>
        <v>-0.3749838839245867</v>
      </c>
      <c r="AX146" s="472">
        <f t="shared" si="71"/>
        <v>-0.13385955801160687</v>
      </c>
      <c r="AY146" s="472">
        <f t="shared" si="72"/>
        <v>-0.3841217209936626</v>
      </c>
      <c r="AZ146" s="472">
        <f t="shared" si="73"/>
        <v>-0.20239267734553779</v>
      </c>
      <c r="BA146" s="472">
        <f t="shared" si="74"/>
        <v>1.7888726059932303E-2</v>
      </c>
      <c r="BB146" s="472">
        <f t="shared" si="75"/>
        <v>0.34007763792494994</v>
      </c>
      <c r="BC146" s="472">
        <f t="shared" si="76"/>
        <v>0.114704842700601</v>
      </c>
      <c r="BD146" s="472" t="e">
        <f t="shared" si="77"/>
        <v>#DIV/0!</v>
      </c>
      <c r="BE146" s="472" t="e">
        <f t="shared" si="78"/>
        <v>#DIV/0!</v>
      </c>
    </row>
    <row r="147" spans="1:57" hidden="1" x14ac:dyDescent="0.35">
      <c r="A147" s="16">
        <v>45803</v>
      </c>
      <c r="B147" s="17">
        <v>26417617</v>
      </c>
      <c r="C147" s="17">
        <v>28212621</v>
      </c>
      <c r="D147" s="17">
        <v>4561943.8965517245</v>
      </c>
      <c r="E147" s="17">
        <v>5945853</v>
      </c>
      <c r="F147" s="484">
        <f t="shared" si="54"/>
        <v>3612412.8965517241</v>
      </c>
      <c r="G147" s="484">
        <f t="shared" si="55"/>
        <v>4746158</v>
      </c>
      <c r="H147" s="484">
        <f t="shared" si="56"/>
        <v>949531</v>
      </c>
      <c r="I147" s="484">
        <f t="shared" si="57"/>
        <v>1199695</v>
      </c>
      <c r="J147" s="19">
        <v>46167</v>
      </c>
      <c r="K147" s="17">
        <v>5985763.6744493097</v>
      </c>
      <c r="L147" s="22">
        <v>4709965.1085457699</v>
      </c>
      <c r="M147" s="22">
        <v>1275798.56590354</v>
      </c>
      <c r="N147" s="17">
        <v>3445706</v>
      </c>
      <c r="O147" s="17">
        <v>4611370</v>
      </c>
      <c r="P147" s="17">
        <v>24606.896551724101</v>
      </c>
      <c r="Q147" s="17">
        <v>20489</v>
      </c>
      <c r="R147" s="17">
        <v>37482</v>
      </c>
      <c r="S147" s="17">
        <v>30700</v>
      </c>
      <c r="T147" s="17">
        <v>8128</v>
      </c>
      <c r="U147" s="17">
        <v>4699</v>
      </c>
      <c r="V147" s="17">
        <v>96490</v>
      </c>
      <c r="W147" s="17">
        <v>78900</v>
      </c>
      <c r="X147" s="17">
        <v>729673</v>
      </c>
      <c r="Y147" s="17">
        <v>902125</v>
      </c>
      <c r="Z147" s="17">
        <v>173445</v>
      </c>
      <c r="AA147" s="17">
        <v>237474</v>
      </c>
      <c r="AB147" s="17">
        <v>31849</v>
      </c>
      <c r="AC147" s="17">
        <v>36431</v>
      </c>
      <c r="AD147" s="17">
        <v>14564</v>
      </c>
      <c r="AE147" s="17">
        <v>12811</v>
      </c>
      <c r="AF147" s="17">
        <v>0</v>
      </c>
      <c r="AG147" s="17">
        <v>3362</v>
      </c>
      <c r="AH147" s="17">
        <v>0</v>
      </c>
      <c r="AI147" s="17">
        <v>7492</v>
      </c>
      <c r="AJ147" s="54">
        <f t="shared" si="58"/>
        <v>903118</v>
      </c>
      <c r="AK147" s="54">
        <f t="shared" si="59"/>
        <v>1139599</v>
      </c>
      <c r="AL147" s="54">
        <f t="shared" si="60"/>
        <v>46413</v>
      </c>
      <c r="AM147" s="54">
        <f t="shared" si="61"/>
        <v>49242</v>
      </c>
      <c r="AN147" s="19">
        <v>46167</v>
      </c>
      <c r="AO147" s="487">
        <f t="shared" si="62"/>
        <v>6.7947233847776678E-2</v>
      </c>
      <c r="AP147" s="487">
        <f t="shared" si="63"/>
        <v>0.30335951840493758</v>
      </c>
      <c r="AQ147" s="486">
        <f t="shared" si="64"/>
        <v>0.31384704238280925</v>
      </c>
      <c r="AR147" s="486">
        <f t="shared" si="65"/>
        <v>0.26346059265047694</v>
      </c>
      <c r="AS147" s="472">
        <f t="shared" si="66"/>
        <v>0.33829467749134712</v>
      </c>
      <c r="AT147" s="472">
        <f t="shared" si="67"/>
        <v>-0.16734725336322742</v>
      </c>
      <c r="AU147" s="472">
        <f t="shared" si="68"/>
        <v>-0.18094018462195183</v>
      </c>
      <c r="AV147" s="472">
        <f t="shared" si="69"/>
        <v>-0.421875</v>
      </c>
      <c r="AW147" s="472">
        <f t="shared" si="70"/>
        <v>-0.18229868380143022</v>
      </c>
      <c r="AX147" s="472">
        <f t="shared" si="71"/>
        <v>0.23634148447318193</v>
      </c>
      <c r="AY147" s="472">
        <f t="shared" si="72"/>
        <v>0.36916025252962026</v>
      </c>
      <c r="AZ147" s="472">
        <f t="shared" si="73"/>
        <v>0.26184950360860926</v>
      </c>
      <c r="BA147" s="472">
        <f t="shared" si="74"/>
        <v>0.14386636943075137</v>
      </c>
      <c r="BB147" s="472">
        <f t="shared" si="75"/>
        <v>-0.12036528426256521</v>
      </c>
      <c r="BC147" s="472">
        <f t="shared" si="76"/>
        <v>6.095275030702596E-2</v>
      </c>
      <c r="BD147" s="472" t="e">
        <f t="shared" si="77"/>
        <v>#DIV/0!</v>
      </c>
      <c r="BE147" s="472" t="e">
        <f t="shared" si="78"/>
        <v>#DIV/0!</v>
      </c>
    </row>
    <row r="148" spans="1:57" hidden="1" x14ac:dyDescent="0.35">
      <c r="A148" s="19">
        <v>45804</v>
      </c>
      <c r="B148" s="17">
        <v>31571706</v>
      </c>
      <c r="C148" s="17">
        <v>31205655</v>
      </c>
      <c r="D148" s="17">
        <v>5856325.5517241377</v>
      </c>
      <c r="E148" s="17">
        <v>6167681</v>
      </c>
      <c r="F148" s="484">
        <f t="shared" si="54"/>
        <v>4289665.5517241377</v>
      </c>
      <c r="G148" s="484">
        <f t="shared" si="55"/>
        <v>4876021</v>
      </c>
      <c r="H148" s="484">
        <f t="shared" si="56"/>
        <v>1566660</v>
      </c>
      <c r="I148" s="484">
        <f t="shared" si="57"/>
        <v>1291660</v>
      </c>
      <c r="J148" s="19">
        <v>46168</v>
      </c>
      <c r="K148" s="17">
        <v>7684050.9479068602</v>
      </c>
      <c r="L148" s="22">
        <v>5592266.5572508499</v>
      </c>
      <c r="M148" s="22">
        <v>2091784.39065601</v>
      </c>
      <c r="N148" s="17">
        <v>4079869</v>
      </c>
      <c r="O148" s="17">
        <v>4676609</v>
      </c>
      <c r="P148" s="17">
        <v>24421.551724137898</v>
      </c>
      <c r="Q148" s="17">
        <v>26116</v>
      </c>
      <c r="R148" s="17">
        <v>55831</v>
      </c>
      <c r="S148" s="17">
        <v>76532</v>
      </c>
      <c r="T148" s="17">
        <v>10097</v>
      </c>
      <c r="U148" s="17">
        <v>5544</v>
      </c>
      <c r="V148" s="17">
        <v>119447</v>
      </c>
      <c r="W148" s="17">
        <v>91220</v>
      </c>
      <c r="X148" s="17">
        <v>1213906</v>
      </c>
      <c r="Y148" s="17">
        <v>1074734</v>
      </c>
      <c r="Z148" s="17">
        <v>294966</v>
      </c>
      <c r="AA148" s="17">
        <v>170033</v>
      </c>
      <c r="AB148" s="17">
        <v>45119</v>
      </c>
      <c r="AC148" s="17">
        <v>28875</v>
      </c>
      <c r="AD148" s="17">
        <v>12669</v>
      </c>
      <c r="AE148" s="17">
        <v>10958</v>
      </c>
      <c r="AF148" s="17">
        <v>0</v>
      </c>
      <c r="AG148" s="17">
        <v>3874</v>
      </c>
      <c r="AH148" s="17">
        <v>0</v>
      </c>
      <c r="AI148" s="17">
        <v>3186</v>
      </c>
      <c r="AJ148" s="54">
        <f t="shared" si="58"/>
        <v>1508872</v>
      </c>
      <c r="AK148" s="54">
        <f t="shared" si="59"/>
        <v>1244767</v>
      </c>
      <c r="AL148" s="54">
        <f t="shared" si="60"/>
        <v>57788</v>
      </c>
      <c r="AM148" s="54">
        <f t="shared" si="61"/>
        <v>39833</v>
      </c>
      <c r="AN148" s="19">
        <v>46168</v>
      </c>
      <c r="AO148" s="487">
        <f t="shared" si="62"/>
        <v>-1.1594273682898226E-2</v>
      </c>
      <c r="AP148" s="487">
        <f t="shared" si="63"/>
        <v>5.316566600096162E-2</v>
      </c>
      <c r="AQ148" s="486">
        <f t="shared" si="64"/>
        <v>0.13669024804047702</v>
      </c>
      <c r="AR148" s="486">
        <f t="shared" si="65"/>
        <v>-0.17553266184111427</v>
      </c>
      <c r="AS148" s="472">
        <f t="shared" si="66"/>
        <v>0.14626450015919623</v>
      </c>
      <c r="AT148" s="472">
        <f t="shared" si="67"/>
        <v>6.9383317448552306E-2</v>
      </c>
      <c r="AU148" s="472">
        <f t="shared" si="68"/>
        <v>0.37077967437445136</v>
      </c>
      <c r="AV148" s="472">
        <f t="shared" si="69"/>
        <v>-0.45092601762899875</v>
      </c>
      <c r="AW148" s="472">
        <f t="shared" si="70"/>
        <v>-0.23631401374668259</v>
      </c>
      <c r="AX148" s="472">
        <f t="shared" si="71"/>
        <v>-0.11464808642514335</v>
      </c>
      <c r="AY148" s="472">
        <f t="shared" si="72"/>
        <v>-0.42355051090634177</v>
      </c>
      <c r="AZ148" s="472">
        <f t="shared" si="73"/>
        <v>-0.17503472792920804</v>
      </c>
      <c r="BA148" s="472">
        <f t="shared" si="74"/>
        <v>-0.3600257097896673</v>
      </c>
      <c r="BB148" s="472">
        <f t="shared" si="75"/>
        <v>-0.13505406898729178</v>
      </c>
      <c r="BC148" s="472">
        <f t="shared" si="76"/>
        <v>-0.31070464456288505</v>
      </c>
      <c r="BD148" s="472" t="e">
        <f t="shared" si="77"/>
        <v>#DIV/0!</v>
      </c>
      <c r="BE148" s="472" t="e">
        <f t="shared" si="78"/>
        <v>#DIV/0!</v>
      </c>
    </row>
    <row r="149" spans="1:57" hidden="1" x14ac:dyDescent="0.35">
      <c r="A149" s="16">
        <v>45805</v>
      </c>
      <c r="B149" s="17">
        <v>34320185</v>
      </c>
      <c r="C149" s="17">
        <v>33438597</v>
      </c>
      <c r="D149" s="17">
        <v>5668722.2758620689</v>
      </c>
      <c r="E149" s="17">
        <v>5239354</v>
      </c>
      <c r="F149" s="484">
        <f t="shared" si="54"/>
        <v>3843794.2758620689</v>
      </c>
      <c r="G149" s="484">
        <f t="shared" si="55"/>
        <v>4122248</v>
      </c>
      <c r="H149" s="484">
        <f t="shared" si="56"/>
        <v>1824928</v>
      </c>
      <c r="I149" s="484">
        <f t="shared" si="57"/>
        <v>1117106</v>
      </c>
      <c r="J149" s="19">
        <v>46169</v>
      </c>
      <c r="K149" s="17">
        <v>7450207.6240357403</v>
      </c>
      <c r="L149" s="22">
        <v>5010773.0662852004</v>
      </c>
      <c r="M149" s="22">
        <v>2439434.5577505399</v>
      </c>
      <c r="N149" s="17">
        <v>3654732</v>
      </c>
      <c r="O149" s="17">
        <v>3970639</v>
      </c>
      <c r="P149" s="17">
        <v>31223.275862069</v>
      </c>
      <c r="Q149" s="17">
        <v>29228</v>
      </c>
      <c r="R149" s="17">
        <v>60377</v>
      </c>
      <c r="S149" s="17">
        <v>26769</v>
      </c>
      <c r="T149" s="17">
        <v>8759</v>
      </c>
      <c r="U149" s="17">
        <v>11997</v>
      </c>
      <c r="V149" s="17">
        <v>88703</v>
      </c>
      <c r="W149" s="17">
        <v>83615</v>
      </c>
      <c r="X149" s="17">
        <v>1382114</v>
      </c>
      <c r="Y149" s="17">
        <v>850183</v>
      </c>
      <c r="Z149" s="17">
        <v>371492</v>
      </c>
      <c r="AA149" s="17">
        <v>220841</v>
      </c>
      <c r="AB149" s="17">
        <v>45166</v>
      </c>
      <c r="AC149" s="17">
        <v>23508</v>
      </c>
      <c r="AD149" s="17">
        <v>26156</v>
      </c>
      <c r="AE149" s="17">
        <v>11096</v>
      </c>
      <c r="AF149" s="17">
        <v>0</v>
      </c>
      <c r="AG149" s="17">
        <v>6482</v>
      </c>
      <c r="AH149" s="17">
        <v>0</v>
      </c>
      <c r="AI149" s="17">
        <v>4996</v>
      </c>
      <c r="AJ149" s="54">
        <f t="shared" si="58"/>
        <v>1753606</v>
      </c>
      <c r="AK149" s="54">
        <f t="shared" si="59"/>
        <v>1071024</v>
      </c>
      <c r="AL149" s="54">
        <f t="shared" si="60"/>
        <v>71322</v>
      </c>
      <c r="AM149" s="54">
        <f t="shared" si="61"/>
        <v>34604</v>
      </c>
      <c r="AN149" s="19">
        <v>46169</v>
      </c>
      <c r="AO149" s="487">
        <f t="shared" si="62"/>
        <v>-2.5687157572140129E-2</v>
      </c>
      <c r="AP149" s="487">
        <f t="shared" si="63"/>
        <v>-7.5743395948388192E-2</v>
      </c>
      <c r="AQ149" s="486">
        <f t="shared" si="64"/>
        <v>7.2442410845590999E-2</v>
      </c>
      <c r="AR149" s="486">
        <f t="shared" si="65"/>
        <v>-0.38786297322414909</v>
      </c>
      <c r="AS149" s="472">
        <f t="shared" si="66"/>
        <v>8.6437801732110575E-2</v>
      </c>
      <c r="AT149" s="472">
        <f t="shared" si="67"/>
        <v>-6.3903476076093702E-2</v>
      </c>
      <c r="AU149" s="472">
        <f t="shared" si="68"/>
        <v>-0.55663580502509236</v>
      </c>
      <c r="AV149" s="472">
        <f t="shared" si="69"/>
        <v>0.36967690375613649</v>
      </c>
      <c r="AW149" s="472">
        <f t="shared" si="70"/>
        <v>-5.7359954003810443E-2</v>
      </c>
      <c r="AX149" s="472">
        <f t="shared" si="71"/>
        <v>-0.3848676737230069</v>
      </c>
      <c r="AY149" s="472">
        <f t="shared" si="72"/>
        <v>-0.40552959417699441</v>
      </c>
      <c r="AZ149" s="472">
        <f t="shared" si="73"/>
        <v>-0.38924479044893778</v>
      </c>
      <c r="BA149" s="472">
        <f t="shared" si="74"/>
        <v>-0.47951999291502456</v>
      </c>
      <c r="BB149" s="472">
        <f t="shared" si="75"/>
        <v>-0.57577611255543659</v>
      </c>
      <c r="BC149" s="472">
        <f t="shared" si="76"/>
        <v>-0.51482011160651697</v>
      </c>
      <c r="BD149" s="472" t="e">
        <f t="shared" si="77"/>
        <v>#DIV/0!</v>
      </c>
      <c r="BE149" s="472" t="e">
        <f t="shared" si="78"/>
        <v>#DIV/0!</v>
      </c>
    </row>
    <row r="150" spans="1:57" hidden="1" x14ac:dyDescent="0.35">
      <c r="A150" s="19">
        <v>45806</v>
      </c>
      <c r="B150" s="17">
        <v>37519109</v>
      </c>
      <c r="C150" s="17">
        <v>37446290</v>
      </c>
      <c r="D150" s="17">
        <v>4707434.3793103453</v>
      </c>
      <c r="E150" s="17">
        <v>4773762</v>
      </c>
      <c r="F150" s="484">
        <f t="shared" si="54"/>
        <v>3151905.3793103448</v>
      </c>
      <c r="G150" s="484">
        <f t="shared" si="55"/>
        <v>3763852</v>
      </c>
      <c r="H150" s="484">
        <f t="shared" si="56"/>
        <v>1555529</v>
      </c>
      <c r="I150" s="484">
        <f t="shared" si="57"/>
        <v>1009910</v>
      </c>
      <c r="J150" s="19">
        <v>46170</v>
      </c>
      <c r="K150" s="17">
        <v>6189474.6488193097</v>
      </c>
      <c r="L150" s="22">
        <v>4109781.6677747699</v>
      </c>
      <c r="M150" s="22">
        <v>2079692.9810445399</v>
      </c>
      <c r="N150" s="17">
        <v>2978165</v>
      </c>
      <c r="O150" s="17">
        <v>3618780</v>
      </c>
      <c r="P150" s="17">
        <v>27291.379310344801</v>
      </c>
      <c r="Q150" s="17">
        <v>31726</v>
      </c>
      <c r="R150" s="17">
        <v>44594</v>
      </c>
      <c r="S150" s="17">
        <v>13833</v>
      </c>
      <c r="T150" s="17">
        <v>8693</v>
      </c>
      <c r="U150" s="17">
        <v>1382</v>
      </c>
      <c r="V150" s="17">
        <v>93162</v>
      </c>
      <c r="W150" s="17">
        <v>98131</v>
      </c>
      <c r="X150" s="17">
        <v>1195372</v>
      </c>
      <c r="Y150" s="17">
        <v>756891</v>
      </c>
      <c r="Z150" s="17">
        <v>298834</v>
      </c>
      <c r="AA150" s="17">
        <v>201932</v>
      </c>
      <c r="AB150" s="17">
        <v>46665</v>
      </c>
      <c r="AC150" s="17">
        <v>33137</v>
      </c>
      <c r="AD150" s="17">
        <v>14658</v>
      </c>
      <c r="AE150" s="17">
        <v>11225</v>
      </c>
      <c r="AF150" s="17">
        <v>0</v>
      </c>
      <c r="AG150" s="17">
        <v>4271</v>
      </c>
      <c r="AH150" s="17">
        <v>0</v>
      </c>
      <c r="AI150" s="17">
        <v>2454</v>
      </c>
      <c r="AJ150" s="54">
        <f t="shared" si="58"/>
        <v>1494206</v>
      </c>
      <c r="AK150" s="54">
        <f t="shared" si="59"/>
        <v>958823</v>
      </c>
      <c r="AL150" s="54">
        <f t="shared" si="60"/>
        <v>61323</v>
      </c>
      <c r="AM150" s="54">
        <f t="shared" si="61"/>
        <v>44362</v>
      </c>
      <c r="AN150" s="19">
        <v>46170</v>
      </c>
      <c r="AO150" s="487">
        <f t="shared" si="62"/>
        <v>-1.9408509940894714E-3</v>
      </c>
      <c r="AP150" s="487">
        <f t="shared" si="63"/>
        <v>1.4089972444687016E-2</v>
      </c>
      <c r="AQ150" s="486">
        <f t="shared" si="64"/>
        <v>0.19415132976598204</v>
      </c>
      <c r="AR150" s="486">
        <f t="shared" si="65"/>
        <v>-0.35076105942094293</v>
      </c>
      <c r="AS150" s="472">
        <f t="shared" si="66"/>
        <v>0.21510393144772033</v>
      </c>
      <c r="AT150" s="472">
        <f t="shared" si="67"/>
        <v>0.16249162928801675</v>
      </c>
      <c r="AU150" s="472">
        <f t="shared" si="68"/>
        <v>-0.68980131856303539</v>
      </c>
      <c r="AV150" s="472">
        <f t="shared" si="69"/>
        <v>-0.84102151156102611</v>
      </c>
      <c r="AW150" s="472">
        <f t="shared" si="70"/>
        <v>5.333719756982469E-2</v>
      </c>
      <c r="AX150" s="472">
        <f t="shared" si="71"/>
        <v>-0.36681551851641159</v>
      </c>
      <c r="AY150" s="472">
        <f t="shared" si="72"/>
        <v>-0.32426698434582413</v>
      </c>
      <c r="AZ150" s="472">
        <f t="shared" si="73"/>
        <v>-0.35830601670720097</v>
      </c>
      <c r="BA150" s="472">
        <f t="shared" si="74"/>
        <v>-0.28989606771670418</v>
      </c>
      <c r="BB150" s="472">
        <f t="shared" si="75"/>
        <v>-0.23420657661345345</v>
      </c>
      <c r="BC150" s="472">
        <f t="shared" si="76"/>
        <v>-0.27658464197772448</v>
      </c>
      <c r="BD150" s="472" t="e">
        <f t="shared" si="77"/>
        <v>#DIV/0!</v>
      </c>
      <c r="BE150" s="472" t="e">
        <f t="shared" si="78"/>
        <v>#DIV/0!</v>
      </c>
    </row>
    <row r="151" spans="1:57" hidden="1" x14ac:dyDescent="0.35">
      <c r="A151" s="16">
        <v>45807</v>
      </c>
      <c r="B151" s="17">
        <v>43157206</v>
      </c>
      <c r="C151" s="17">
        <v>42455021</v>
      </c>
      <c r="D151" s="17">
        <v>4171402.2413793104</v>
      </c>
      <c r="E151" s="17">
        <v>3887671</v>
      </c>
      <c r="F151" s="484">
        <f t="shared" si="54"/>
        <v>2648186.2413793104</v>
      </c>
      <c r="G151" s="484">
        <f t="shared" si="55"/>
        <v>2916324</v>
      </c>
      <c r="H151" s="484">
        <f t="shared" si="56"/>
        <v>1523216</v>
      </c>
      <c r="I151" s="484">
        <f t="shared" si="57"/>
        <v>971347</v>
      </c>
      <c r="J151" s="19">
        <v>46171</v>
      </c>
      <c r="K151" s="17">
        <v>5485879.74035291</v>
      </c>
      <c r="L151" s="22">
        <v>3454416.0166014698</v>
      </c>
      <c r="M151" s="22">
        <v>2031463.7237514399</v>
      </c>
      <c r="N151" s="17">
        <v>2453304</v>
      </c>
      <c r="O151" s="17">
        <v>2759171</v>
      </c>
      <c r="P151" s="17">
        <v>37442.241379310297</v>
      </c>
      <c r="Q151" s="17">
        <v>25341</v>
      </c>
      <c r="R151" s="17">
        <v>36352</v>
      </c>
      <c r="S151" s="17">
        <v>29617</v>
      </c>
      <c r="T151" s="17">
        <v>7638</v>
      </c>
      <c r="U151" s="17">
        <v>4838</v>
      </c>
      <c r="V151" s="17">
        <v>113450</v>
      </c>
      <c r="W151" s="17">
        <v>97357</v>
      </c>
      <c r="X151" s="17">
        <v>1220737</v>
      </c>
      <c r="Y151" s="17">
        <v>753282</v>
      </c>
      <c r="Z151" s="17">
        <v>249590</v>
      </c>
      <c r="AA151" s="17">
        <v>172862</v>
      </c>
      <c r="AB151" s="17">
        <v>38407</v>
      </c>
      <c r="AC151" s="17">
        <v>24477</v>
      </c>
      <c r="AD151" s="17">
        <v>14482</v>
      </c>
      <c r="AE151" s="17">
        <v>13363</v>
      </c>
      <c r="AF151" s="17">
        <v>0</v>
      </c>
      <c r="AG151" s="17">
        <v>6072</v>
      </c>
      <c r="AH151" s="17">
        <v>0</v>
      </c>
      <c r="AI151" s="17">
        <v>1291</v>
      </c>
      <c r="AJ151" s="54">
        <f t="shared" si="58"/>
        <v>1470327</v>
      </c>
      <c r="AK151" s="54">
        <f t="shared" si="59"/>
        <v>926144</v>
      </c>
      <c r="AL151" s="54">
        <f t="shared" si="60"/>
        <v>52889</v>
      </c>
      <c r="AM151" s="54">
        <f t="shared" si="61"/>
        <v>37840</v>
      </c>
      <c r="AN151" s="19">
        <v>46171</v>
      </c>
      <c r="AO151" s="487">
        <f t="shared" si="62"/>
        <v>-1.627039989567447E-2</v>
      </c>
      <c r="AP151" s="487">
        <f t="shared" si="63"/>
        <v>-6.8018192675058819E-2</v>
      </c>
      <c r="AQ151" s="486">
        <f t="shared" si="64"/>
        <v>0.10125336142560348</v>
      </c>
      <c r="AR151" s="486">
        <f t="shared" si="65"/>
        <v>-0.36230514910557665</v>
      </c>
      <c r="AS151" s="472">
        <f t="shared" si="66"/>
        <v>0.12467553959884303</v>
      </c>
      <c r="AT151" s="472">
        <f t="shared" si="67"/>
        <v>-0.32319756866898353</v>
      </c>
      <c r="AU151" s="472">
        <f t="shared" si="68"/>
        <v>-0.185271786971831</v>
      </c>
      <c r="AV151" s="472">
        <f t="shared" si="69"/>
        <v>-0.36658811207122288</v>
      </c>
      <c r="AW151" s="472">
        <f t="shared" si="70"/>
        <v>-0.14185103569854562</v>
      </c>
      <c r="AX151" s="472">
        <f t="shared" si="71"/>
        <v>-0.38292850958068769</v>
      </c>
      <c r="AY151" s="472">
        <f t="shared" si="72"/>
        <v>-0.30741616250651072</v>
      </c>
      <c r="AZ151" s="472">
        <f t="shared" si="73"/>
        <v>-0.37011018637350734</v>
      </c>
      <c r="BA151" s="472">
        <f t="shared" si="74"/>
        <v>-0.36269430051813467</v>
      </c>
      <c r="BB151" s="472">
        <f t="shared" si="75"/>
        <v>-7.7268333103162501E-2</v>
      </c>
      <c r="BC151" s="472">
        <f t="shared" si="76"/>
        <v>-0.28453931819470968</v>
      </c>
      <c r="BD151" s="472" t="e">
        <f t="shared" si="77"/>
        <v>#DIV/0!</v>
      </c>
      <c r="BE151" s="472" t="e">
        <f t="shared" si="78"/>
        <v>#DIV/0!</v>
      </c>
    </row>
    <row r="152" spans="1:57" hidden="1" x14ac:dyDescent="0.35">
      <c r="A152" s="19">
        <v>45808</v>
      </c>
      <c r="B152" s="17">
        <v>51180118</v>
      </c>
      <c r="C152" s="17">
        <v>50731319</v>
      </c>
      <c r="D152" s="17">
        <v>3784028.7931034481</v>
      </c>
      <c r="E152" s="17">
        <v>3591843</v>
      </c>
      <c r="F152" s="484">
        <f t="shared" si="54"/>
        <v>2437861.7931034481</v>
      </c>
      <c r="G152" s="484">
        <f t="shared" si="55"/>
        <v>2579621</v>
      </c>
      <c r="H152" s="484">
        <f t="shared" si="56"/>
        <v>1346167</v>
      </c>
      <c r="I152" s="484">
        <f t="shared" si="57"/>
        <v>1012222</v>
      </c>
      <c r="J152" s="19">
        <v>46172</v>
      </c>
      <c r="K152" s="17">
        <v>4983598.2525027702</v>
      </c>
      <c r="L152" s="22">
        <v>3181448.1200861302</v>
      </c>
      <c r="M152" s="22">
        <v>1802150.1324166399</v>
      </c>
      <c r="N152" s="17">
        <v>2260895</v>
      </c>
      <c r="O152" s="17">
        <v>2444647</v>
      </c>
      <c r="P152" s="17">
        <v>34463.793103448297</v>
      </c>
      <c r="Q152" s="17">
        <v>31667</v>
      </c>
      <c r="R152" s="17">
        <v>19296</v>
      </c>
      <c r="S152" s="17">
        <v>334</v>
      </c>
      <c r="T152" s="17">
        <v>4141</v>
      </c>
      <c r="U152" s="17">
        <v>732</v>
      </c>
      <c r="V152" s="17">
        <v>119066</v>
      </c>
      <c r="W152" s="17">
        <v>102241</v>
      </c>
      <c r="X152" s="17">
        <v>1010801</v>
      </c>
      <c r="Y152" s="17">
        <v>813542</v>
      </c>
      <c r="Z152" s="17">
        <v>278925</v>
      </c>
      <c r="AA152" s="17">
        <v>157583</v>
      </c>
      <c r="AB152" s="17">
        <v>39390</v>
      </c>
      <c r="AC152" s="17">
        <v>22067</v>
      </c>
      <c r="AD152" s="17">
        <v>17051</v>
      </c>
      <c r="AE152" s="17">
        <v>9771</v>
      </c>
      <c r="AF152" s="17">
        <v>0</v>
      </c>
      <c r="AG152" s="17">
        <v>1250</v>
      </c>
      <c r="AH152" s="17">
        <v>0</v>
      </c>
      <c r="AI152" s="17">
        <v>8009</v>
      </c>
      <c r="AJ152" s="54">
        <f t="shared" si="58"/>
        <v>1289726</v>
      </c>
      <c r="AK152" s="54">
        <f t="shared" si="59"/>
        <v>971125</v>
      </c>
      <c r="AL152" s="54">
        <f t="shared" si="60"/>
        <v>56441</v>
      </c>
      <c r="AM152" s="54">
        <f t="shared" si="61"/>
        <v>31838</v>
      </c>
      <c r="AN152" s="19">
        <v>46172</v>
      </c>
      <c r="AO152" s="487">
        <f t="shared" si="62"/>
        <v>-8.7690106537073875E-3</v>
      </c>
      <c r="AP152" s="487">
        <f t="shared" si="63"/>
        <v>-5.0788670914374334E-2</v>
      </c>
      <c r="AQ152" s="486">
        <f t="shared" si="64"/>
        <v>5.8148992407026201E-2</v>
      </c>
      <c r="AR152" s="486">
        <f t="shared" si="65"/>
        <v>-0.24807100456332687</v>
      </c>
      <c r="AS152" s="472">
        <f t="shared" si="66"/>
        <v>8.1274008744324666E-2</v>
      </c>
      <c r="AT152" s="472">
        <f t="shared" si="67"/>
        <v>-8.1151633398369727E-2</v>
      </c>
      <c r="AU152" s="472">
        <f t="shared" si="68"/>
        <v>-0.98269071310116085</v>
      </c>
      <c r="AV152" s="472">
        <f t="shared" si="69"/>
        <v>-0.82323110359816476</v>
      </c>
      <c r="AW152" s="472">
        <f t="shared" si="70"/>
        <v>-0.14130818201669659</v>
      </c>
      <c r="AX152" s="472">
        <f t="shared" si="71"/>
        <v>-0.19515117218918465</v>
      </c>
      <c r="AY152" s="472">
        <f t="shared" si="72"/>
        <v>-0.43503450748409067</v>
      </c>
      <c r="AZ152" s="472">
        <f t="shared" si="73"/>
        <v>-0.24702998931556008</v>
      </c>
      <c r="BA152" s="472">
        <f t="shared" si="74"/>
        <v>-0.43978167047473982</v>
      </c>
      <c r="BB152" s="472">
        <f t="shared" si="75"/>
        <v>-0.42695443082517159</v>
      </c>
      <c r="BC152" s="472">
        <f t="shared" si="76"/>
        <v>-0.43590652185468015</v>
      </c>
      <c r="BD152" s="472" t="e">
        <f t="shared" si="77"/>
        <v>#DIV/0!</v>
      </c>
      <c r="BE152" s="472" t="e">
        <f t="shared" si="78"/>
        <v>#DIV/0!</v>
      </c>
    </row>
    <row r="153" spans="1:57" hidden="1" x14ac:dyDescent="0.35">
      <c r="A153" s="16">
        <v>45809</v>
      </c>
      <c r="B153" s="17">
        <v>54033676</v>
      </c>
      <c r="C153" s="17">
        <v>51664485</v>
      </c>
      <c r="D153" s="17">
        <v>4327176.5517241377</v>
      </c>
      <c r="E153" s="17">
        <v>4126779</v>
      </c>
      <c r="F153" s="484">
        <f t="shared" si="54"/>
        <v>2869134.5517241377</v>
      </c>
      <c r="G153" s="484">
        <f t="shared" si="55"/>
        <v>2867997</v>
      </c>
      <c r="H153" s="484">
        <f t="shared" si="56"/>
        <v>1458042</v>
      </c>
      <c r="I153" s="484">
        <f t="shared" si="57"/>
        <v>1258782</v>
      </c>
      <c r="J153" s="19">
        <v>46173</v>
      </c>
      <c r="K153" s="17">
        <v>5635126.4442096399</v>
      </c>
      <c r="L153" s="22">
        <v>3688020.1859307298</v>
      </c>
      <c r="M153" s="22">
        <v>1947106.2582789101</v>
      </c>
      <c r="N153" s="17">
        <v>2641485</v>
      </c>
      <c r="O153" s="17">
        <v>2739282</v>
      </c>
      <c r="P153" s="17">
        <v>39671.551724137898</v>
      </c>
      <c r="Q153" s="17">
        <v>36548</v>
      </c>
      <c r="R153" s="17">
        <v>-228</v>
      </c>
      <c r="S153" s="17">
        <v>7405</v>
      </c>
      <c r="T153" s="17">
        <v>1403</v>
      </c>
      <c r="U153" s="17">
        <v>4382</v>
      </c>
      <c r="V153" s="17">
        <v>186803</v>
      </c>
      <c r="W153" s="17">
        <v>80380</v>
      </c>
      <c r="X153" s="17">
        <v>1125600</v>
      </c>
      <c r="Y153" s="17">
        <v>1043225</v>
      </c>
      <c r="Z153" s="17">
        <v>278166</v>
      </c>
      <c r="AA153" s="17">
        <v>173161</v>
      </c>
      <c r="AB153" s="17">
        <v>40863</v>
      </c>
      <c r="AC153" s="17">
        <v>23659</v>
      </c>
      <c r="AD153" s="17">
        <v>13413</v>
      </c>
      <c r="AE153" s="17">
        <v>10923</v>
      </c>
      <c r="AF153" s="17">
        <v>0</v>
      </c>
      <c r="AG153" s="17">
        <v>2086</v>
      </c>
      <c r="AH153" s="17">
        <v>0</v>
      </c>
      <c r="AI153" s="17">
        <v>5728</v>
      </c>
      <c r="AJ153" s="54">
        <f t="shared" si="58"/>
        <v>1403766</v>
      </c>
      <c r="AK153" s="54">
        <f t="shared" si="59"/>
        <v>1216386</v>
      </c>
      <c r="AL153" s="54">
        <f t="shared" si="60"/>
        <v>54276</v>
      </c>
      <c r="AM153" s="54">
        <f t="shared" si="61"/>
        <v>34582</v>
      </c>
      <c r="AN153" s="19">
        <v>46173</v>
      </c>
      <c r="AO153" s="487">
        <f t="shared" si="62"/>
        <v>-4.3846563391319093E-2</v>
      </c>
      <c r="AP153" s="487">
        <f t="shared" si="63"/>
        <v>-4.6311387882773225E-2</v>
      </c>
      <c r="AQ153" s="486">
        <f t="shared" si="64"/>
        <v>-3.9647904398698586E-4</v>
      </c>
      <c r="AR153" s="486">
        <f t="shared" si="65"/>
        <v>-0.13666272988020922</v>
      </c>
      <c r="AS153" s="472">
        <f t="shared" si="66"/>
        <v>3.7023492467305408E-2</v>
      </c>
      <c r="AT153" s="472">
        <f t="shared" si="67"/>
        <v>-7.8735304982723742E-2</v>
      </c>
      <c r="AU153" s="472">
        <f t="shared" si="68"/>
        <v>-33.478070175438596</v>
      </c>
      <c r="AV153" s="472">
        <f t="shared" si="69"/>
        <v>2.1233071988595866</v>
      </c>
      <c r="AW153" s="472">
        <f t="shared" si="70"/>
        <v>-0.56970712461791306</v>
      </c>
      <c r="AX153" s="472">
        <f t="shared" si="71"/>
        <v>-7.3183191186922514E-2</v>
      </c>
      <c r="AY153" s="472">
        <f t="shared" si="72"/>
        <v>-0.37749041938986072</v>
      </c>
      <c r="AZ153" s="472">
        <f t="shared" si="73"/>
        <v>-0.13348378575916497</v>
      </c>
      <c r="BA153" s="472">
        <f t="shared" si="74"/>
        <v>-0.42101656755500083</v>
      </c>
      <c r="BB153" s="472">
        <f t="shared" si="75"/>
        <v>-0.18564079624245133</v>
      </c>
      <c r="BC153" s="472">
        <f t="shared" si="76"/>
        <v>-0.36284914142530766</v>
      </c>
      <c r="BD153" s="472" t="e">
        <f t="shared" si="77"/>
        <v>#DIV/0!</v>
      </c>
      <c r="BE153" s="472" t="e">
        <f t="shared" si="78"/>
        <v>#DIV/0!</v>
      </c>
    </row>
    <row r="154" spans="1:57" x14ac:dyDescent="0.35">
      <c r="A154" s="19">
        <v>45810</v>
      </c>
      <c r="B154" s="17">
        <v>30821255</v>
      </c>
      <c r="C154" s="17">
        <v>28438618</v>
      </c>
      <c r="D154" s="17">
        <v>5295147.3103448283</v>
      </c>
      <c r="E154" s="17">
        <v>5321760</v>
      </c>
      <c r="F154" s="484">
        <f t="shared" si="54"/>
        <v>3812724.3103448278</v>
      </c>
      <c r="G154" s="484">
        <f t="shared" si="55"/>
        <v>4223699</v>
      </c>
      <c r="H154" s="484">
        <f t="shared" si="56"/>
        <v>1482423</v>
      </c>
      <c r="I154" s="484">
        <f t="shared" si="57"/>
        <v>1098061</v>
      </c>
      <c r="J154" s="19">
        <v>46174</v>
      </c>
      <c r="K154" s="17">
        <v>5628230.5453892499</v>
      </c>
      <c r="L154" s="17">
        <v>3718237.2221329901</v>
      </c>
      <c r="M154" s="17">
        <v>1909993.32325626</v>
      </c>
      <c r="N154" s="17">
        <v>3591037</v>
      </c>
      <c r="O154" s="17">
        <v>4064668</v>
      </c>
      <c r="P154" s="17">
        <v>32404.310344827602</v>
      </c>
      <c r="Q154" s="17">
        <v>29432</v>
      </c>
      <c r="R154" s="17">
        <v>47857</v>
      </c>
      <c r="S154" s="17">
        <v>26689</v>
      </c>
      <c r="T154" s="17">
        <v>7967</v>
      </c>
      <c r="U154" s="17">
        <v>10478</v>
      </c>
      <c r="V154" s="17">
        <v>133459</v>
      </c>
      <c r="W154" s="17">
        <v>92432</v>
      </c>
      <c r="X154" s="17">
        <v>1113451</v>
      </c>
      <c r="Y154" s="17">
        <v>904974</v>
      </c>
      <c r="Z154" s="17">
        <v>281772</v>
      </c>
      <c r="AA154" s="17">
        <v>135586</v>
      </c>
      <c r="AB154" s="17">
        <v>68092</v>
      </c>
      <c r="AC154" s="17">
        <v>29579</v>
      </c>
      <c r="AD154" s="17">
        <v>19108</v>
      </c>
      <c r="AE154" s="17">
        <v>10801</v>
      </c>
      <c r="AF154" s="17">
        <v>0</v>
      </c>
      <c r="AG154" s="17">
        <v>8208</v>
      </c>
      <c r="AH154" s="17">
        <v>0</v>
      </c>
      <c r="AI154" s="17">
        <v>8913</v>
      </c>
      <c r="AJ154" s="54">
        <f t="shared" si="58"/>
        <v>1395223</v>
      </c>
      <c r="AK154" s="54">
        <f t="shared" si="59"/>
        <v>1040560</v>
      </c>
      <c r="AL154" s="54">
        <f t="shared" si="60"/>
        <v>87200</v>
      </c>
      <c r="AM154" s="54">
        <f t="shared" si="61"/>
        <v>40380</v>
      </c>
      <c r="AN154" s="19">
        <v>46174</v>
      </c>
      <c r="AO154" s="487">
        <f t="shared" si="62"/>
        <v>-7.73049961787734E-2</v>
      </c>
      <c r="AP154" s="487">
        <f t="shared" si="63"/>
        <v>5.0258638892217711E-3</v>
      </c>
      <c r="AQ154" s="486">
        <f t="shared" si="64"/>
        <v>0.1077902980134442</v>
      </c>
      <c r="AR154" s="486">
        <f t="shared" si="65"/>
        <v>-0.25927957135041757</v>
      </c>
      <c r="AS154" s="472">
        <f t="shared" si="66"/>
        <v>0.13189254246057613</v>
      </c>
      <c r="AT154" s="472">
        <f t="shared" si="67"/>
        <v>-9.1725770837213449E-2</v>
      </c>
      <c r="AU154" s="472">
        <f t="shared" si="68"/>
        <v>-0.44231773826190524</v>
      </c>
      <c r="AV154" s="472">
        <f t="shared" si="69"/>
        <v>0.31517509727626458</v>
      </c>
      <c r="AW154" s="472">
        <f t="shared" si="70"/>
        <v>-0.30741276347042912</v>
      </c>
      <c r="AX154" s="472">
        <f t="shared" si="71"/>
        <v>-0.18723500180968899</v>
      </c>
      <c r="AY154" s="472">
        <f t="shared" si="72"/>
        <v>-0.5188095339494343</v>
      </c>
      <c r="AZ154" s="472">
        <f t="shared" si="73"/>
        <v>-0.25419807442967901</v>
      </c>
      <c r="BA154" s="472">
        <f t="shared" si="74"/>
        <v>-0.56560242025494922</v>
      </c>
      <c r="BB154" s="472">
        <f t="shared" si="75"/>
        <v>-0.43473937617751723</v>
      </c>
      <c r="BC154" s="472">
        <f t="shared" si="76"/>
        <v>-0.53692660550458715</v>
      </c>
      <c r="BD154" s="472">
        <f t="shared" ref="BD154:BD185" si="79">IFERROR(AG154/AF154-1,1)</f>
        <v>1</v>
      </c>
      <c r="BE154" s="472">
        <f t="shared" ref="BE154:BE185" si="80">IFERROR(AI154/AH154-1,1)</f>
        <v>1</v>
      </c>
    </row>
    <row r="155" spans="1:57" x14ac:dyDescent="0.35">
      <c r="A155" s="16">
        <v>45811</v>
      </c>
      <c r="B155" s="17">
        <v>35443743</v>
      </c>
      <c r="C155" s="17">
        <v>32512385</v>
      </c>
      <c r="D155" s="17">
        <v>6788915.6896551726</v>
      </c>
      <c r="E155" s="17">
        <v>5929940</v>
      </c>
      <c r="F155" s="484">
        <f t="shared" si="54"/>
        <v>4893991.6896551726</v>
      </c>
      <c r="G155" s="484">
        <f t="shared" si="55"/>
        <v>4767854</v>
      </c>
      <c r="H155" s="484">
        <f t="shared" si="56"/>
        <v>1894924</v>
      </c>
      <c r="I155" s="484">
        <f t="shared" si="57"/>
        <v>1162086</v>
      </c>
      <c r="J155" s="19">
        <v>46175</v>
      </c>
      <c r="K155" s="17">
        <v>6910737.6119030602</v>
      </c>
      <c r="L155" s="17">
        <v>4968805.8758889297</v>
      </c>
      <c r="M155" s="17">
        <v>1941931.7360141301</v>
      </c>
      <c r="N155" s="17">
        <v>4671193</v>
      </c>
      <c r="O155" s="17">
        <v>4572359</v>
      </c>
      <c r="P155" s="17">
        <v>32920.689655172398</v>
      </c>
      <c r="Q155" s="17">
        <v>23766</v>
      </c>
      <c r="R155" s="17">
        <v>51815</v>
      </c>
      <c r="S155" s="17">
        <v>47963</v>
      </c>
      <c r="T155" s="17">
        <v>10260</v>
      </c>
      <c r="U155" s="17">
        <v>15476</v>
      </c>
      <c r="V155" s="17">
        <v>127803</v>
      </c>
      <c r="W155" s="17">
        <v>108290</v>
      </c>
      <c r="X155" s="17">
        <v>1389018</v>
      </c>
      <c r="Y155" s="17">
        <v>930339</v>
      </c>
      <c r="Z155" s="17">
        <v>419059</v>
      </c>
      <c r="AA155" s="17">
        <v>178091</v>
      </c>
      <c r="AB155" s="17">
        <v>74233</v>
      </c>
      <c r="AC155" s="17">
        <v>32506</v>
      </c>
      <c r="AD155" s="17">
        <v>12614</v>
      </c>
      <c r="AE155" s="17">
        <v>12255</v>
      </c>
      <c r="AF155" s="17">
        <v>0</v>
      </c>
      <c r="AG155" s="17">
        <v>4331</v>
      </c>
      <c r="AH155" s="17">
        <v>0</v>
      </c>
      <c r="AI155" s="17">
        <v>4564</v>
      </c>
      <c r="AJ155" s="54">
        <f t="shared" si="58"/>
        <v>1808077</v>
      </c>
      <c r="AK155" s="54">
        <f t="shared" si="59"/>
        <v>1108430</v>
      </c>
      <c r="AL155" s="54">
        <f t="shared" si="60"/>
        <v>86847</v>
      </c>
      <c r="AM155" s="54">
        <f t="shared" si="61"/>
        <v>44761</v>
      </c>
      <c r="AN155" s="19">
        <v>46175</v>
      </c>
      <c r="AO155" s="487">
        <f t="shared" si="62"/>
        <v>-8.2704527002128381E-2</v>
      </c>
      <c r="AP155" s="487">
        <f t="shared" si="63"/>
        <v>-0.12652619783805308</v>
      </c>
      <c r="AQ155" s="486">
        <f t="shared" si="64"/>
        <v>-2.5773989343259474E-2</v>
      </c>
      <c r="AR155" s="486">
        <f t="shared" si="65"/>
        <v>-0.38673741004916296</v>
      </c>
      <c r="AS155" s="472">
        <f t="shared" si="66"/>
        <v>-2.1158192350433813E-2</v>
      </c>
      <c r="AT155" s="472">
        <f t="shared" si="67"/>
        <v>-0.27808316748716844</v>
      </c>
      <c r="AU155" s="472">
        <f t="shared" si="68"/>
        <v>-7.4341406928495557E-2</v>
      </c>
      <c r="AV155" s="472">
        <f t="shared" si="69"/>
        <v>0.50838206627680305</v>
      </c>
      <c r="AW155" s="472">
        <f t="shared" si="70"/>
        <v>-0.15268029701963182</v>
      </c>
      <c r="AX155" s="472">
        <f t="shared" si="71"/>
        <v>-0.33021818291771599</v>
      </c>
      <c r="AY155" s="472">
        <f t="shared" si="72"/>
        <v>-0.57502165566185193</v>
      </c>
      <c r="AZ155" s="472">
        <f t="shared" si="73"/>
        <v>-0.38695641833837824</v>
      </c>
      <c r="BA155" s="472">
        <f t="shared" si="74"/>
        <v>-0.56210849622135706</v>
      </c>
      <c r="BB155" s="472">
        <f t="shared" si="75"/>
        <v>-2.8460440780085583E-2</v>
      </c>
      <c r="BC155" s="472">
        <f t="shared" si="76"/>
        <v>-0.48459935288495859</v>
      </c>
      <c r="BD155" s="472">
        <f t="shared" si="79"/>
        <v>1</v>
      </c>
      <c r="BE155" s="472">
        <f t="shared" si="80"/>
        <v>1</v>
      </c>
    </row>
    <row r="156" spans="1:57" x14ac:dyDescent="0.35">
      <c r="A156" s="19">
        <v>45812</v>
      </c>
      <c r="B156" s="17">
        <v>35210999</v>
      </c>
      <c r="C156" s="17">
        <v>31971655</v>
      </c>
      <c r="D156" s="17">
        <v>4673886.3448275868</v>
      </c>
      <c r="E156" s="17">
        <v>4464670</v>
      </c>
      <c r="F156" s="484">
        <f t="shared" si="54"/>
        <v>3528636.3448275863</v>
      </c>
      <c r="G156" s="484">
        <f t="shared" si="55"/>
        <v>3739380</v>
      </c>
      <c r="H156" s="484">
        <f t="shared" si="56"/>
        <v>1145250</v>
      </c>
      <c r="I156" s="484">
        <f t="shared" si="57"/>
        <v>725290</v>
      </c>
      <c r="J156" s="19">
        <v>46176</v>
      </c>
      <c r="K156" s="17">
        <v>8873325.0488210805</v>
      </c>
      <c r="L156" s="17">
        <v>6391028.7994139604</v>
      </c>
      <c r="M156" s="17">
        <v>2482296.24940712</v>
      </c>
      <c r="N156" s="17">
        <v>3304777</v>
      </c>
      <c r="O156" s="17">
        <v>3552563</v>
      </c>
      <c r="P156" s="17">
        <v>29785.344827586199</v>
      </c>
      <c r="Q156" s="17">
        <v>26173</v>
      </c>
      <c r="R156" s="17">
        <v>42044</v>
      </c>
      <c r="S156" s="17">
        <v>32530</v>
      </c>
      <c r="T156" s="17">
        <v>4685</v>
      </c>
      <c r="U156" s="17">
        <v>6406</v>
      </c>
      <c r="V156" s="17">
        <v>147345</v>
      </c>
      <c r="W156" s="17">
        <v>121708</v>
      </c>
      <c r="X156" s="17">
        <v>792011</v>
      </c>
      <c r="Y156" s="17">
        <v>539970</v>
      </c>
      <c r="Z156" s="17">
        <v>301527</v>
      </c>
      <c r="AA156" s="17">
        <v>136278</v>
      </c>
      <c r="AB156" s="17">
        <v>38002</v>
      </c>
      <c r="AC156" s="17">
        <v>35037</v>
      </c>
      <c r="AD156" s="17">
        <v>13710</v>
      </c>
      <c r="AE156" s="17">
        <v>7759</v>
      </c>
      <c r="AF156" s="17">
        <v>0</v>
      </c>
      <c r="AG156" s="17">
        <v>4912</v>
      </c>
      <c r="AH156" s="17">
        <v>0</v>
      </c>
      <c r="AI156" s="17">
        <v>1334</v>
      </c>
      <c r="AJ156" s="54">
        <f t="shared" si="58"/>
        <v>1093538</v>
      </c>
      <c r="AK156" s="54">
        <f t="shared" si="59"/>
        <v>676248</v>
      </c>
      <c r="AL156" s="54">
        <f t="shared" si="60"/>
        <v>51712</v>
      </c>
      <c r="AM156" s="54">
        <f t="shared" si="61"/>
        <v>42796</v>
      </c>
      <c r="AN156" s="19">
        <v>46176</v>
      </c>
      <c r="AO156" s="487">
        <f t="shared" si="62"/>
        <v>-9.19980713980878E-2</v>
      </c>
      <c r="AP156" s="487">
        <f t="shared" si="63"/>
        <v>-4.47628224976242E-2</v>
      </c>
      <c r="AQ156" s="486">
        <f t="shared" si="64"/>
        <v>5.9723823760226891E-2</v>
      </c>
      <c r="AR156" s="486">
        <f t="shared" si="65"/>
        <v>-0.36669722767954593</v>
      </c>
      <c r="AS156" s="472">
        <f t="shared" si="66"/>
        <v>7.4978130143123156E-2</v>
      </c>
      <c r="AT156" s="472">
        <f t="shared" si="67"/>
        <v>-0.12127926832797875</v>
      </c>
      <c r="AU156" s="472">
        <f t="shared" si="68"/>
        <v>-0.22628674721720099</v>
      </c>
      <c r="AV156" s="472">
        <f t="shared" si="69"/>
        <v>0.36734258271077902</v>
      </c>
      <c r="AW156" s="472">
        <f t="shared" si="70"/>
        <v>-0.17399300960331199</v>
      </c>
      <c r="AX156" s="472">
        <f t="shared" si="71"/>
        <v>-0.31822916600905793</v>
      </c>
      <c r="AY156" s="472">
        <f t="shared" si="72"/>
        <v>-0.54804047398740408</v>
      </c>
      <c r="AZ156" s="472">
        <f t="shared" si="73"/>
        <v>-0.38159624997027997</v>
      </c>
      <c r="BA156" s="472">
        <f t="shared" si="74"/>
        <v>-7.8022209357402228E-2</v>
      </c>
      <c r="BB156" s="472">
        <f t="shared" si="75"/>
        <v>-0.43406272793581324</v>
      </c>
      <c r="BC156" s="472">
        <f t="shared" si="76"/>
        <v>-0.17241646039603964</v>
      </c>
      <c r="BD156" s="472">
        <f t="shared" si="79"/>
        <v>1</v>
      </c>
      <c r="BE156" s="472">
        <f t="shared" si="80"/>
        <v>1</v>
      </c>
    </row>
    <row r="157" spans="1:57" x14ac:dyDescent="0.35">
      <c r="A157" s="16">
        <v>45813</v>
      </c>
      <c r="B157" s="17">
        <v>38609736</v>
      </c>
      <c r="C157" s="17">
        <v>34179408</v>
      </c>
      <c r="D157" s="17">
        <v>3575822.1724137929</v>
      </c>
      <c r="E157" s="17">
        <v>3527523</v>
      </c>
      <c r="F157" s="484">
        <f t="shared" si="54"/>
        <v>2639487.1724137929</v>
      </c>
      <c r="G157" s="484">
        <f t="shared" si="55"/>
        <v>2984995</v>
      </c>
      <c r="H157" s="484">
        <f t="shared" si="56"/>
        <v>936335</v>
      </c>
      <c r="I157" s="484">
        <f t="shared" si="57"/>
        <v>542528</v>
      </c>
      <c r="J157" s="19">
        <v>46177</v>
      </c>
      <c r="K157" s="17">
        <v>6101558.7720924998</v>
      </c>
      <c r="L157" s="17">
        <v>4601314.02368386</v>
      </c>
      <c r="M157" s="17">
        <v>1500244.74840864</v>
      </c>
      <c r="N157" s="17">
        <v>2405203</v>
      </c>
      <c r="O157" s="17">
        <v>2797805</v>
      </c>
      <c r="P157" s="17">
        <v>24530.172413793101</v>
      </c>
      <c r="Q157" s="17">
        <v>20815</v>
      </c>
      <c r="R157" s="17">
        <v>28287</v>
      </c>
      <c r="S157" s="17">
        <v>73509</v>
      </c>
      <c r="T157" s="17">
        <v>7601</v>
      </c>
      <c r="U157" s="17">
        <v>4322</v>
      </c>
      <c r="V157" s="17">
        <v>173866</v>
      </c>
      <c r="W157" s="17">
        <v>88544</v>
      </c>
      <c r="X157" s="17">
        <v>649458</v>
      </c>
      <c r="Y157" s="17">
        <v>330252</v>
      </c>
      <c r="Z157" s="17">
        <v>251407</v>
      </c>
      <c r="AA157" s="17">
        <v>176072</v>
      </c>
      <c r="AB157" s="17">
        <v>22490</v>
      </c>
      <c r="AC157" s="17">
        <v>20525</v>
      </c>
      <c r="AD157" s="17">
        <v>12980</v>
      </c>
      <c r="AE157" s="17">
        <v>5500</v>
      </c>
      <c r="AF157" s="17">
        <v>0</v>
      </c>
      <c r="AG157" s="17">
        <v>5098</v>
      </c>
      <c r="AH157" s="17">
        <v>0</v>
      </c>
      <c r="AI157" s="17">
        <v>5081</v>
      </c>
      <c r="AJ157" s="54">
        <f t="shared" si="58"/>
        <v>900865</v>
      </c>
      <c r="AK157" s="54">
        <f t="shared" si="59"/>
        <v>506324</v>
      </c>
      <c r="AL157" s="54">
        <f t="shared" si="60"/>
        <v>35470</v>
      </c>
      <c r="AM157" s="54">
        <f t="shared" si="61"/>
        <v>26025</v>
      </c>
      <c r="AN157" s="19">
        <v>46177</v>
      </c>
      <c r="AO157" s="487">
        <f t="shared" si="62"/>
        <v>-0.11474639453634183</v>
      </c>
      <c r="AP157" s="487">
        <f t="shared" si="63"/>
        <v>-1.350715166609906E-2</v>
      </c>
      <c r="AQ157" s="486">
        <f t="shared" si="64"/>
        <v>0.13089960474035656</v>
      </c>
      <c r="AR157" s="486">
        <f t="shared" si="65"/>
        <v>-0.42058344502768774</v>
      </c>
      <c r="AS157" s="472">
        <f t="shared" si="66"/>
        <v>0.16323029698532721</v>
      </c>
      <c r="AT157" s="472">
        <f t="shared" si="67"/>
        <v>-0.15145317167457384</v>
      </c>
      <c r="AU157" s="472">
        <f t="shared" si="68"/>
        <v>1.5986849082617458</v>
      </c>
      <c r="AV157" s="472">
        <f t="shared" si="69"/>
        <v>-0.43139060649914485</v>
      </c>
      <c r="AW157" s="472">
        <f t="shared" si="70"/>
        <v>-0.4907342436128973</v>
      </c>
      <c r="AX157" s="472">
        <f t="shared" si="71"/>
        <v>-0.49149598588361376</v>
      </c>
      <c r="AY157" s="472">
        <f t="shared" si="72"/>
        <v>-0.29965354982160397</v>
      </c>
      <c r="AZ157" s="472">
        <f t="shared" si="73"/>
        <v>-0.43795796262481057</v>
      </c>
      <c r="BA157" s="472">
        <f t="shared" si="74"/>
        <v>-8.7372165406847446E-2</v>
      </c>
      <c r="BB157" s="472">
        <f t="shared" si="75"/>
        <v>-0.57627118644067798</v>
      </c>
      <c r="BC157" s="472">
        <f t="shared" si="76"/>
        <v>-0.26628136453340856</v>
      </c>
      <c r="BD157" s="472">
        <f t="shared" si="79"/>
        <v>1</v>
      </c>
      <c r="BE157" s="472">
        <f t="shared" si="80"/>
        <v>1</v>
      </c>
    </row>
    <row r="158" spans="1:57" x14ac:dyDescent="0.35">
      <c r="A158" s="19">
        <v>45814</v>
      </c>
      <c r="B158" s="17">
        <v>40369746</v>
      </c>
      <c r="C158" s="17">
        <v>36164915</v>
      </c>
      <c r="D158" s="17">
        <v>3043546.4827586208</v>
      </c>
      <c r="E158" s="17">
        <v>2971920</v>
      </c>
      <c r="F158" s="484">
        <f t="shared" si="54"/>
        <v>2233464.4827586208</v>
      </c>
      <c r="G158" s="484">
        <f t="shared" si="55"/>
        <v>2416309</v>
      </c>
      <c r="H158" s="484">
        <f t="shared" si="56"/>
        <v>810082</v>
      </c>
      <c r="I158" s="484">
        <f t="shared" si="57"/>
        <v>555611</v>
      </c>
      <c r="J158" s="19">
        <v>46178</v>
      </c>
      <c r="K158" s="17">
        <v>4663412.6250081202</v>
      </c>
      <c r="L158" s="17">
        <v>3436840.55209722</v>
      </c>
      <c r="M158" s="17">
        <v>1226572.0729109</v>
      </c>
      <c r="N158" s="17">
        <v>2001508</v>
      </c>
      <c r="O158" s="17">
        <v>2265727</v>
      </c>
      <c r="P158" s="17">
        <v>24459.482758620699</v>
      </c>
      <c r="Q158" s="17">
        <v>32888</v>
      </c>
      <c r="R158" s="17">
        <v>72867</v>
      </c>
      <c r="S158" s="17">
        <v>13246</v>
      </c>
      <c r="T158" s="17">
        <v>5878</v>
      </c>
      <c r="U158" s="17">
        <v>5193</v>
      </c>
      <c r="V158" s="17">
        <v>128752</v>
      </c>
      <c r="W158" s="17">
        <v>99255</v>
      </c>
      <c r="X158" s="17">
        <v>599700</v>
      </c>
      <c r="Y158" s="17">
        <v>351624</v>
      </c>
      <c r="Z158" s="17">
        <v>181701</v>
      </c>
      <c r="AA158" s="17">
        <v>180239</v>
      </c>
      <c r="AB158" s="17">
        <v>19333</v>
      </c>
      <c r="AC158" s="17">
        <v>11727</v>
      </c>
      <c r="AD158" s="17">
        <v>9348</v>
      </c>
      <c r="AE158" s="17">
        <v>6281</v>
      </c>
      <c r="AF158" s="17">
        <v>0</v>
      </c>
      <c r="AG158" s="17">
        <v>4449</v>
      </c>
      <c r="AH158" s="17">
        <v>0</v>
      </c>
      <c r="AI158" s="17">
        <v>1291</v>
      </c>
      <c r="AJ158" s="54">
        <f t="shared" si="58"/>
        <v>781401</v>
      </c>
      <c r="AK158" s="54">
        <f t="shared" si="59"/>
        <v>531863</v>
      </c>
      <c r="AL158" s="54">
        <f t="shared" si="60"/>
        <v>28681</v>
      </c>
      <c r="AM158" s="54">
        <f t="shared" si="61"/>
        <v>18008</v>
      </c>
      <c r="AN158" s="19">
        <v>46178</v>
      </c>
      <c r="AO158" s="487">
        <f t="shared" si="62"/>
        <v>-0.10415797513316039</v>
      </c>
      <c r="AP158" s="487">
        <f t="shared" si="63"/>
        <v>-2.3533888233472799E-2</v>
      </c>
      <c r="AQ158" s="486">
        <f t="shared" si="64"/>
        <v>8.1865871901191989E-2</v>
      </c>
      <c r="AR158" s="486">
        <f t="shared" si="65"/>
        <v>-0.31412992758757752</v>
      </c>
      <c r="AS158" s="472">
        <f t="shared" si="66"/>
        <v>0.13200996448677693</v>
      </c>
      <c r="AT158" s="472">
        <f t="shared" si="67"/>
        <v>0.34459098438656421</v>
      </c>
      <c r="AU158" s="472">
        <f t="shared" si="68"/>
        <v>-0.81821675106701253</v>
      </c>
      <c r="AV158" s="472">
        <f t="shared" si="69"/>
        <v>-0.11653623681524328</v>
      </c>
      <c r="AW158" s="472">
        <f t="shared" si="70"/>
        <v>-0.22909935379644586</v>
      </c>
      <c r="AX158" s="472">
        <f t="shared" si="71"/>
        <v>-0.4136668334167084</v>
      </c>
      <c r="AY158" s="472">
        <f t="shared" si="72"/>
        <v>-8.0461857667266656E-3</v>
      </c>
      <c r="AZ158" s="472">
        <f t="shared" si="73"/>
        <v>-0.31934691662795411</v>
      </c>
      <c r="BA158" s="472">
        <f t="shared" si="74"/>
        <v>-0.39342057621683135</v>
      </c>
      <c r="BB158" s="472">
        <f t="shared" si="75"/>
        <v>-0.32809157038938808</v>
      </c>
      <c r="BC158" s="472">
        <f t="shared" si="76"/>
        <v>-0.37212788954360032</v>
      </c>
      <c r="BD158" s="472">
        <f t="shared" si="79"/>
        <v>1</v>
      </c>
      <c r="BE158" s="472">
        <f t="shared" si="80"/>
        <v>1</v>
      </c>
    </row>
    <row r="159" spans="1:57" x14ac:dyDescent="0.35">
      <c r="A159" s="16">
        <v>45815</v>
      </c>
      <c r="B159" s="17">
        <v>50222961</v>
      </c>
      <c r="C159" s="17">
        <v>47697211</v>
      </c>
      <c r="D159" s="17">
        <v>2666977.8965517241</v>
      </c>
      <c r="E159" s="17">
        <v>2870666</v>
      </c>
      <c r="F159" s="484">
        <f t="shared" si="54"/>
        <v>2030111.8965517241</v>
      </c>
      <c r="G159" s="484">
        <f t="shared" si="55"/>
        <v>2315852</v>
      </c>
      <c r="H159" s="484">
        <f t="shared" si="56"/>
        <v>636866</v>
      </c>
      <c r="I159" s="484">
        <f t="shared" si="57"/>
        <v>554814</v>
      </c>
      <c r="J159" s="19">
        <v>46179</v>
      </c>
      <c r="K159" s="17">
        <v>3963610.0504163904</v>
      </c>
      <c r="L159" s="17">
        <v>2902425.7969517601</v>
      </c>
      <c r="M159" s="17">
        <v>1061184.2534646301</v>
      </c>
      <c r="N159" s="17">
        <v>1812078</v>
      </c>
      <c r="O159" s="17">
        <v>2159116</v>
      </c>
      <c r="P159" s="17">
        <v>25031.896551724101</v>
      </c>
      <c r="Q159" s="17">
        <v>34578</v>
      </c>
      <c r="R159" s="17">
        <v>25976</v>
      </c>
      <c r="S159" s="17">
        <v>22387</v>
      </c>
      <c r="T159" s="17">
        <v>10248</v>
      </c>
      <c r="U159" s="17">
        <v>1996</v>
      </c>
      <c r="V159" s="17">
        <v>156778</v>
      </c>
      <c r="W159" s="17">
        <v>97775</v>
      </c>
      <c r="X159" s="17">
        <v>495806</v>
      </c>
      <c r="Y159" s="17">
        <v>344708</v>
      </c>
      <c r="Z159" s="17">
        <v>116017</v>
      </c>
      <c r="AA159" s="17">
        <v>188671</v>
      </c>
      <c r="AB159" s="17">
        <v>17934</v>
      </c>
      <c r="AC159" s="17">
        <v>9093</v>
      </c>
      <c r="AD159" s="17">
        <v>7109</v>
      </c>
      <c r="AE159" s="17">
        <v>3824</v>
      </c>
      <c r="AF159" s="17">
        <v>0</v>
      </c>
      <c r="AG159" s="17">
        <v>5418</v>
      </c>
      <c r="AH159" s="17">
        <v>0</v>
      </c>
      <c r="AI159" s="17">
        <v>3100</v>
      </c>
      <c r="AJ159" s="54">
        <f t="shared" si="58"/>
        <v>611823</v>
      </c>
      <c r="AK159" s="54">
        <f t="shared" si="59"/>
        <v>533379</v>
      </c>
      <c r="AL159" s="54">
        <f t="shared" si="60"/>
        <v>25043</v>
      </c>
      <c r="AM159" s="54">
        <f t="shared" si="61"/>
        <v>12917</v>
      </c>
      <c r="AN159" s="19">
        <v>46179</v>
      </c>
      <c r="AO159" s="487">
        <f t="shared" si="62"/>
        <v>-5.0290742515161524E-2</v>
      </c>
      <c r="AP159" s="487">
        <f t="shared" si="63"/>
        <v>7.63741250767902E-2</v>
      </c>
      <c r="AQ159" s="486">
        <f t="shared" si="64"/>
        <v>0.14075091325439937</v>
      </c>
      <c r="AR159" s="486">
        <f t="shared" si="65"/>
        <v>-0.12883714941604674</v>
      </c>
      <c r="AS159" s="472">
        <f t="shared" si="66"/>
        <v>0.19151383108232656</v>
      </c>
      <c r="AT159" s="472">
        <f t="shared" si="67"/>
        <v>0.38135757826221917</v>
      </c>
      <c r="AU159" s="472">
        <f t="shared" si="68"/>
        <v>-0.13816599938404683</v>
      </c>
      <c r="AV159" s="472">
        <f t="shared" si="69"/>
        <v>-0.80523028883684622</v>
      </c>
      <c r="AW159" s="472">
        <f t="shared" si="70"/>
        <v>-0.37634744670808407</v>
      </c>
      <c r="AX159" s="472">
        <f t="shared" si="71"/>
        <v>-0.30475226197343319</v>
      </c>
      <c r="AY159" s="472">
        <f t="shared" si="72"/>
        <v>0.62623581026918473</v>
      </c>
      <c r="AZ159" s="472">
        <f t="shared" si="73"/>
        <v>-0.12821355195865469</v>
      </c>
      <c r="BA159" s="472">
        <f t="shared" si="74"/>
        <v>-0.49297423887587821</v>
      </c>
      <c r="BB159" s="472">
        <f t="shared" si="75"/>
        <v>-0.46209030806020535</v>
      </c>
      <c r="BC159" s="472">
        <f t="shared" si="76"/>
        <v>-0.48420716367847305</v>
      </c>
      <c r="BD159" s="472">
        <f t="shared" si="79"/>
        <v>1</v>
      </c>
      <c r="BE159" s="472">
        <f t="shared" si="80"/>
        <v>1</v>
      </c>
    </row>
    <row r="160" spans="1:57" x14ac:dyDescent="0.35">
      <c r="A160" s="19">
        <v>45816</v>
      </c>
      <c r="B160" s="17">
        <v>49920221</v>
      </c>
      <c r="C160" s="17">
        <v>50902735</v>
      </c>
      <c r="D160" s="17">
        <v>3220669.7586206896</v>
      </c>
      <c r="E160" s="17">
        <v>3708782</v>
      </c>
      <c r="F160" s="484">
        <f t="shared" si="54"/>
        <v>2412328.7586206896</v>
      </c>
      <c r="G160" s="484">
        <f t="shared" si="55"/>
        <v>2956420</v>
      </c>
      <c r="H160" s="484">
        <f t="shared" si="56"/>
        <v>808341</v>
      </c>
      <c r="I160" s="484">
        <f t="shared" si="57"/>
        <v>752362</v>
      </c>
      <c r="J160" s="19">
        <v>46180</v>
      </c>
      <c r="K160" s="17">
        <v>3472422.4349578251</v>
      </c>
      <c r="L160" s="17">
        <v>2638146.18790258</v>
      </c>
      <c r="M160" s="17">
        <v>834276.24705524498</v>
      </c>
      <c r="N160" s="17">
        <v>2272542</v>
      </c>
      <c r="O160" s="17">
        <v>2835754</v>
      </c>
      <c r="P160" s="17">
        <v>25757.758620689601</v>
      </c>
      <c r="Q160" s="17">
        <v>33462</v>
      </c>
      <c r="R160" s="17">
        <v>21715</v>
      </c>
      <c r="S160" s="17">
        <v>1717</v>
      </c>
      <c r="T160" s="17">
        <v>6780</v>
      </c>
      <c r="U160" s="17">
        <v>3121</v>
      </c>
      <c r="V160" s="17">
        <v>85534</v>
      </c>
      <c r="W160" s="17">
        <v>82366</v>
      </c>
      <c r="X160" s="17">
        <v>642846</v>
      </c>
      <c r="Y160" s="17">
        <v>526670</v>
      </c>
      <c r="Z160" s="17">
        <v>139716</v>
      </c>
      <c r="AA160" s="17">
        <v>201401</v>
      </c>
      <c r="AB160" s="17">
        <v>16575</v>
      </c>
      <c r="AC160" s="17">
        <v>12585</v>
      </c>
      <c r="AD160" s="17">
        <v>9204</v>
      </c>
      <c r="AE160" s="17">
        <v>6574</v>
      </c>
      <c r="AF160" s="17">
        <v>0</v>
      </c>
      <c r="AG160" s="17">
        <v>2075</v>
      </c>
      <c r="AH160" s="17">
        <v>0</v>
      </c>
      <c r="AI160" s="17">
        <v>3057</v>
      </c>
      <c r="AJ160" s="54">
        <f t="shared" si="58"/>
        <v>782562</v>
      </c>
      <c r="AK160" s="54">
        <f t="shared" si="59"/>
        <v>728071</v>
      </c>
      <c r="AL160" s="54">
        <f t="shared" si="60"/>
        <v>25779</v>
      </c>
      <c r="AM160" s="54">
        <f t="shared" si="61"/>
        <v>19159</v>
      </c>
      <c r="AN160" s="19">
        <v>46180</v>
      </c>
      <c r="AO160" s="487">
        <f t="shared" si="62"/>
        <v>1.9681683700879526E-2</v>
      </c>
      <c r="AP160" s="487">
        <f t="shared" si="63"/>
        <v>0.15155612899236015</v>
      </c>
      <c r="AQ160" s="486">
        <f t="shared" si="64"/>
        <v>0.22554605769837455</v>
      </c>
      <c r="AR160" s="486">
        <f t="shared" si="65"/>
        <v>-6.9251714313637414E-2</v>
      </c>
      <c r="AS160" s="472">
        <f t="shared" si="66"/>
        <v>0.24783348338556555</v>
      </c>
      <c r="AT160" s="472">
        <f t="shared" si="67"/>
        <v>0.2991037183306029</v>
      </c>
      <c r="AU160" s="472">
        <f t="shared" si="68"/>
        <v>-0.92093023255813955</v>
      </c>
      <c r="AV160" s="472">
        <f t="shared" si="69"/>
        <v>-0.53967551622418886</v>
      </c>
      <c r="AW160" s="472">
        <f t="shared" si="70"/>
        <v>-3.7037903056094668E-2</v>
      </c>
      <c r="AX160" s="472">
        <f t="shared" si="71"/>
        <v>-0.18072135472570416</v>
      </c>
      <c r="AY160" s="472">
        <f t="shared" si="72"/>
        <v>0.44150276274728739</v>
      </c>
      <c r="AZ160" s="472">
        <f t="shared" si="73"/>
        <v>-6.9631543570988663E-2</v>
      </c>
      <c r="BA160" s="472">
        <f t="shared" si="74"/>
        <v>-0.24072398190045252</v>
      </c>
      <c r="BB160" s="472">
        <f t="shared" si="75"/>
        <v>-0.28574532811820952</v>
      </c>
      <c r="BC160" s="472">
        <f t="shared" si="76"/>
        <v>-0.25679816905232944</v>
      </c>
      <c r="BD160" s="472">
        <f t="shared" si="79"/>
        <v>1</v>
      </c>
      <c r="BE160" s="472">
        <f t="shared" si="80"/>
        <v>1</v>
      </c>
    </row>
    <row r="161" spans="1:57" x14ac:dyDescent="0.35">
      <c r="A161" s="16">
        <v>45817</v>
      </c>
      <c r="B161" s="17">
        <v>28800528</v>
      </c>
      <c r="C161" s="17">
        <v>28697109</v>
      </c>
      <c r="D161" s="17">
        <v>4519881.7931034481</v>
      </c>
      <c r="E161" s="17">
        <v>5173290</v>
      </c>
      <c r="F161" s="484">
        <f t="shared" si="54"/>
        <v>3580144.7931034481</v>
      </c>
      <c r="G161" s="484">
        <f t="shared" si="55"/>
        <v>4242387</v>
      </c>
      <c r="H161" s="484">
        <f t="shared" si="56"/>
        <v>939737</v>
      </c>
      <c r="I161" s="484">
        <f t="shared" si="57"/>
        <v>930903</v>
      </c>
      <c r="J161" s="19">
        <v>46181</v>
      </c>
      <c r="K161" s="17">
        <v>4193019.4933147803</v>
      </c>
      <c r="L161" s="17">
        <v>3134115.9000614402</v>
      </c>
      <c r="M161" s="17">
        <v>1058903.5932533401</v>
      </c>
      <c r="N161" s="17">
        <v>3416740</v>
      </c>
      <c r="O161" s="17">
        <v>4038776</v>
      </c>
      <c r="P161" s="17">
        <v>24238.793103448301</v>
      </c>
      <c r="Q161" s="17">
        <v>28413</v>
      </c>
      <c r="R161" s="17">
        <v>51991</v>
      </c>
      <c r="S161" s="17">
        <v>38880</v>
      </c>
      <c r="T161" s="17">
        <v>11309</v>
      </c>
      <c r="U161" s="17">
        <v>7184</v>
      </c>
      <c r="V161" s="17">
        <v>75866</v>
      </c>
      <c r="W161" s="17">
        <v>129134</v>
      </c>
      <c r="X161" s="17">
        <v>757315</v>
      </c>
      <c r="Y161" s="17">
        <v>693965</v>
      </c>
      <c r="Z161" s="17">
        <v>142907</v>
      </c>
      <c r="AA161" s="17">
        <v>192882</v>
      </c>
      <c r="AB161" s="17">
        <v>32343</v>
      </c>
      <c r="AC161" s="17">
        <v>27190</v>
      </c>
      <c r="AD161" s="17">
        <v>7172</v>
      </c>
      <c r="AE161" s="17">
        <v>4960</v>
      </c>
      <c r="AF161" s="17">
        <v>0</v>
      </c>
      <c r="AG161" s="17">
        <v>8849</v>
      </c>
      <c r="AH161" s="17">
        <v>0</v>
      </c>
      <c r="AI161" s="17">
        <v>3057</v>
      </c>
      <c r="AJ161" s="54">
        <f t="shared" si="58"/>
        <v>900222</v>
      </c>
      <c r="AK161" s="54">
        <f t="shared" si="59"/>
        <v>886847</v>
      </c>
      <c r="AL161" s="54">
        <f t="shared" si="60"/>
        <v>39515</v>
      </c>
      <c r="AM161" s="54">
        <f t="shared" si="61"/>
        <v>32150</v>
      </c>
      <c r="AN161" s="19">
        <v>46181</v>
      </c>
      <c r="AO161" s="487">
        <f t="shared" si="62"/>
        <v>-3.5908716673527241E-3</v>
      </c>
      <c r="AP161" s="487">
        <f t="shared" si="63"/>
        <v>0.14456311841905656</v>
      </c>
      <c r="AQ161" s="486">
        <f t="shared" si="64"/>
        <v>0.18497637530533706</v>
      </c>
      <c r="AR161" s="486">
        <f t="shared" si="65"/>
        <v>-9.4005024810133175E-3</v>
      </c>
      <c r="AS161" s="472">
        <f t="shared" si="66"/>
        <v>0.18205540954242938</v>
      </c>
      <c r="AT161" s="472">
        <f t="shared" si="67"/>
        <v>0.17221182914251054</v>
      </c>
      <c r="AU161" s="472">
        <f t="shared" si="68"/>
        <v>-0.2521782616222038</v>
      </c>
      <c r="AV161" s="472">
        <f t="shared" si="69"/>
        <v>-0.36475373596250771</v>
      </c>
      <c r="AW161" s="472">
        <f t="shared" si="70"/>
        <v>0.70213270766878444</v>
      </c>
      <c r="AX161" s="472">
        <f t="shared" si="71"/>
        <v>-8.3650792602813939E-2</v>
      </c>
      <c r="AY161" s="472">
        <f t="shared" si="72"/>
        <v>0.34970295366916937</v>
      </c>
      <c r="AZ161" s="472">
        <f t="shared" si="73"/>
        <v>-1.4857446274363473E-2</v>
      </c>
      <c r="BA161" s="472">
        <f t="shared" si="74"/>
        <v>-0.15932350122128436</v>
      </c>
      <c r="BB161" s="472">
        <f t="shared" si="75"/>
        <v>-0.30842163970998326</v>
      </c>
      <c r="BC161" s="472">
        <f t="shared" si="76"/>
        <v>-0.18638491712008098</v>
      </c>
      <c r="BD161" s="472">
        <f t="shared" si="79"/>
        <v>1</v>
      </c>
      <c r="BE161" s="472">
        <f t="shared" si="80"/>
        <v>1</v>
      </c>
    </row>
    <row r="162" spans="1:57" x14ac:dyDescent="0.35">
      <c r="A162" s="19">
        <v>45818</v>
      </c>
      <c r="B162" s="17">
        <v>33842549</v>
      </c>
      <c r="C162" s="17">
        <v>32882240</v>
      </c>
      <c r="D162" s="17">
        <v>4898086.7241379311</v>
      </c>
      <c r="E162" s="17">
        <v>5209165</v>
      </c>
      <c r="F162" s="484">
        <f t="shared" si="54"/>
        <v>3872939.7241379311</v>
      </c>
      <c r="G162" s="484">
        <f t="shared" si="55"/>
        <v>4519578</v>
      </c>
      <c r="H162" s="484">
        <f t="shared" si="56"/>
        <v>1025147</v>
      </c>
      <c r="I162" s="484">
        <f t="shared" si="57"/>
        <v>689587</v>
      </c>
      <c r="J162" s="19">
        <v>46182</v>
      </c>
      <c r="K162" s="17">
        <v>5905700.5773297697</v>
      </c>
      <c r="L162" s="17">
        <v>4674671.9817084698</v>
      </c>
      <c r="M162" s="17">
        <v>1231028.5956212999</v>
      </c>
      <c r="N162" s="17">
        <v>3683319</v>
      </c>
      <c r="O162" s="17">
        <v>4305103</v>
      </c>
      <c r="P162" s="17">
        <v>22251.724137931</v>
      </c>
      <c r="Q162" s="17">
        <v>32400</v>
      </c>
      <c r="R162" s="17">
        <v>65685</v>
      </c>
      <c r="S162" s="17">
        <v>65678</v>
      </c>
      <c r="T162" s="17">
        <v>13660</v>
      </c>
      <c r="U162" s="17">
        <v>1844</v>
      </c>
      <c r="V162" s="17">
        <v>88024</v>
      </c>
      <c r="W162" s="17">
        <v>114553</v>
      </c>
      <c r="X162" s="17">
        <v>829750</v>
      </c>
      <c r="Y162" s="17">
        <v>480602</v>
      </c>
      <c r="Z162" s="17">
        <v>153054</v>
      </c>
      <c r="AA162" s="17">
        <v>174897</v>
      </c>
      <c r="AB162" s="17">
        <v>32493</v>
      </c>
      <c r="AC162" s="17">
        <v>13800</v>
      </c>
      <c r="AD162" s="17">
        <v>9850</v>
      </c>
      <c r="AE162" s="17">
        <v>7381</v>
      </c>
      <c r="AF162" s="17">
        <v>0</v>
      </c>
      <c r="AG162" s="17">
        <v>11271</v>
      </c>
      <c r="AH162" s="17">
        <v>0</v>
      </c>
      <c r="AI162" s="17">
        <v>1636</v>
      </c>
      <c r="AJ162" s="54">
        <f t="shared" si="58"/>
        <v>982804</v>
      </c>
      <c r="AK162" s="54">
        <f t="shared" si="59"/>
        <v>655499</v>
      </c>
      <c r="AL162" s="54">
        <f t="shared" si="60"/>
        <v>42343</v>
      </c>
      <c r="AM162" s="54">
        <f t="shared" si="61"/>
        <v>21181</v>
      </c>
      <c r="AN162" s="19">
        <v>46182</v>
      </c>
      <c r="AO162" s="487">
        <f t="shared" si="62"/>
        <v>-2.8375788123997436E-2</v>
      </c>
      <c r="AP162" s="487">
        <f t="shared" si="63"/>
        <v>6.3510160881608213E-2</v>
      </c>
      <c r="AQ162" s="486">
        <f t="shared" si="64"/>
        <v>0.16696316543010559</v>
      </c>
      <c r="AR162" s="486">
        <f t="shared" si="65"/>
        <v>-0.32732866603521249</v>
      </c>
      <c r="AS162" s="472">
        <f t="shared" si="66"/>
        <v>0.16881079265738319</v>
      </c>
      <c r="AT162" s="472">
        <f t="shared" si="67"/>
        <v>0.45606694560669681</v>
      </c>
      <c r="AU162" s="472">
        <f t="shared" si="68"/>
        <v>-1.065692319403011E-4</v>
      </c>
      <c r="AV162" s="472">
        <f t="shared" si="69"/>
        <v>-0.8650073206442167</v>
      </c>
      <c r="AW162" s="472">
        <f t="shared" si="70"/>
        <v>0.3013837135326729</v>
      </c>
      <c r="AX162" s="472">
        <f t="shared" si="71"/>
        <v>-0.42078698403133474</v>
      </c>
      <c r="AY162" s="472">
        <f t="shared" si="72"/>
        <v>0.14271433611666473</v>
      </c>
      <c r="AZ162" s="472">
        <f t="shared" si="73"/>
        <v>-0.33303181509232771</v>
      </c>
      <c r="BA162" s="472">
        <f t="shared" si="74"/>
        <v>-0.57529314006093624</v>
      </c>
      <c r="BB162" s="472">
        <f t="shared" si="75"/>
        <v>-0.25065989847715731</v>
      </c>
      <c r="BC162" s="472">
        <f t="shared" si="76"/>
        <v>-0.49977564178258505</v>
      </c>
      <c r="BD162" s="472">
        <f t="shared" si="79"/>
        <v>1</v>
      </c>
      <c r="BE162" s="472">
        <f t="shared" si="80"/>
        <v>1</v>
      </c>
    </row>
    <row r="163" spans="1:57" x14ac:dyDescent="0.35">
      <c r="A163" s="16">
        <v>45819</v>
      </c>
      <c r="B163" s="17">
        <v>38225481</v>
      </c>
      <c r="C163" s="17">
        <v>37140797</v>
      </c>
      <c r="D163" s="17">
        <v>4461529</v>
      </c>
      <c r="E163" s="17">
        <v>4905225</v>
      </c>
      <c r="F163" s="484">
        <f t="shared" si="54"/>
        <v>3335643</v>
      </c>
      <c r="G163" s="484">
        <f t="shared" si="55"/>
        <v>4319205</v>
      </c>
      <c r="H163" s="484">
        <f t="shared" si="56"/>
        <v>1125886</v>
      </c>
      <c r="I163" s="484">
        <f t="shared" si="57"/>
        <v>586020</v>
      </c>
      <c r="J163" s="19">
        <v>46183</v>
      </c>
      <c r="K163" s="17">
        <v>6407621.7256236402</v>
      </c>
      <c r="L163" s="17">
        <v>5064708.4725375203</v>
      </c>
      <c r="M163" s="17">
        <v>1342913.2530861199</v>
      </c>
      <c r="N163" s="17">
        <v>3146636</v>
      </c>
      <c r="O163" s="17">
        <v>4123039</v>
      </c>
      <c r="P163" s="17">
        <v>19800</v>
      </c>
      <c r="Q163" s="17">
        <v>28567</v>
      </c>
      <c r="R163" s="17">
        <v>47481</v>
      </c>
      <c r="S163" s="17">
        <v>28987</v>
      </c>
      <c r="T163" s="17">
        <v>1700</v>
      </c>
      <c r="U163" s="17">
        <v>6055</v>
      </c>
      <c r="V163" s="17">
        <v>120026</v>
      </c>
      <c r="W163" s="17">
        <v>132557</v>
      </c>
      <c r="X163" s="17">
        <v>948224</v>
      </c>
      <c r="Y163" s="17">
        <v>415988</v>
      </c>
      <c r="Z163" s="17">
        <v>139153</v>
      </c>
      <c r="AA163" s="17">
        <v>141262</v>
      </c>
      <c r="AB163" s="17">
        <v>23874</v>
      </c>
      <c r="AC163" s="17">
        <v>21700</v>
      </c>
      <c r="AD163" s="17">
        <v>14635</v>
      </c>
      <c r="AE163" s="17">
        <v>2811</v>
      </c>
      <c r="AF163" s="17">
        <v>0</v>
      </c>
      <c r="AG163" s="17">
        <v>4259</v>
      </c>
      <c r="AH163" s="17">
        <v>0</v>
      </c>
      <c r="AI163" s="17">
        <v>0</v>
      </c>
      <c r="AJ163" s="54">
        <f t="shared" si="58"/>
        <v>1087377</v>
      </c>
      <c r="AK163" s="54">
        <f t="shared" si="59"/>
        <v>557250</v>
      </c>
      <c r="AL163" s="54">
        <f t="shared" si="60"/>
        <v>38509</v>
      </c>
      <c r="AM163" s="54">
        <f t="shared" si="61"/>
        <v>24511</v>
      </c>
      <c r="AN163" s="19">
        <v>46183</v>
      </c>
      <c r="AO163" s="487">
        <f t="shared" si="62"/>
        <v>-2.837594116866704E-2</v>
      </c>
      <c r="AP163" s="487">
        <f t="shared" si="63"/>
        <v>9.9449314349407958E-2</v>
      </c>
      <c r="AQ163" s="486">
        <f t="shared" si="64"/>
        <v>0.29486428853447455</v>
      </c>
      <c r="AR163" s="486">
        <f t="shared" si="65"/>
        <v>-0.47950325343773703</v>
      </c>
      <c r="AS163" s="472">
        <f t="shared" si="66"/>
        <v>0.31030058767521895</v>
      </c>
      <c r="AT163" s="472">
        <f t="shared" si="67"/>
        <v>0.44277777777777771</v>
      </c>
      <c r="AU163" s="472">
        <f t="shared" si="68"/>
        <v>-0.38950316968892817</v>
      </c>
      <c r="AV163" s="472">
        <f t="shared" si="69"/>
        <v>2.5617647058823527</v>
      </c>
      <c r="AW163" s="472">
        <f t="shared" si="70"/>
        <v>0.10440237948444508</v>
      </c>
      <c r="AX163" s="472">
        <f t="shared" si="71"/>
        <v>-0.56129775242980562</v>
      </c>
      <c r="AY163" s="472">
        <f t="shared" si="72"/>
        <v>1.5155979389592789E-2</v>
      </c>
      <c r="AZ163" s="472">
        <f t="shared" si="73"/>
        <v>-0.48752824457386901</v>
      </c>
      <c r="BA163" s="472">
        <f t="shared" si="74"/>
        <v>-9.1061405713328325E-2</v>
      </c>
      <c r="BB163" s="472">
        <f t="shared" si="75"/>
        <v>-0.80792620430474893</v>
      </c>
      <c r="BC163" s="472">
        <f t="shared" si="76"/>
        <v>-0.36349944168895587</v>
      </c>
      <c r="BD163" s="472">
        <f t="shared" si="79"/>
        <v>1</v>
      </c>
      <c r="BE163" s="472">
        <f t="shared" si="80"/>
        <v>1</v>
      </c>
    </row>
    <row r="164" spans="1:57" x14ac:dyDescent="0.35">
      <c r="A164" s="19">
        <v>45820</v>
      </c>
      <c r="B164" s="17">
        <v>44572329</v>
      </c>
      <c r="C164" s="17">
        <v>35683971</v>
      </c>
      <c r="D164" s="17">
        <v>3866377.3793103448</v>
      </c>
      <c r="E164" s="17">
        <v>3824147</v>
      </c>
      <c r="F164" s="484">
        <f t="shared" si="54"/>
        <v>2753484.3793103448</v>
      </c>
      <c r="G164" s="484">
        <f t="shared" si="55"/>
        <v>3178208</v>
      </c>
      <c r="H164" s="484">
        <f t="shared" si="56"/>
        <v>1112893</v>
      </c>
      <c r="I164" s="484">
        <f t="shared" si="57"/>
        <v>645939</v>
      </c>
      <c r="J164" s="19">
        <v>46184</v>
      </c>
      <c r="K164" s="17">
        <v>5835819.3199239196</v>
      </c>
      <c r="L164" s="17">
        <v>4360940.8577481396</v>
      </c>
      <c r="M164" s="17">
        <v>1474878.46217578</v>
      </c>
      <c r="N164" s="17">
        <v>2555955</v>
      </c>
      <c r="O164" s="17">
        <v>2993082</v>
      </c>
      <c r="P164" s="17">
        <v>25116.379310344801</v>
      </c>
      <c r="Q164" s="17">
        <v>24347</v>
      </c>
      <c r="R164" s="17">
        <v>47507</v>
      </c>
      <c r="S164" s="17">
        <v>18478</v>
      </c>
      <c r="T164" s="17">
        <v>12578</v>
      </c>
      <c r="U164" s="17">
        <v>2267</v>
      </c>
      <c r="V164" s="17">
        <v>112328</v>
      </c>
      <c r="W164" s="17">
        <v>140034</v>
      </c>
      <c r="X164" s="17">
        <v>947866</v>
      </c>
      <c r="Y164" s="17">
        <v>412479</v>
      </c>
      <c r="Z164" s="17">
        <v>131048</v>
      </c>
      <c r="AA164" s="17">
        <v>215146</v>
      </c>
      <c r="AB164" s="17">
        <v>20426</v>
      </c>
      <c r="AC164" s="17">
        <v>12955</v>
      </c>
      <c r="AD164" s="17">
        <v>13553</v>
      </c>
      <c r="AE164" s="17">
        <v>214</v>
      </c>
      <c r="AF164" s="17">
        <v>0</v>
      </c>
      <c r="AG164" s="17">
        <v>4069</v>
      </c>
      <c r="AH164" s="17">
        <v>0</v>
      </c>
      <c r="AI164" s="17">
        <v>1076</v>
      </c>
      <c r="AJ164" s="54">
        <f t="shared" si="58"/>
        <v>1078914</v>
      </c>
      <c r="AK164" s="54">
        <f t="shared" si="59"/>
        <v>627625</v>
      </c>
      <c r="AL164" s="54">
        <f t="shared" si="60"/>
        <v>33979</v>
      </c>
      <c r="AM164" s="54">
        <f t="shared" si="61"/>
        <v>13169</v>
      </c>
      <c r="AN164" s="19">
        <v>46184</v>
      </c>
      <c r="AO164" s="487">
        <f t="shared" si="62"/>
        <v>-0.19941425990999928</v>
      </c>
      <c r="AP164" s="487">
        <f t="shared" si="63"/>
        <v>-1.0922466993606661E-2</v>
      </c>
      <c r="AQ164" s="486">
        <f t="shared" si="64"/>
        <v>0.15424951159375522</v>
      </c>
      <c r="AR164" s="486">
        <f t="shared" si="65"/>
        <v>-0.4195857103962376</v>
      </c>
      <c r="AS164" s="472">
        <f t="shared" si="66"/>
        <v>0.17102296401931949</v>
      </c>
      <c r="AT164" s="472">
        <f t="shared" si="67"/>
        <v>-3.0632572507292566E-2</v>
      </c>
      <c r="AU164" s="472">
        <f t="shared" si="68"/>
        <v>-0.61104679310417409</v>
      </c>
      <c r="AV164" s="472">
        <f t="shared" si="69"/>
        <v>-0.81976466846875495</v>
      </c>
      <c r="AW164" s="472">
        <f t="shared" si="70"/>
        <v>0.24665266006694675</v>
      </c>
      <c r="AX164" s="472">
        <f t="shared" si="71"/>
        <v>-0.56483405882266058</v>
      </c>
      <c r="AY164" s="472">
        <f t="shared" si="72"/>
        <v>0.64173432635370253</v>
      </c>
      <c r="AZ164" s="472">
        <f t="shared" si="73"/>
        <v>-0.41828078975710759</v>
      </c>
      <c r="BA164" s="472">
        <f t="shared" si="74"/>
        <v>-0.36575932634877117</v>
      </c>
      <c r="BB164" s="472">
        <f t="shared" si="75"/>
        <v>-0.98421013797683166</v>
      </c>
      <c r="BC164" s="472">
        <f t="shared" si="76"/>
        <v>-0.61243709349892583</v>
      </c>
      <c r="BD164" s="472">
        <f t="shared" si="79"/>
        <v>1</v>
      </c>
      <c r="BE164" s="472">
        <f t="shared" si="80"/>
        <v>1</v>
      </c>
    </row>
    <row r="165" spans="1:57" x14ac:dyDescent="0.35">
      <c r="A165" s="16">
        <v>45821</v>
      </c>
      <c r="B165" s="17">
        <v>48087656</v>
      </c>
      <c r="C165" s="17">
        <v>38806927</v>
      </c>
      <c r="D165" s="17">
        <v>2794859.3793103448</v>
      </c>
      <c r="E165" s="17">
        <v>3614931</v>
      </c>
      <c r="F165" s="484">
        <f t="shared" si="54"/>
        <v>1862655.3793103448</v>
      </c>
      <c r="G165" s="484">
        <f t="shared" si="55"/>
        <v>2794758</v>
      </c>
      <c r="H165" s="484">
        <f t="shared" si="56"/>
        <v>932204</v>
      </c>
      <c r="I165" s="484">
        <f t="shared" si="57"/>
        <v>820173</v>
      </c>
      <c r="J165" s="19">
        <v>46185</v>
      </c>
      <c r="K165" s="17">
        <v>5045229.5474619195</v>
      </c>
      <c r="L165" s="17">
        <v>3587371.5437153699</v>
      </c>
      <c r="M165" s="17">
        <v>1457858.0037465501</v>
      </c>
      <c r="N165" s="17">
        <v>1667347</v>
      </c>
      <c r="O165" s="17">
        <v>2651227</v>
      </c>
      <c r="P165" s="17">
        <v>28341.379310344801</v>
      </c>
      <c r="Q165" s="17">
        <v>30709</v>
      </c>
      <c r="R165" s="17">
        <v>42888</v>
      </c>
      <c r="S165" s="17">
        <v>11629</v>
      </c>
      <c r="T165" s="17">
        <v>9320</v>
      </c>
      <c r="U165" s="17">
        <v>3889</v>
      </c>
      <c r="V165" s="17">
        <v>114759</v>
      </c>
      <c r="W165" s="17">
        <v>97304</v>
      </c>
      <c r="X165" s="17">
        <v>766146</v>
      </c>
      <c r="Y165" s="17">
        <v>566709</v>
      </c>
      <c r="Z165" s="17">
        <v>144596</v>
      </c>
      <c r="AA165" s="17">
        <v>221811</v>
      </c>
      <c r="AB165" s="17">
        <v>10631</v>
      </c>
      <c r="AC165" s="17">
        <v>20101</v>
      </c>
      <c r="AD165" s="17">
        <v>10831</v>
      </c>
      <c r="AE165" s="17">
        <v>2802</v>
      </c>
      <c r="AF165" s="17">
        <v>0</v>
      </c>
      <c r="AG165" s="17">
        <v>6123</v>
      </c>
      <c r="AH165" s="17">
        <v>0</v>
      </c>
      <c r="AI165" s="17">
        <v>2627</v>
      </c>
      <c r="AJ165" s="54">
        <f t="shared" si="58"/>
        <v>910742</v>
      </c>
      <c r="AK165" s="54">
        <f t="shared" si="59"/>
        <v>788520</v>
      </c>
      <c r="AL165" s="54">
        <f t="shared" si="60"/>
        <v>21462</v>
      </c>
      <c r="AM165" s="54">
        <f t="shared" si="61"/>
        <v>22903</v>
      </c>
      <c r="AN165" s="19">
        <v>46185</v>
      </c>
      <c r="AO165" s="487">
        <f t="shared" si="62"/>
        <v>-0.19299607782920425</v>
      </c>
      <c r="AP165" s="487">
        <f t="shared" si="63"/>
        <v>0.29342142461994447</v>
      </c>
      <c r="AQ165" s="486">
        <f t="shared" si="64"/>
        <v>0.50041603564625547</v>
      </c>
      <c r="AR165" s="486">
        <f t="shared" si="65"/>
        <v>-0.12017863042853283</v>
      </c>
      <c r="AS165" s="472">
        <f t="shared" si="66"/>
        <v>0.59008712643498917</v>
      </c>
      <c r="AT165" s="472">
        <f t="shared" si="67"/>
        <v>8.3539360019468045E-2</v>
      </c>
      <c r="AU165" s="472">
        <f t="shared" si="68"/>
        <v>-0.72885189330348821</v>
      </c>
      <c r="AV165" s="472">
        <f t="shared" si="69"/>
        <v>-0.58272532188841208</v>
      </c>
      <c r="AW165" s="472">
        <f t="shared" si="70"/>
        <v>-0.15210136024189824</v>
      </c>
      <c r="AX165" s="472">
        <f t="shared" si="71"/>
        <v>-0.26031200319521342</v>
      </c>
      <c r="AY165" s="472">
        <f t="shared" si="72"/>
        <v>0.53400509004398455</v>
      </c>
      <c r="AZ165" s="472">
        <f t="shared" si="73"/>
        <v>-0.13420046511525763</v>
      </c>
      <c r="BA165" s="472">
        <f t="shared" si="74"/>
        <v>0.89079108268272034</v>
      </c>
      <c r="BB165" s="472">
        <f t="shared" si="75"/>
        <v>-0.74129812575016163</v>
      </c>
      <c r="BC165" s="472">
        <f t="shared" si="76"/>
        <v>6.7141925263255908E-2</v>
      </c>
      <c r="BD165" s="472">
        <f t="shared" si="79"/>
        <v>1</v>
      </c>
      <c r="BE165" s="472">
        <f t="shared" si="80"/>
        <v>1</v>
      </c>
    </row>
    <row r="166" spans="1:57" x14ac:dyDescent="0.35">
      <c r="A166" s="19">
        <v>45822</v>
      </c>
      <c r="B166" s="17">
        <v>63504580</v>
      </c>
      <c r="C166" s="17">
        <v>50061401</v>
      </c>
      <c r="D166" s="17">
        <v>2466126.1034482755</v>
      </c>
      <c r="E166" s="17">
        <v>2955740</v>
      </c>
      <c r="F166" s="484">
        <f t="shared" si="54"/>
        <v>1622124.1034482757</v>
      </c>
      <c r="G166" s="484">
        <f t="shared" si="55"/>
        <v>2289933</v>
      </c>
      <c r="H166" s="484">
        <f t="shared" si="56"/>
        <v>844002</v>
      </c>
      <c r="I166" s="484">
        <f t="shared" si="57"/>
        <v>665807</v>
      </c>
      <c r="J166" s="19">
        <v>46186</v>
      </c>
      <c r="K166" s="17">
        <v>3633800.0556295104</v>
      </c>
      <c r="L166" s="17">
        <v>2412639.4745812402</v>
      </c>
      <c r="M166" s="17">
        <v>1221160.58104827</v>
      </c>
      <c r="N166" s="17">
        <v>1488514</v>
      </c>
      <c r="O166" s="17">
        <v>2172069</v>
      </c>
      <c r="P166" s="17">
        <v>33468.103448275797</v>
      </c>
      <c r="Q166" s="17">
        <v>41533</v>
      </c>
      <c r="R166" s="17">
        <v>14384</v>
      </c>
      <c r="S166" s="17">
        <v>29771</v>
      </c>
      <c r="T166" s="17">
        <v>6930</v>
      </c>
      <c r="U166" s="17">
        <v>2610</v>
      </c>
      <c r="V166" s="17">
        <v>78828</v>
      </c>
      <c r="W166" s="17">
        <v>43950</v>
      </c>
      <c r="X166" s="17">
        <v>672212</v>
      </c>
      <c r="Y166" s="17">
        <v>427855</v>
      </c>
      <c r="Z166" s="17">
        <v>147847</v>
      </c>
      <c r="AA166" s="17">
        <v>215157</v>
      </c>
      <c r="AB166" s="17">
        <v>11663</v>
      </c>
      <c r="AC166" s="17">
        <v>16395</v>
      </c>
      <c r="AD166" s="17">
        <v>12280</v>
      </c>
      <c r="AE166" s="17">
        <v>3162</v>
      </c>
      <c r="AF166" s="17">
        <v>0</v>
      </c>
      <c r="AG166" s="17">
        <v>-34</v>
      </c>
      <c r="AH166" s="17">
        <v>0</v>
      </c>
      <c r="AI166" s="17">
        <v>3272</v>
      </c>
      <c r="AJ166" s="54">
        <f t="shared" si="58"/>
        <v>820059</v>
      </c>
      <c r="AK166" s="54">
        <f t="shared" si="59"/>
        <v>643012</v>
      </c>
      <c r="AL166" s="54">
        <f t="shared" si="60"/>
        <v>23943</v>
      </c>
      <c r="AM166" s="54">
        <f t="shared" si="61"/>
        <v>19557</v>
      </c>
      <c r="AN166" s="19">
        <v>46186</v>
      </c>
      <c r="AO166" s="487">
        <f t="shared" si="62"/>
        <v>-0.21168833806947462</v>
      </c>
      <c r="AP166" s="487">
        <f t="shared" si="63"/>
        <v>0.19853562876088082</v>
      </c>
      <c r="AQ166" s="486">
        <f t="shared" si="64"/>
        <v>0.41168791902673219</v>
      </c>
      <c r="AR166" s="486">
        <f t="shared" si="65"/>
        <v>-0.21113101627721265</v>
      </c>
      <c r="AS166" s="472">
        <f t="shared" si="66"/>
        <v>0.45921973189368726</v>
      </c>
      <c r="AT166" s="472">
        <f t="shared" si="67"/>
        <v>0.24097261932359926</v>
      </c>
      <c r="AU166" s="472">
        <f t="shared" si="68"/>
        <v>1.0697302558398221</v>
      </c>
      <c r="AV166" s="472">
        <f t="shared" si="69"/>
        <v>-0.62337662337662336</v>
      </c>
      <c r="AW166" s="472">
        <f t="shared" si="70"/>
        <v>-0.44245699497640434</v>
      </c>
      <c r="AX166" s="472">
        <f t="shared" si="71"/>
        <v>-0.36351180877461275</v>
      </c>
      <c r="AY166" s="472">
        <f t="shared" si="72"/>
        <v>0.45526794591706299</v>
      </c>
      <c r="AZ166" s="472">
        <f t="shared" si="73"/>
        <v>-0.21589544166944086</v>
      </c>
      <c r="BA166" s="472">
        <f t="shared" si="74"/>
        <v>0.40572751436165655</v>
      </c>
      <c r="BB166" s="472">
        <f t="shared" si="75"/>
        <v>-0.74250814332247561</v>
      </c>
      <c r="BC166" s="472">
        <f t="shared" si="76"/>
        <v>-0.18318506452825456</v>
      </c>
      <c r="BD166" s="472">
        <f t="shared" si="79"/>
        <v>1</v>
      </c>
      <c r="BE166" s="472">
        <f t="shared" si="80"/>
        <v>1</v>
      </c>
    </row>
    <row r="167" spans="1:57" x14ac:dyDescent="0.35">
      <c r="A167" s="16">
        <v>45823</v>
      </c>
      <c r="B167" s="17">
        <v>45983368</v>
      </c>
      <c r="C167" s="17">
        <v>53829581</v>
      </c>
      <c r="D167" s="17">
        <v>2738998.7586206896</v>
      </c>
      <c r="E167" s="17">
        <v>3822204</v>
      </c>
      <c r="F167" s="484">
        <f t="shared" si="54"/>
        <v>1802344.7586206896</v>
      </c>
      <c r="G167" s="484">
        <f t="shared" si="55"/>
        <v>3060968</v>
      </c>
      <c r="H167" s="484">
        <f t="shared" si="56"/>
        <v>936654</v>
      </c>
      <c r="I167" s="484">
        <f t="shared" si="57"/>
        <v>761236</v>
      </c>
      <c r="J167" s="19">
        <v>46187</v>
      </c>
      <c r="K167" s="17">
        <v>3194761.9660381302</v>
      </c>
      <c r="L167" s="17">
        <v>2089143.48260971</v>
      </c>
      <c r="M167" s="17">
        <v>1105618.48342842</v>
      </c>
      <c r="N167" s="17">
        <v>1664679</v>
      </c>
      <c r="O167" s="17">
        <v>2966244</v>
      </c>
      <c r="P167" s="17">
        <v>25457.758620689601</v>
      </c>
      <c r="Q167" s="17">
        <v>39097</v>
      </c>
      <c r="R167" s="17">
        <v>15670</v>
      </c>
      <c r="S167" s="17">
        <v>-880</v>
      </c>
      <c r="T167" s="17">
        <v>5332</v>
      </c>
      <c r="U167" s="17">
        <v>939</v>
      </c>
      <c r="V167" s="17">
        <v>91206</v>
      </c>
      <c r="W167" s="17">
        <v>55568</v>
      </c>
      <c r="X167" s="17">
        <v>746589</v>
      </c>
      <c r="Y167" s="17">
        <v>506926</v>
      </c>
      <c r="Z167" s="17">
        <v>161202</v>
      </c>
      <c r="AA167" s="17">
        <v>228812</v>
      </c>
      <c r="AB167" s="17">
        <v>18560</v>
      </c>
      <c r="AC167" s="17">
        <v>16003</v>
      </c>
      <c r="AD167" s="17">
        <v>10303</v>
      </c>
      <c r="AE167" s="17">
        <v>2578</v>
      </c>
      <c r="AF167" s="17">
        <v>0</v>
      </c>
      <c r="AG167" s="17">
        <v>3300</v>
      </c>
      <c r="AH167" s="17">
        <v>0</v>
      </c>
      <c r="AI167" s="17">
        <v>3617</v>
      </c>
      <c r="AJ167" s="54">
        <f t="shared" si="58"/>
        <v>907791</v>
      </c>
      <c r="AK167" s="54">
        <f t="shared" si="59"/>
        <v>735738</v>
      </c>
      <c r="AL167" s="54">
        <f t="shared" si="60"/>
        <v>28863</v>
      </c>
      <c r="AM167" s="54">
        <f t="shared" si="61"/>
        <v>18581</v>
      </c>
      <c r="AN167" s="19">
        <v>46187</v>
      </c>
      <c r="AO167" s="487">
        <f t="shared" si="62"/>
        <v>0.17063154225675681</v>
      </c>
      <c r="AP167" s="487">
        <f t="shared" si="63"/>
        <v>0.39547489314116846</v>
      </c>
      <c r="AQ167" s="486">
        <f t="shared" si="64"/>
        <v>0.69832546484753455</v>
      </c>
      <c r="AR167" s="486">
        <f t="shared" si="65"/>
        <v>-0.1872815361915926</v>
      </c>
      <c r="AS167" s="472">
        <f t="shared" si="66"/>
        <v>0.78187145990308049</v>
      </c>
      <c r="AT167" s="472">
        <f t="shared" si="67"/>
        <v>0.53575971013511547</v>
      </c>
      <c r="AU167" s="472">
        <f t="shared" si="68"/>
        <v>-1.0561582641991065</v>
      </c>
      <c r="AV167" s="472">
        <f t="shared" si="69"/>
        <v>-0.82389347336834207</v>
      </c>
      <c r="AW167" s="472">
        <f t="shared" si="70"/>
        <v>-0.39074183715983601</v>
      </c>
      <c r="AX167" s="472">
        <f t="shared" si="71"/>
        <v>-0.32101062297997962</v>
      </c>
      <c r="AY167" s="472">
        <f t="shared" si="72"/>
        <v>0.41941166983039913</v>
      </c>
      <c r="AZ167" s="472">
        <f t="shared" si="73"/>
        <v>-0.18952930795744838</v>
      </c>
      <c r="BA167" s="472">
        <f t="shared" si="74"/>
        <v>-0.13776939655172415</v>
      </c>
      <c r="BB167" s="472">
        <f t="shared" si="75"/>
        <v>-0.74978161700475587</v>
      </c>
      <c r="BC167" s="472">
        <f t="shared" si="76"/>
        <v>-0.35623462564528985</v>
      </c>
      <c r="BD167" s="472">
        <f t="shared" si="79"/>
        <v>1</v>
      </c>
      <c r="BE167" s="472">
        <f t="shared" si="80"/>
        <v>1</v>
      </c>
    </row>
    <row r="168" spans="1:57" x14ac:dyDescent="0.35">
      <c r="A168" s="19">
        <v>45824</v>
      </c>
      <c r="B168" s="17">
        <v>24591091</v>
      </c>
      <c r="C168" s="17">
        <v>31869082</v>
      </c>
      <c r="D168" s="17">
        <v>3924745.068965517</v>
      </c>
      <c r="E168" s="17">
        <v>5711186</v>
      </c>
      <c r="F168" s="484">
        <f t="shared" si="54"/>
        <v>2994677.068965517</v>
      </c>
      <c r="G168" s="484">
        <f t="shared" si="55"/>
        <v>4825900</v>
      </c>
      <c r="H168" s="484">
        <f t="shared" si="56"/>
        <v>930068</v>
      </c>
      <c r="I168" s="484">
        <f t="shared" si="57"/>
        <v>885286</v>
      </c>
      <c r="J168" s="19">
        <v>46188</v>
      </c>
      <c r="K168" s="17">
        <v>3564311.2937797699</v>
      </c>
      <c r="L168" s="17">
        <v>2337321.3399915602</v>
      </c>
      <c r="M168" s="17">
        <v>1226989.9537882099</v>
      </c>
      <c r="N168" s="17">
        <v>2846654</v>
      </c>
      <c r="O168" s="17">
        <v>4649825</v>
      </c>
      <c r="P168" s="17">
        <v>25462.068965517199</v>
      </c>
      <c r="Q168" s="17">
        <v>37739</v>
      </c>
      <c r="R168" s="17">
        <v>27617</v>
      </c>
      <c r="S168" s="17">
        <v>23981</v>
      </c>
      <c r="T168" s="17">
        <v>9575</v>
      </c>
      <c r="U168" s="17">
        <v>1678</v>
      </c>
      <c r="V168" s="17">
        <v>85369</v>
      </c>
      <c r="W168" s="17">
        <v>112677</v>
      </c>
      <c r="X168" s="17">
        <v>742785</v>
      </c>
      <c r="Y168" s="17">
        <v>633681</v>
      </c>
      <c r="Z168" s="17">
        <v>138760</v>
      </c>
      <c r="AA168" s="17">
        <v>215869</v>
      </c>
      <c r="AB168" s="17">
        <v>37149</v>
      </c>
      <c r="AC168" s="17">
        <v>20071</v>
      </c>
      <c r="AD168" s="17">
        <v>11374</v>
      </c>
      <c r="AE168" s="17">
        <v>5767</v>
      </c>
      <c r="AF168" s="17">
        <v>0</v>
      </c>
      <c r="AG168" s="17">
        <v>8348</v>
      </c>
      <c r="AH168" s="17">
        <v>0</v>
      </c>
      <c r="AI168" s="17">
        <v>1550</v>
      </c>
      <c r="AJ168" s="54">
        <f t="shared" si="58"/>
        <v>881545</v>
      </c>
      <c r="AK168" s="54">
        <f t="shared" si="59"/>
        <v>849550</v>
      </c>
      <c r="AL168" s="54">
        <f t="shared" si="60"/>
        <v>48523</v>
      </c>
      <c r="AM168" s="54">
        <f t="shared" si="61"/>
        <v>25838</v>
      </c>
      <c r="AN168" s="19">
        <v>46188</v>
      </c>
      <c r="AO168" s="487">
        <f t="shared" si="62"/>
        <v>0.29596047609274434</v>
      </c>
      <c r="AP168" s="487">
        <f t="shared" si="63"/>
        <v>0.45517375005081595</v>
      </c>
      <c r="AQ168" s="486">
        <f t="shared" si="64"/>
        <v>0.61149262136202953</v>
      </c>
      <c r="AR168" s="486">
        <f t="shared" si="65"/>
        <v>-4.8149167587746233E-2</v>
      </c>
      <c r="AS168" s="472">
        <f t="shared" si="66"/>
        <v>0.63343525416155244</v>
      </c>
      <c r="AT168" s="472">
        <f t="shared" si="67"/>
        <v>0.48216549295774902</v>
      </c>
      <c r="AU168" s="472">
        <f t="shared" si="68"/>
        <v>-0.13165803671651521</v>
      </c>
      <c r="AV168" s="472">
        <f t="shared" si="69"/>
        <v>-0.82475195822454306</v>
      </c>
      <c r="AW168" s="472">
        <f t="shared" si="70"/>
        <v>0.31988192435193108</v>
      </c>
      <c r="AX168" s="472">
        <f t="shared" si="71"/>
        <v>-0.14688503402734299</v>
      </c>
      <c r="AY168" s="472">
        <f t="shared" si="72"/>
        <v>0.55570049005477085</v>
      </c>
      <c r="AZ168" s="472">
        <f t="shared" si="73"/>
        <v>-3.6294233419734701E-2</v>
      </c>
      <c r="BA168" s="472">
        <f t="shared" si="74"/>
        <v>-0.45971627769253542</v>
      </c>
      <c r="BB168" s="472">
        <f t="shared" si="75"/>
        <v>-0.49296641462985757</v>
      </c>
      <c r="BC168" s="472">
        <f t="shared" si="76"/>
        <v>-0.4675102528697731</v>
      </c>
      <c r="BD168" s="472">
        <f t="shared" si="79"/>
        <v>1</v>
      </c>
      <c r="BE168" s="472">
        <f t="shared" si="80"/>
        <v>1</v>
      </c>
    </row>
    <row r="169" spans="1:57" x14ac:dyDescent="0.35">
      <c r="A169" s="16">
        <v>45825</v>
      </c>
      <c r="B169" s="17">
        <v>30070957</v>
      </c>
      <c r="C169" s="17">
        <v>36969775</v>
      </c>
      <c r="D169" s="17">
        <v>4516915.2413793104</v>
      </c>
      <c r="E169" s="17">
        <v>6267355</v>
      </c>
      <c r="F169" s="484">
        <f t="shared" si="54"/>
        <v>3535934.2413793104</v>
      </c>
      <c r="G169" s="484">
        <f t="shared" si="55"/>
        <v>5307873</v>
      </c>
      <c r="H169" s="484">
        <f t="shared" si="56"/>
        <v>980981</v>
      </c>
      <c r="I169" s="484">
        <f t="shared" si="57"/>
        <v>959482</v>
      </c>
      <c r="J169" s="19">
        <v>46189</v>
      </c>
      <c r="K169" s="17">
        <v>5123707.1868958799</v>
      </c>
      <c r="L169" s="17">
        <v>3905344.7047627801</v>
      </c>
      <c r="M169" s="17">
        <v>1218362.4821331</v>
      </c>
      <c r="N169" s="17">
        <v>3368273</v>
      </c>
      <c r="O169" s="17">
        <v>5160916</v>
      </c>
      <c r="P169" s="17">
        <v>37267.241379310297</v>
      </c>
      <c r="Q169" s="17">
        <v>18791</v>
      </c>
      <c r="R169" s="17">
        <v>45603</v>
      </c>
      <c r="S169" s="17">
        <v>35886</v>
      </c>
      <c r="T169" s="17">
        <v>6054</v>
      </c>
      <c r="U169" s="17">
        <v>3238</v>
      </c>
      <c r="V169" s="17">
        <v>78737</v>
      </c>
      <c r="W169" s="17">
        <v>89042</v>
      </c>
      <c r="X169" s="17">
        <v>770093</v>
      </c>
      <c r="Y169" s="17">
        <v>748300</v>
      </c>
      <c r="Z169" s="17">
        <v>153147</v>
      </c>
      <c r="AA169" s="17">
        <v>179203</v>
      </c>
      <c r="AB169" s="17">
        <v>41755</v>
      </c>
      <c r="AC169" s="17">
        <v>14440</v>
      </c>
      <c r="AD169" s="17">
        <v>15986</v>
      </c>
      <c r="AE169" s="17">
        <v>6266</v>
      </c>
      <c r="AF169" s="17">
        <v>0</v>
      </c>
      <c r="AG169" s="17">
        <v>8389</v>
      </c>
      <c r="AH169" s="17">
        <v>0</v>
      </c>
      <c r="AI169" s="17">
        <v>2884</v>
      </c>
      <c r="AJ169" s="54">
        <f t="shared" si="58"/>
        <v>923240</v>
      </c>
      <c r="AK169" s="54">
        <f t="shared" si="59"/>
        <v>927503</v>
      </c>
      <c r="AL169" s="54">
        <f t="shared" si="60"/>
        <v>57741</v>
      </c>
      <c r="AM169" s="54">
        <f t="shared" si="61"/>
        <v>20706</v>
      </c>
      <c r="AN169" s="19">
        <v>46189</v>
      </c>
      <c r="AO169" s="487">
        <f t="shared" si="62"/>
        <v>0.22941797296308186</v>
      </c>
      <c r="AP169" s="487">
        <f t="shared" si="63"/>
        <v>0.38752991036558959</v>
      </c>
      <c r="AQ169" s="486">
        <f t="shared" si="64"/>
        <v>0.5011232216607866</v>
      </c>
      <c r="AR169" s="486">
        <f t="shared" si="65"/>
        <v>-2.1915816922040254E-2</v>
      </c>
      <c r="AS169" s="472">
        <f t="shared" si="66"/>
        <v>0.53221428310591223</v>
      </c>
      <c r="AT169" s="472">
        <f t="shared" si="67"/>
        <v>-0.49577700670830382</v>
      </c>
      <c r="AU169" s="472">
        <f t="shared" si="68"/>
        <v>-0.2130780869679626</v>
      </c>
      <c r="AV169" s="472">
        <f t="shared" si="69"/>
        <v>-0.46514701024116289</v>
      </c>
      <c r="AW169" s="472">
        <f t="shared" si="70"/>
        <v>0.13087874823780443</v>
      </c>
      <c r="AX169" s="472">
        <f t="shared" si="71"/>
        <v>-2.8299179449754797E-2</v>
      </c>
      <c r="AY169" s="472">
        <f t="shared" si="72"/>
        <v>0.17013718845292436</v>
      </c>
      <c r="AZ169" s="472">
        <f t="shared" si="73"/>
        <v>4.6174342532818713E-3</v>
      </c>
      <c r="BA169" s="472">
        <f t="shared" si="74"/>
        <v>-0.65417315291581846</v>
      </c>
      <c r="BB169" s="472">
        <f t="shared" si="75"/>
        <v>-0.6080320280245215</v>
      </c>
      <c r="BC169" s="472">
        <f t="shared" si="76"/>
        <v>-0.64139865953135555</v>
      </c>
      <c r="BD169" s="472">
        <f t="shared" si="79"/>
        <v>1</v>
      </c>
      <c r="BE169" s="472">
        <f t="shared" si="80"/>
        <v>1</v>
      </c>
    </row>
    <row r="170" spans="1:57" x14ac:dyDescent="0.35">
      <c r="A170" s="19">
        <v>45826</v>
      </c>
      <c r="B170" s="17">
        <v>33374116</v>
      </c>
      <c r="C170" s="17">
        <v>42471497</v>
      </c>
      <c r="D170" s="17">
        <v>4064742.8620689656</v>
      </c>
      <c r="E170" s="17">
        <v>5978402</v>
      </c>
      <c r="F170" s="484">
        <f t="shared" si="54"/>
        <v>3218991.8620689656</v>
      </c>
      <c r="G170" s="484">
        <f t="shared" si="55"/>
        <v>4976583</v>
      </c>
      <c r="H170" s="484">
        <f t="shared" si="56"/>
        <v>845751</v>
      </c>
      <c r="I170" s="484">
        <f t="shared" si="57"/>
        <v>1001819</v>
      </c>
      <c r="J170" s="19">
        <v>46190</v>
      </c>
      <c r="K170" s="17">
        <v>5888458.4875598401</v>
      </c>
      <c r="L170" s="17">
        <v>4603401.4314247901</v>
      </c>
      <c r="M170" s="17">
        <v>1285057.05613505</v>
      </c>
      <c r="N170" s="17">
        <v>3013055</v>
      </c>
      <c r="O170" s="17">
        <v>4780003</v>
      </c>
      <c r="P170" s="17">
        <v>40300.8620689655</v>
      </c>
      <c r="Q170" s="17">
        <v>32856</v>
      </c>
      <c r="R170" s="17">
        <v>43913</v>
      </c>
      <c r="S170" s="17">
        <v>23592</v>
      </c>
      <c r="T170" s="17">
        <v>7553</v>
      </c>
      <c r="U170" s="17">
        <v>4187</v>
      </c>
      <c r="V170" s="17">
        <v>114170</v>
      </c>
      <c r="W170" s="17">
        <v>135945</v>
      </c>
      <c r="X170" s="17">
        <v>667867</v>
      </c>
      <c r="Y170" s="17">
        <v>805827</v>
      </c>
      <c r="Z170" s="17">
        <v>125568</v>
      </c>
      <c r="AA170" s="17">
        <v>161698</v>
      </c>
      <c r="AB170" s="17">
        <v>34974</v>
      </c>
      <c r="AC170" s="17">
        <v>17717</v>
      </c>
      <c r="AD170" s="17">
        <v>17342</v>
      </c>
      <c r="AE170" s="17">
        <v>6926</v>
      </c>
      <c r="AF170" s="17">
        <v>0</v>
      </c>
      <c r="AG170" s="17">
        <v>7283</v>
      </c>
      <c r="AH170" s="17">
        <v>0</v>
      </c>
      <c r="AI170" s="17">
        <v>2368</v>
      </c>
      <c r="AJ170" s="54">
        <f t="shared" si="58"/>
        <v>793435</v>
      </c>
      <c r="AK170" s="54">
        <f t="shared" si="59"/>
        <v>967525</v>
      </c>
      <c r="AL170" s="54">
        <f t="shared" si="60"/>
        <v>52316</v>
      </c>
      <c r="AM170" s="54">
        <f t="shared" si="61"/>
        <v>24643</v>
      </c>
      <c r="AN170" s="19">
        <v>46190</v>
      </c>
      <c r="AO170" s="487">
        <f t="shared" si="62"/>
        <v>0.27258792412658961</v>
      </c>
      <c r="AP170" s="487">
        <f t="shared" si="63"/>
        <v>0.47079463643045227</v>
      </c>
      <c r="AQ170" s="486">
        <f t="shared" si="64"/>
        <v>0.54600670434791509</v>
      </c>
      <c r="AR170" s="486">
        <f t="shared" si="65"/>
        <v>0.18453185393809757</v>
      </c>
      <c r="AS170" s="472">
        <f t="shared" si="66"/>
        <v>0.58643071566898053</v>
      </c>
      <c r="AT170" s="472">
        <f t="shared" si="67"/>
        <v>-0.18473207983058426</v>
      </c>
      <c r="AU170" s="472">
        <f t="shared" si="68"/>
        <v>-0.46275590371871655</v>
      </c>
      <c r="AV170" s="472">
        <f t="shared" si="69"/>
        <v>-0.44565073480736128</v>
      </c>
      <c r="AW170" s="472">
        <f t="shared" si="70"/>
        <v>0.19072435841289304</v>
      </c>
      <c r="AX170" s="472">
        <f t="shared" si="71"/>
        <v>0.2065680741824345</v>
      </c>
      <c r="AY170" s="472">
        <f t="shared" si="72"/>
        <v>0.28773254332313969</v>
      </c>
      <c r="AZ170" s="472">
        <f t="shared" si="73"/>
        <v>0.21941305841058178</v>
      </c>
      <c r="BA170" s="472">
        <f t="shared" si="74"/>
        <v>-0.49342368616686683</v>
      </c>
      <c r="BB170" s="472">
        <f t="shared" si="75"/>
        <v>-0.60062276554030669</v>
      </c>
      <c r="BC170" s="472">
        <f t="shared" si="76"/>
        <v>-0.52895863598134407</v>
      </c>
      <c r="BD170" s="472">
        <f t="shared" si="79"/>
        <v>1</v>
      </c>
      <c r="BE170" s="472">
        <f t="shared" si="80"/>
        <v>1</v>
      </c>
    </row>
    <row r="171" spans="1:57" x14ac:dyDescent="0.35">
      <c r="A171" s="16">
        <v>45827</v>
      </c>
      <c r="B171" s="17">
        <v>36317478</v>
      </c>
      <c r="C171" s="17">
        <v>46880396</v>
      </c>
      <c r="D171" s="17">
        <v>3468062.9310344825</v>
      </c>
      <c r="E171" s="17">
        <v>4633416</v>
      </c>
      <c r="F171" s="484">
        <f t="shared" si="54"/>
        <v>2852635.9310344825</v>
      </c>
      <c r="G171" s="484">
        <f t="shared" si="55"/>
        <v>3873327</v>
      </c>
      <c r="H171" s="484">
        <f t="shared" si="56"/>
        <v>615427</v>
      </c>
      <c r="I171" s="484">
        <f t="shared" si="57"/>
        <v>760089</v>
      </c>
      <c r="J171" s="19">
        <v>46191</v>
      </c>
      <c r="K171" s="17">
        <v>5290333.0760039603</v>
      </c>
      <c r="L171" s="17">
        <v>4182423.4525930402</v>
      </c>
      <c r="M171" s="17">
        <v>1107909.6234109199</v>
      </c>
      <c r="N171" s="17">
        <v>2710805</v>
      </c>
      <c r="O171" s="17">
        <v>3694508</v>
      </c>
      <c r="P171" s="17">
        <v>40587.931034482703</v>
      </c>
      <c r="Q171" s="17">
        <v>30523</v>
      </c>
      <c r="R171" s="17">
        <v>31678</v>
      </c>
      <c r="S171" s="17">
        <v>39366</v>
      </c>
      <c r="T171" s="17">
        <v>8489</v>
      </c>
      <c r="U171" s="17">
        <v>4372</v>
      </c>
      <c r="V171" s="17">
        <v>61076</v>
      </c>
      <c r="W171" s="17">
        <v>104558</v>
      </c>
      <c r="X171" s="17">
        <v>455015</v>
      </c>
      <c r="Y171" s="17">
        <v>564730</v>
      </c>
      <c r="Z171" s="17">
        <v>126044</v>
      </c>
      <c r="AA171" s="17">
        <v>163685</v>
      </c>
      <c r="AB171" s="17">
        <v>24483</v>
      </c>
      <c r="AC171" s="17">
        <v>12267</v>
      </c>
      <c r="AD171" s="17">
        <v>9885</v>
      </c>
      <c r="AE171" s="17">
        <v>5509</v>
      </c>
      <c r="AF171" s="17">
        <v>0</v>
      </c>
      <c r="AG171" s="17">
        <v>8214</v>
      </c>
      <c r="AH171" s="17">
        <v>0</v>
      </c>
      <c r="AI171" s="17">
        <v>5684</v>
      </c>
      <c r="AJ171" s="54">
        <f t="shared" si="58"/>
        <v>581059</v>
      </c>
      <c r="AK171" s="54">
        <f t="shared" si="59"/>
        <v>728415</v>
      </c>
      <c r="AL171" s="54">
        <f t="shared" si="60"/>
        <v>34368</v>
      </c>
      <c r="AM171" s="54">
        <f t="shared" si="61"/>
        <v>17776</v>
      </c>
      <c r="AN171" s="19">
        <v>46191</v>
      </c>
      <c r="AO171" s="487">
        <f t="shared" si="62"/>
        <v>0.29084943618607006</v>
      </c>
      <c r="AP171" s="487">
        <f t="shared" si="63"/>
        <v>0.33602419913928916</v>
      </c>
      <c r="AQ171" s="486">
        <f t="shared" si="64"/>
        <v>0.35780628641081913</v>
      </c>
      <c r="AR171" s="486">
        <f t="shared" si="65"/>
        <v>0.23505956027278629</v>
      </c>
      <c r="AS171" s="472">
        <f t="shared" si="66"/>
        <v>0.36288224346642428</v>
      </c>
      <c r="AT171" s="472">
        <f t="shared" si="67"/>
        <v>-0.2479784206278397</v>
      </c>
      <c r="AU171" s="472">
        <f t="shared" si="68"/>
        <v>0.2426920891470421</v>
      </c>
      <c r="AV171" s="472">
        <f t="shared" si="69"/>
        <v>-0.48498056308163506</v>
      </c>
      <c r="AW171" s="472">
        <f t="shared" si="70"/>
        <v>0.71193267404545146</v>
      </c>
      <c r="AX171" s="472">
        <f t="shared" si="71"/>
        <v>0.24112391899168162</v>
      </c>
      <c r="AY171" s="472">
        <f t="shared" si="72"/>
        <v>0.29863381041541048</v>
      </c>
      <c r="AZ171" s="472">
        <f t="shared" si="73"/>
        <v>0.25359903211205737</v>
      </c>
      <c r="BA171" s="472">
        <f t="shared" si="74"/>
        <v>-0.49895846097291996</v>
      </c>
      <c r="BB171" s="472">
        <f t="shared" si="75"/>
        <v>-0.44269094587759228</v>
      </c>
      <c r="BC171" s="472">
        <f t="shared" si="76"/>
        <v>-0.48277467411545627</v>
      </c>
      <c r="BD171" s="472">
        <f t="shared" si="79"/>
        <v>1</v>
      </c>
      <c r="BE171" s="472">
        <f t="shared" si="80"/>
        <v>1</v>
      </c>
    </row>
    <row r="172" spans="1:57" x14ac:dyDescent="0.35">
      <c r="A172" s="19">
        <v>45828</v>
      </c>
      <c r="B172" s="17">
        <v>38092110</v>
      </c>
      <c r="C172" s="17">
        <v>49964426</v>
      </c>
      <c r="D172" s="17">
        <v>3303719.7241379311</v>
      </c>
      <c r="E172" s="17">
        <v>3331495</v>
      </c>
      <c r="F172" s="484">
        <f t="shared" si="54"/>
        <v>2340490.7241379311</v>
      </c>
      <c r="G172" s="484">
        <f t="shared" si="55"/>
        <v>2638035</v>
      </c>
      <c r="H172" s="484">
        <f t="shared" si="56"/>
        <v>963229</v>
      </c>
      <c r="I172" s="484">
        <f t="shared" si="57"/>
        <v>693460</v>
      </c>
      <c r="J172" s="19">
        <v>46192</v>
      </c>
      <c r="K172" s="17">
        <v>4504623.475328858</v>
      </c>
      <c r="L172" s="17">
        <v>3698431.7051661098</v>
      </c>
      <c r="M172" s="17">
        <v>806191.77016274806</v>
      </c>
      <c r="N172" s="17">
        <v>2155416</v>
      </c>
      <c r="O172" s="17">
        <v>2520466</v>
      </c>
      <c r="P172" s="17">
        <v>37026.724137931</v>
      </c>
      <c r="Q172" s="17">
        <v>27134</v>
      </c>
      <c r="R172" s="17">
        <v>33900</v>
      </c>
      <c r="S172" s="17">
        <v>6920</v>
      </c>
      <c r="T172" s="17">
        <v>3527</v>
      </c>
      <c r="U172" s="17">
        <v>610</v>
      </c>
      <c r="V172" s="17">
        <v>110621</v>
      </c>
      <c r="W172" s="17">
        <v>82905</v>
      </c>
      <c r="X172" s="17">
        <v>822254</v>
      </c>
      <c r="Y172" s="17">
        <v>507387</v>
      </c>
      <c r="Z172" s="17">
        <v>98107</v>
      </c>
      <c r="AA172" s="17">
        <v>155281</v>
      </c>
      <c r="AB172" s="17">
        <v>33075</v>
      </c>
      <c r="AC172" s="17">
        <v>7714</v>
      </c>
      <c r="AD172" s="17">
        <v>9793</v>
      </c>
      <c r="AE172" s="17">
        <v>7124</v>
      </c>
      <c r="AF172" s="17">
        <v>0</v>
      </c>
      <c r="AG172" s="17">
        <v>10528</v>
      </c>
      <c r="AH172" s="17">
        <v>0</v>
      </c>
      <c r="AI172" s="17">
        <v>5426</v>
      </c>
      <c r="AJ172" s="54">
        <f t="shared" si="58"/>
        <v>920361</v>
      </c>
      <c r="AK172" s="54">
        <f t="shared" si="59"/>
        <v>662668</v>
      </c>
      <c r="AL172" s="54">
        <f t="shared" si="60"/>
        <v>42868</v>
      </c>
      <c r="AM172" s="54">
        <f t="shared" si="61"/>
        <v>14838</v>
      </c>
      <c r="AN172" s="19">
        <v>46192</v>
      </c>
      <c r="AO172" s="487">
        <f t="shared" si="62"/>
        <v>0.3116738873220728</v>
      </c>
      <c r="AP172" s="487">
        <f t="shared" si="63"/>
        <v>8.40727367371219E-3</v>
      </c>
      <c r="AQ172" s="486">
        <f t="shared" si="64"/>
        <v>0.12712901307124924</v>
      </c>
      <c r="AR172" s="486">
        <f t="shared" si="65"/>
        <v>-0.28006735677601069</v>
      </c>
      <c r="AS172" s="472">
        <f t="shared" si="66"/>
        <v>0.16936405779673169</v>
      </c>
      <c r="AT172" s="472">
        <f t="shared" si="67"/>
        <v>-0.26717794696281738</v>
      </c>
      <c r="AU172" s="472">
        <f t="shared" si="68"/>
        <v>-0.79587020648967555</v>
      </c>
      <c r="AV172" s="472">
        <f t="shared" si="69"/>
        <v>-0.8270484831301389</v>
      </c>
      <c r="AW172" s="472">
        <f t="shared" si="70"/>
        <v>-0.25054917239945396</v>
      </c>
      <c r="AX172" s="472">
        <f t="shared" si="71"/>
        <v>-0.38293155156435843</v>
      </c>
      <c r="AY172" s="472">
        <f t="shared" si="72"/>
        <v>0.58277187152802545</v>
      </c>
      <c r="AZ172" s="472">
        <f t="shared" si="73"/>
        <v>-0.27999122083617189</v>
      </c>
      <c r="BA172" s="472">
        <f t="shared" si="74"/>
        <v>-0.76677248677248677</v>
      </c>
      <c r="BB172" s="472">
        <f t="shared" si="75"/>
        <v>-0.27254161135504951</v>
      </c>
      <c r="BC172" s="472">
        <f t="shared" si="76"/>
        <v>-0.65386768685266405</v>
      </c>
      <c r="BD172" s="472">
        <f t="shared" si="79"/>
        <v>1</v>
      </c>
      <c r="BE172" s="472">
        <f t="shared" si="80"/>
        <v>1</v>
      </c>
    </row>
    <row r="173" spans="1:57" x14ac:dyDescent="0.35">
      <c r="A173" s="16">
        <v>45829</v>
      </c>
      <c r="B173" s="17">
        <v>50963433</v>
      </c>
      <c r="C173" s="17">
        <v>63050656</v>
      </c>
      <c r="D173" s="17">
        <v>2900614.7931034481</v>
      </c>
      <c r="E173" s="17">
        <v>2434732</v>
      </c>
      <c r="F173" s="484">
        <f t="shared" si="54"/>
        <v>2470598.7931034481</v>
      </c>
      <c r="G173" s="484">
        <f t="shared" si="55"/>
        <v>1876771</v>
      </c>
      <c r="H173" s="484">
        <f t="shared" si="56"/>
        <v>430016</v>
      </c>
      <c r="I173" s="484">
        <f t="shared" si="57"/>
        <v>557961</v>
      </c>
      <c r="J173" s="19">
        <v>46193</v>
      </c>
      <c r="K173" s="17">
        <v>4290912.3452426102</v>
      </c>
      <c r="L173" s="17">
        <v>3029109.90144003</v>
      </c>
      <c r="M173" s="17">
        <v>1261802.44380258</v>
      </c>
      <c r="N173" s="17">
        <v>2319435</v>
      </c>
      <c r="O173" s="17">
        <v>1707778</v>
      </c>
      <c r="P173" s="17">
        <v>39113.793103448297</v>
      </c>
      <c r="Q173" s="17">
        <v>37861</v>
      </c>
      <c r="R173" s="17">
        <v>21973</v>
      </c>
      <c r="S173" s="17">
        <v>195</v>
      </c>
      <c r="T173" s="17">
        <v>5556</v>
      </c>
      <c r="U173" s="17">
        <v>4940</v>
      </c>
      <c r="V173" s="17">
        <v>84521</v>
      </c>
      <c r="W173" s="17">
        <v>125997</v>
      </c>
      <c r="X173" s="17">
        <v>311488</v>
      </c>
      <c r="Y173" s="17">
        <v>378080</v>
      </c>
      <c r="Z173" s="17">
        <v>82471</v>
      </c>
      <c r="AA173" s="17">
        <v>153733</v>
      </c>
      <c r="AB173" s="17">
        <v>25122</v>
      </c>
      <c r="AC173" s="17">
        <v>14491</v>
      </c>
      <c r="AD173" s="17">
        <v>10935</v>
      </c>
      <c r="AE173" s="17">
        <v>5329</v>
      </c>
      <c r="AF173" s="17">
        <v>0</v>
      </c>
      <c r="AG173" s="17">
        <v>5725</v>
      </c>
      <c r="AH173" s="17">
        <v>0</v>
      </c>
      <c r="AI173" s="17">
        <v>603</v>
      </c>
      <c r="AJ173" s="54">
        <f t="shared" si="58"/>
        <v>393959</v>
      </c>
      <c r="AK173" s="54">
        <f t="shared" si="59"/>
        <v>531813</v>
      </c>
      <c r="AL173" s="54">
        <f t="shared" si="60"/>
        <v>36057</v>
      </c>
      <c r="AM173" s="54">
        <f t="shared" si="61"/>
        <v>19820</v>
      </c>
      <c r="AN173" s="19">
        <v>46193</v>
      </c>
      <c r="AO173" s="487">
        <f t="shared" si="62"/>
        <v>0.237174426612901</v>
      </c>
      <c r="AP173" s="487">
        <f t="shared" si="63"/>
        <v>-0.16061518896309124</v>
      </c>
      <c r="AQ173" s="486">
        <f t="shared" si="64"/>
        <v>-0.2403578414921469</v>
      </c>
      <c r="AR173" s="486">
        <f t="shared" si="65"/>
        <v>0.29753544054174719</v>
      </c>
      <c r="AS173" s="472">
        <f t="shared" si="66"/>
        <v>-0.26370948097273694</v>
      </c>
      <c r="AT173" s="472">
        <f t="shared" si="67"/>
        <v>-3.2029445472979479E-2</v>
      </c>
      <c r="AU173" s="472">
        <f t="shared" si="68"/>
        <v>-0.99112547217039093</v>
      </c>
      <c r="AV173" s="472">
        <f t="shared" si="69"/>
        <v>-0.11087113030957518</v>
      </c>
      <c r="AW173" s="472">
        <f t="shared" si="70"/>
        <v>0.49071828303025278</v>
      </c>
      <c r="AX173" s="472">
        <f t="shared" si="71"/>
        <v>0.21378672693651124</v>
      </c>
      <c r="AY173" s="472">
        <f t="shared" si="72"/>
        <v>0.86408555734743131</v>
      </c>
      <c r="AZ173" s="472">
        <f t="shared" si="73"/>
        <v>0.34991966169068345</v>
      </c>
      <c r="BA173" s="472">
        <f t="shared" si="74"/>
        <v>-0.42317490645649236</v>
      </c>
      <c r="BB173" s="472">
        <f t="shared" si="75"/>
        <v>-0.512665752171925</v>
      </c>
      <c r="BC173" s="472">
        <f t="shared" si="76"/>
        <v>-0.45031477937709741</v>
      </c>
      <c r="BD173" s="472">
        <f t="shared" si="79"/>
        <v>1</v>
      </c>
      <c r="BE173" s="472">
        <f t="shared" si="80"/>
        <v>1</v>
      </c>
    </row>
    <row r="174" spans="1:57" x14ac:dyDescent="0.35">
      <c r="A174" s="19">
        <v>45830</v>
      </c>
      <c r="B174" s="17">
        <v>48992029</v>
      </c>
      <c r="C174" s="17">
        <v>44356663</v>
      </c>
      <c r="D174" s="17">
        <v>3347668.5172413792</v>
      </c>
      <c r="E174" s="17">
        <v>3014448</v>
      </c>
      <c r="F174" s="484">
        <f t="shared" si="54"/>
        <v>3063256.5172413792</v>
      </c>
      <c r="G174" s="484">
        <f t="shared" si="55"/>
        <v>2377740</v>
      </c>
      <c r="H174" s="484">
        <f t="shared" si="56"/>
        <v>284412</v>
      </c>
      <c r="I174" s="484">
        <f t="shared" si="57"/>
        <v>636708</v>
      </c>
      <c r="J174" s="19">
        <v>46194</v>
      </c>
      <c r="K174" s="17">
        <v>3761691.2293913742</v>
      </c>
      <c r="L174" s="17">
        <v>3198382.5668882602</v>
      </c>
      <c r="M174" s="17">
        <v>563308.66250311397</v>
      </c>
      <c r="N174" s="17">
        <v>2913089</v>
      </c>
      <c r="O174" s="17">
        <v>2286106</v>
      </c>
      <c r="P174" s="17">
        <v>49765.517241379297</v>
      </c>
      <c r="Q174" s="17">
        <v>30081</v>
      </c>
      <c r="R174" s="17">
        <v>3999</v>
      </c>
      <c r="S174" s="17">
        <v>-4507</v>
      </c>
      <c r="T174" s="17">
        <v>5169</v>
      </c>
      <c r="U174" s="17">
        <v>-62</v>
      </c>
      <c r="V174" s="17">
        <v>91234</v>
      </c>
      <c r="W174" s="17">
        <v>66122</v>
      </c>
      <c r="X174" s="17">
        <v>100157</v>
      </c>
      <c r="Y174" s="17">
        <v>434484</v>
      </c>
      <c r="Z174" s="17">
        <v>134523</v>
      </c>
      <c r="AA174" s="17">
        <v>171572</v>
      </c>
      <c r="AB174" s="17">
        <v>40627</v>
      </c>
      <c r="AC174" s="17">
        <v>16085</v>
      </c>
      <c r="AD174" s="17">
        <v>9105</v>
      </c>
      <c r="AE174" s="17">
        <v>6203</v>
      </c>
      <c r="AF174" s="17">
        <v>0</v>
      </c>
      <c r="AG174" s="17">
        <v>5780</v>
      </c>
      <c r="AH174" s="17">
        <v>0</v>
      </c>
      <c r="AI174" s="17">
        <v>2584</v>
      </c>
      <c r="AJ174" s="54">
        <f t="shared" si="58"/>
        <v>234680</v>
      </c>
      <c r="AK174" s="54">
        <f t="shared" si="59"/>
        <v>606056</v>
      </c>
      <c r="AL174" s="54">
        <f t="shared" si="60"/>
        <v>49732</v>
      </c>
      <c r="AM174" s="54">
        <f t="shared" si="61"/>
        <v>22288</v>
      </c>
      <c r="AN174" s="19">
        <v>46194</v>
      </c>
      <c r="AO174" s="487">
        <f t="shared" si="62"/>
        <v>-9.46146974235339E-2</v>
      </c>
      <c r="AP174" s="487">
        <f t="shared" si="63"/>
        <v>-9.9538086141207072E-2</v>
      </c>
      <c r="AQ174" s="486">
        <f t="shared" si="64"/>
        <v>-0.22378684690067097</v>
      </c>
      <c r="AR174" s="486">
        <f t="shared" si="65"/>
        <v>1.2386819121556054</v>
      </c>
      <c r="AS174" s="472">
        <f t="shared" si="66"/>
        <v>-0.21522960678509995</v>
      </c>
      <c r="AT174" s="472">
        <f t="shared" si="67"/>
        <v>-0.39554531596452314</v>
      </c>
      <c r="AU174" s="472">
        <f t="shared" si="68"/>
        <v>-2.1270317579394851</v>
      </c>
      <c r="AV174" s="472">
        <f t="shared" si="69"/>
        <v>-1.0119945830915071</v>
      </c>
      <c r="AW174" s="472">
        <f t="shared" si="70"/>
        <v>-0.27524826270907776</v>
      </c>
      <c r="AX174" s="472">
        <f t="shared" si="71"/>
        <v>3.3380292940084066</v>
      </c>
      <c r="AY174" s="472">
        <f t="shared" si="72"/>
        <v>0.27541015291065474</v>
      </c>
      <c r="AZ174" s="472">
        <f t="shared" si="73"/>
        <v>1.5824782682802114</v>
      </c>
      <c r="BA174" s="472">
        <f t="shared" si="74"/>
        <v>-0.60408102985699164</v>
      </c>
      <c r="BB174" s="472">
        <f t="shared" si="75"/>
        <v>-0.31872597473915432</v>
      </c>
      <c r="BC174" s="472">
        <f t="shared" si="76"/>
        <v>-0.55183785088072068</v>
      </c>
      <c r="BD174" s="472">
        <f t="shared" si="79"/>
        <v>1</v>
      </c>
      <c r="BE174" s="472">
        <f t="shared" si="80"/>
        <v>1</v>
      </c>
    </row>
    <row r="175" spans="1:57" x14ac:dyDescent="0.35">
      <c r="A175" s="16">
        <v>45831</v>
      </c>
      <c r="B175" s="17">
        <v>31644110</v>
      </c>
      <c r="C175" s="17">
        <v>26759670</v>
      </c>
      <c r="D175" s="17">
        <v>5288599.1034482755</v>
      </c>
      <c r="E175" s="17">
        <v>4440111</v>
      </c>
      <c r="F175" s="484">
        <f t="shared" si="54"/>
        <v>3813463.1034482759</v>
      </c>
      <c r="G175" s="484">
        <f t="shared" si="55"/>
        <v>3624408</v>
      </c>
      <c r="H175" s="484">
        <f t="shared" si="56"/>
        <v>1475136</v>
      </c>
      <c r="I175" s="484">
        <f t="shared" si="57"/>
        <v>815703</v>
      </c>
      <c r="J175" s="19">
        <v>46195</v>
      </c>
      <c r="K175" s="17">
        <v>4336185.2668039147</v>
      </c>
      <c r="L175" s="17">
        <v>3963613.6803517002</v>
      </c>
      <c r="M175" s="17">
        <v>372571.58645221498</v>
      </c>
      <c r="N175" s="17">
        <v>3567197</v>
      </c>
      <c r="O175" s="17">
        <v>3449372</v>
      </c>
      <c r="P175" s="17">
        <v>48518.103448275797</v>
      </c>
      <c r="Q175" s="17">
        <v>32572</v>
      </c>
      <c r="R175" s="17">
        <v>41503</v>
      </c>
      <c r="S175" s="17">
        <v>60642</v>
      </c>
      <c r="T175" s="17">
        <v>11366</v>
      </c>
      <c r="U175" s="17">
        <v>0</v>
      </c>
      <c r="V175" s="17">
        <v>144879</v>
      </c>
      <c r="W175" s="17">
        <v>81822</v>
      </c>
      <c r="X175" s="17">
        <v>1270698</v>
      </c>
      <c r="Y175" s="17">
        <v>607813</v>
      </c>
      <c r="Z175" s="17">
        <v>117470</v>
      </c>
      <c r="AA175" s="17">
        <v>170679</v>
      </c>
      <c r="AB175" s="17">
        <v>71619</v>
      </c>
      <c r="AC175" s="17">
        <v>25030</v>
      </c>
      <c r="AD175" s="17">
        <v>15349</v>
      </c>
      <c r="AE175" s="17">
        <v>4734</v>
      </c>
      <c r="AF175" s="17">
        <v>0</v>
      </c>
      <c r="AG175" s="17">
        <v>5983</v>
      </c>
      <c r="AH175" s="17">
        <v>0</v>
      </c>
      <c r="AI175" s="17">
        <v>1464</v>
      </c>
      <c r="AJ175" s="54">
        <f t="shared" si="58"/>
        <v>1388168</v>
      </c>
      <c r="AK175" s="54">
        <f t="shared" si="59"/>
        <v>778492</v>
      </c>
      <c r="AL175" s="54">
        <f t="shared" si="60"/>
        <v>86968</v>
      </c>
      <c r="AM175" s="54">
        <f t="shared" si="61"/>
        <v>29764</v>
      </c>
      <c r="AN175" s="19">
        <v>46195</v>
      </c>
      <c r="AO175" s="487">
        <f t="shared" si="62"/>
        <v>-0.154355423489553</v>
      </c>
      <c r="AP175" s="487">
        <f t="shared" si="63"/>
        <v>-0.16043721349478801</v>
      </c>
      <c r="AQ175" s="486">
        <f t="shared" si="64"/>
        <v>-4.9575700175865101E-2</v>
      </c>
      <c r="AR175" s="486">
        <f t="shared" si="65"/>
        <v>-0.44703200247299235</v>
      </c>
      <c r="AS175" s="472">
        <f t="shared" si="66"/>
        <v>-3.3030135425657692E-2</v>
      </c>
      <c r="AT175" s="472">
        <f t="shared" si="67"/>
        <v>-0.32866295908032817</v>
      </c>
      <c r="AU175" s="472">
        <f t="shared" si="68"/>
        <v>0.4611473869358842</v>
      </c>
      <c r="AV175" s="472">
        <f t="shared" si="69"/>
        <v>-1</v>
      </c>
      <c r="AW175" s="472">
        <f t="shared" si="70"/>
        <v>-0.43523906156171699</v>
      </c>
      <c r="AX175" s="472">
        <f t="shared" si="71"/>
        <v>-0.5216699798063742</v>
      </c>
      <c r="AY175" s="472">
        <f t="shared" si="72"/>
        <v>0.45295820209415161</v>
      </c>
      <c r="AZ175" s="472">
        <f t="shared" si="73"/>
        <v>-0.43919467960650294</v>
      </c>
      <c r="BA175" s="472">
        <f t="shared" si="74"/>
        <v>-0.65051173571259024</v>
      </c>
      <c r="BB175" s="472">
        <f t="shared" si="75"/>
        <v>-0.69157599843638029</v>
      </c>
      <c r="BC175" s="472">
        <f t="shared" si="76"/>
        <v>-0.65775917578879595</v>
      </c>
      <c r="BD175" s="472">
        <f t="shared" si="79"/>
        <v>1</v>
      </c>
      <c r="BE175" s="472">
        <f t="shared" si="80"/>
        <v>1</v>
      </c>
    </row>
    <row r="176" spans="1:57" x14ac:dyDescent="0.35">
      <c r="A176" s="19">
        <v>45832</v>
      </c>
      <c r="B176" s="17">
        <v>32757630</v>
      </c>
      <c r="C176" s="17">
        <v>28828276</v>
      </c>
      <c r="D176" s="17">
        <v>4406506.931034483</v>
      </c>
      <c r="E176" s="17">
        <v>4477819</v>
      </c>
      <c r="F176" s="484">
        <f t="shared" si="54"/>
        <v>3689153.9310344825</v>
      </c>
      <c r="G176" s="484">
        <f t="shared" si="55"/>
        <v>3727666</v>
      </c>
      <c r="H176" s="484">
        <f t="shared" si="56"/>
        <v>717353</v>
      </c>
      <c r="I176" s="484">
        <f t="shared" si="57"/>
        <v>750153</v>
      </c>
      <c r="J176" s="19">
        <v>46196</v>
      </c>
      <c r="K176" s="17">
        <v>6885052.9044871293</v>
      </c>
      <c r="L176" s="17">
        <v>4952666.9300810797</v>
      </c>
      <c r="M176" s="17">
        <v>1932385.9744060501</v>
      </c>
      <c r="N176" s="17">
        <v>3442550</v>
      </c>
      <c r="O176" s="17">
        <v>3607578</v>
      </c>
      <c r="P176" s="17">
        <v>48212.931034482703</v>
      </c>
      <c r="Q176" s="17">
        <v>31603</v>
      </c>
      <c r="R176" s="17">
        <v>85752</v>
      </c>
      <c r="S176" s="17">
        <v>41336</v>
      </c>
      <c r="T176" s="17">
        <v>8426</v>
      </c>
      <c r="U176" s="17">
        <v>0</v>
      </c>
      <c r="V176" s="17">
        <v>104213</v>
      </c>
      <c r="W176" s="17">
        <v>47149</v>
      </c>
      <c r="X176" s="17">
        <v>504323</v>
      </c>
      <c r="Y176" s="17">
        <v>522266</v>
      </c>
      <c r="Z176" s="17">
        <v>137554</v>
      </c>
      <c r="AA176" s="17">
        <v>166620</v>
      </c>
      <c r="AB176" s="17">
        <v>60128</v>
      </c>
      <c r="AC176" s="17">
        <v>35881</v>
      </c>
      <c r="AD176" s="17">
        <v>15348</v>
      </c>
      <c r="AE176" s="17">
        <v>14026</v>
      </c>
      <c r="AF176" s="17">
        <v>0</v>
      </c>
      <c r="AG176" s="17">
        <v>6322</v>
      </c>
      <c r="AH176" s="17">
        <v>0</v>
      </c>
      <c r="AI176" s="17">
        <v>5038</v>
      </c>
      <c r="AJ176" s="54">
        <f t="shared" si="58"/>
        <v>641877</v>
      </c>
      <c r="AK176" s="54">
        <f t="shared" si="59"/>
        <v>688886</v>
      </c>
      <c r="AL176" s="54">
        <f t="shared" si="60"/>
        <v>75476</v>
      </c>
      <c r="AM176" s="54">
        <f t="shared" si="61"/>
        <v>49907</v>
      </c>
      <c r="AN176" s="19">
        <v>46196</v>
      </c>
      <c r="AO176" s="487">
        <f t="shared" si="62"/>
        <v>-0.11995232866358163</v>
      </c>
      <c r="AP176" s="487">
        <f t="shared" si="63"/>
        <v>1.6183355678683897E-2</v>
      </c>
      <c r="AQ176" s="486">
        <f t="shared" si="64"/>
        <v>1.0439268646813549E-2</v>
      </c>
      <c r="AR176" s="486">
        <f t="shared" si="65"/>
        <v>4.5723653487195204E-2</v>
      </c>
      <c r="AS176" s="472">
        <f t="shared" si="66"/>
        <v>4.793772058503154E-2</v>
      </c>
      <c r="AT176" s="472">
        <f t="shared" si="67"/>
        <v>-0.34451195308169502</v>
      </c>
      <c r="AU176" s="472">
        <f t="shared" si="68"/>
        <v>-0.51795876481015024</v>
      </c>
      <c r="AV176" s="472">
        <f t="shared" si="69"/>
        <v>-1</v>
      </c>
      <c r="AW176" s="472">
        <f t="shared" si="70"/>
        <v>-0.54757084049015003</v>
      </c>
      <c r="AX176" s="472">
        <f t="shared" si="71"/>
        <v>3.5578389246574194E-2</v>
      </c>
      <c r="AY176" s="472">
        <f t="shared" si="72"/>
        <v>0.21130610523866999</v>
      </c>
      <c r="AZ176" s="472">
        <f t="shared" si="73"/>
        <v>7.3236772777338865E-2</v>
      </c>
      <c r="BA176" s="472">
        <f t="shared" si="74"/>
        <v>-0.4032563863757318</v>
      </c>
      <c r="BB176" s="472">
        <f t="shared" si="75"/>
        <v>-8.6135001303101366E-2</v>
      </c>
      <c r="BC176" s="472">
        <f t="shared" si="76"/>
        <v>-0.33876994011341355</v>
      </c>
      <c r="BD176" s="472">
        <f t="shared" si="79"/>
        <v>1</v>
      </c>
      <c r="BE176" s="472">
        <f t="shared" si="80"/>
        <v>1</v>
      </c>
    </row>
    <row r="177" spans="1:57" x14ac:dyDescent="0.35">
      <c r="A177" s="16">
        <v>45833</v>
      </c>
      <c r="B177" s="17">
        <v>36673425</v>
      </c>
      <c r="C177" s="17">
        <v>28911259</v>
      </c>
      <c r="D177" s="17">
        <v>4415501.3793103453</v>
      </c>
      <c r="E177" s="17">
        <v>4012801</v>
      </c>
      <c r="F177" s="484">
        <f t="shared" si="54"/>
        <v>3367534.3793103448</v>
      </c>
      <c r="G177" s="484">
        <f t="shared" si="55"/>
        <v>3294882</v>
      </c>
      <c r="H177" s="484">
        <f t="shared" si="56"/>
        <v>1047967</v>
      </c>
      <c r="I177" s="484">
        <f t="shared" si="57"/>
        <v>717919</v>
      </c>
      <c r="J177" s="19">
        <v>46197</v>
      </c>
      <c r="K177" s="17">
        <v>5729014.832033854</v>
      </c>
      <c r="L177" s="17">
        <v>4789302.9167269897</v>
      </c>
      <c r="M177" s="17">
        <v>939711.91530686396</v>
      </c>
      <c r="N177" s="17">
        <v>3181484</v>
      </c>
      <c r="O177" s="17">
        <v>3156183</v>
      </c>
      <c r="P177" s="17">
        <v>41541.379310344797</v>
      </c>
      <c r="Q177" s="17">
        <v>27167</v>
      </c>
      <c r="R177" s="17">
        <v>19984</v>
      </c>
      <c r="S177" s="17">
        <v>47227</v>
      </c>
      <c r="T177" s="17">
        <v>5166</v>
      </c>
      <c r="U177" s="17">
        <v>1614</v>
      </c>
      <c r="V177" s="17">
        <v>119359</v>
      </c>
      <c r="W177" s="17">
        <v>62691</v>
      </c>
      <c r="X177" s="17">
        <v>869828</v>
      </c>
      <c r="Y177" s="17">
        <v>486332</v>
      </c>
      <c r="Z177" s="17">
        <v>125724</v>
      </c>
      <c r="AA177" s="17">
        <v>165559</v>
      </c>
      <c r="AB177" s="17">
        <v>44086</v>
      </c>
      <c r="AC177" s="17">
        <v>26707</v>
      </c>
      <c r="AD177" s="17">
        <v>8329</v>
      </c>
      <c r="AE177" s="17">
        <v>18093</v>
      </c>
      <c r="AF177" s="17">
        <v>0</v>
      </c>
      <c r="AG177" s="17">
        <v>15844</v>
      </c>
      <c r="AH177" s="17">
        <v>0</v>
      </c>
      <c r="AI177" s="17">
        <v>5384</v>
      </c>
      <c r="AJ177" s="54">
        <f t="shared" si="58"/>
        <v>995552</v>
      </c>
      <c r="AK177" s="54">
        <f t="shared" si="59"/>
        <v>651891</v>
      </c>
      <c r="AL177" s="54">
        <f t="shared" si="60"/>
        <v>52415</v>
      </c>
      <c r="AM177" s="54">
        <f t="shared" si="61"/>
        <v>44800</v>
      </c>
      <c r="AN177" s="19">
        <v>46197</v>
      </c>
      <c r="AO177" s="487">
        <f t="shared" si="62"/>
        <v>-0.211656424236351</v>
      </c>
      <c r="AP177" s="487">
        <f t="shared" si="63"/>
        <v>-9.1201506854300396E-2</v>
      </c>
      <c r="AQ177" s="486">
        <f t="shared" si="64"/>
        <v>-2.1574354149644592E-2</v>
      </c>
      <c r="AR177" s="486">
        <f t="shared" si="65"/>
        <v>-0.31494121475199122</v>
      </c>
      <c r="AS177" s="472">
        <f t="shared" si="66"/>
        <v>-7.9525781050604483E-3</v>
      </c>
      <c r="AT177" s="472">
        <f t="shared" si="67"/>
        <v>-0.34602556653108607</v>
      </c>
      <c r="AU177" s="472">
        <f t="shared" si="68"/>
        <v>1.363240592473979</v>
      </c>
      <c r="AV177" s="472">
        <f t="shared" si="69"/>
        <v>-0.68757259001161442</v>
      </c>
      <c r="AW177" s="472">
        <f t="shared" si="70"/>
        <v>-0.47476939317521094</v>
      </c>
      <c r="AX177" s="472">
        <f t="shared" si="71"/>
        <v>-0.44088716389906968</v>
      </c>
      <c r="AY177" s="472">
        <f t="shared" si="72"/>
        <v>0.31684483471731739</v>
      </c>
      <c r="AZ177" s="472">
        <f t="shared" si="73"/>
        <v>-0.34519643373726339</v>
      </c>
      <c r="BA177" s="472">
        <f t="shared" si="74"/>
        <v>-0.39420677766184276</v>
      </c>
      <c r="BB177" s="472">
        <f t="shared" si="75"/>
        <v>1.1722895905871051</v>
      </c>
      <c r="BC177" s="472">
        <f t="shared" si="76"/>
        <v>-0.14528283888199944</v>
      </c>
      <c r="BD177" s="472">
        <f t="shared" si="79"/>
        <v>1</v>
      </c>
      <c r="BE177" s="472">
        <f t="shared" si="80"/>
        <v>1</v>
      </c>
    </row>
    <row r="178" spans="1:57" x14ac:dyDescent="0.35">
      <c r="A178" s="19">
        <v>45834</v>
      </c>
      <c r="B178" s="17">
        <v>40294476</v>
      </c>
      <c r="C178" s="17">
        <v>32990386</v>
      </c>
      <c r="D178" s="17">
        <v>3543329.4137931033</v>
      </c>
      <c r="E178" s="17">
        <v>3526090</v>
      </c>
      <c r="F178" s="484">
        <f t="shared" si="54"/>
        <v>2820490.4137931033</v>
      </c>
      <c r="G178" s="484">
        <f t="shared" si="55"/>
        <v>2806367</v>
      </c>
      <c r="H178" s="484">
        <f t="shared" si="56"/>
        <v>722839</v>
      </c>
      <c r="I178" s="484">
        <f t="shared" si="57"/>
        <v>719723</v>
      </c>
      <c r="J178" s="19">
        <v>46198</v>
      </c>
      <c r="K178" s="17">
        <v>5747826.9104707399</v>
      </c>
      <c r="L178" s="17">
        <v>4375020.1099856403</v>
      </c>
      <c r="M178" s="17">
        <v>1372806.8004850999</v>
      </c>
      <c r="N178" s="17">
        <v>2646749</v>
      </c>
      <c r="O178" s="17">
        <v>2694753</v>
      </c>
      <c r="P178" s="17">
        <v>43047.413793103398</v>
      </c>
      <c r="Q178" s="17">
        <v>29216</v>
      </c>
      <c r="R178" s="17">
        <v>27161</v>
      </c>
      <c r="S178" s="17">
        <v>16753</v>
      </c>
      <c r="T178" s="17">
        <v>7060</v>
      </c>
      <c r="U178" s="17">
        <v>1713</v>
      </c>
      <c r="V178" s="17">
        <v>96473</v>
      </c>
      <c r="W178" s="17">
        <v>63932</v>
      </c>
      <c r="X178" s="17">
        <v>505360</v>
      </c>
      <c r="Y178" s="17">
        <v>505290</v>
      </c>
      <c r="Z178" s="17">
        <v>154811</v>
      </c>
      <c r="AA178" s="17">
        <v>132920</v>
      </c>
      <c r="AB178" s="17">
        <v>46738</v>
      </c>
      <c r="AC178" s="17">
        <v>47371</v>
      </c>
      <c r="AD178" s="17">
        <v>15930</v>
      </c>
      <c r="AE178" s="17">
        <v>14247</v>
      </c>
      <c r="AF178" s="17">
        <v>0</v>
      </c>
      <c r="AG178" s="17">
        <v>19034</v>
      </c>
      <c r="AH178" s="17">
        <v>0</v>
      </c>
      <c r="AI178" s="17">
        <v>861</v>
      </c>
      <c r="AJ178" s="54">
        <f t="shared" si="58"/>
        <v>660171</v>
      </c>
      <c r="AK178" s="54">
        <f t="shared" si="59"/>
        <v>638210</v>
      </c>
      <c r="AL178" s="54">
        <f t="shared" si="60"/>
        <v>62668</v>
      </c>
      <c r="AM178" s="54">
        <f t="shared" si="61"/>
        <v>61618</v>
      </c>
      <c r="AN178" s="19">
        <v>46198</v>
      </c>
      <c r="AO178" s="487">
        <f t="shared" si="62"/>
        <v>-0.18126777476892864</v>
      </c>
      <c r="AP178" s="487">
        <f t="shared" si="63"/>
        <v>-4.8653150130483214E-3</v>
      </c>
      <c r="AQ178" s="486">
        <f t="shared" si="64"/>
        <v>-5.0074319430533087E-3</v>
      </c>
      <c r="AR178" s="486">
        <f t="shared" si="65"/>
        <v>-4.310780132228631E-3</v>
      </c>
      <c r="AS178" s="472">
        <f t="shared" si="66"/>
        <v>1.8136967275703242E-2</v>
      </c>
      <c r="AT178" s="472">
        <f t="shared" si="67"/>
        <v>-0.32130649844798154</v>
      </c>
      <c r="AU178" s="472">
        <f t="shared" si="68"/>
        <v>-0.38319649497441188</v>
      </c>
      <c r="AV178" s="472">
        <f t="shared" si="69"/>
        <v>-0.75736543909348442</v>
      </c>
      <c r="AW178" s="472">
        <f t="shared" si="70"/>
        <v>-0.33730681123215822</v>
      </c>
      <c r="AX178" s="472">
        <f t="shared" si="71"/>
        <v>-1.3851511793572246E-4</v>
      </c>
      <c r="AY178" s="472">
        <f t="shared" si="72"/>
        <v>-0.14140468054595601</v>
      </c>
      <c r="AZ178" s="472">
        <f t="shared" si="73"/>
        <v>-3.326562360358154E-2</v>
      </c>
      <c r="BA178" s="472">
        <f t="shared" si="74"/>
        <v>1.3543583379691082E-2</v>
      </c>
      <c r="BB178" s="472">
        <f t="shared" si="75"/>
        <v>-0.10564971751412433</v>
      </c>
      <c r="BC178" s="472">
        <f t="shared" si="76"/>
        <v>-1.6754962660368911E-2</v>
      </c>
      <c r="BD178" s="472">
        <f t="shared" si="79"/>
        <v>1</v>
      </c>
      <c r="BE178" s="472">
        <f t="shared" si="80"/>
        <v>1</v>
      </c>
    </row>
    <row r="179" spans="1:57" x14ac:dyDescent="0.35">
      <c r="A179" s="16">
        <v>45835</v>
      </c>
      <c r="B179" s="17">
        <v>45550137</v>
      </c>
      <c r="C179" s="17">
        <v>37473775</v>
      </c>
      <c r="D179" s="17">
        <v>3003218.9655172415</v>
      </c>
      <c r="E179" s="17">
        <v>2983299</v>
      </c>
      <c r="F179" s="484">
        <f t="shared" si="54"/>
        <v>2301299.9655172415</v>
      </c>
      <c r="G179" s="484">
        <f t="shared" si="55"/>
        <v>2331775</v>
      </c>
      <c r="H179" s="484">
        <f t="shared" si="56"/>
        <v>701919</v>
      </c>
      <c r="I179" s="484">
        <f t="shared" si="57"/>
        <v>651524</v>
      </c>
      <c r="J179" s="19">
        <v>46199</v>
      </c>
      <c r="K179" s="17">
        <v>4601271.3508241205</v>
      </c>
      <c r="L179" s="17">
        <v>3654372.9324046001</v>
      </c>
      <c r="M179" s="17">
        <v>946898.41841952002</v>
      </c>
      <c r="N179" s="17">
        <v>2155899</v>
      </c>
      <c r="O179" s="17">
        <v>2205478</v>
      </c>
      <c r="P179" s="17">
        <v>39018.965517241399</v>
      </c>
      <c r="Q179" s="17">
        <v>28000</v>
      </c>
      <c r="R179" s="17">
        <v>39894</v>
      </c>
      <c r="S179" s="17">
        <v>16158</v>
      </c>
      <c r="T179" s="17">
        <v>8661</v>
      </c>
      <c r="U179" s="17">
        <v>1136</v>
      </c>
      <c r="V179" s="17">
        <v>57827</v>
      </c>
      <c r="W179" s="17">
        <v>81003</v>
      </c>
      <c r="X179" s="17">
        <v>506732</v>
      </c>
      <c r="Y179" s="17">
        <v>416030</v>
      </c>
      <c r="Z179" s="17">
        <v>154811</v>
      </c>
      <c r="AA179" s="17">
        <v>171947</v>
      </c>
      <c r="AB179" s="17">
        <v>29295</v>
      </c>
      <c r="AC179" s="17">
        <v>42864</v>
      </c>
      <c r="AD179" s="17">
        <v>11081</v>
      </c>
      <c r="AE179" s="17">
        <v>12244</v>
      </c>
      <c r="AF179" s="17">
        <v>0</v>
      </c>
      <c r="AG179" s="17">
        <v>7750</v>
      </c>
      <c r="AH179" s="17">
        <v>0</v>
      </c>
      <c r="AI179" s="17">
        <v>689</v>
      </c>
      <c r="AJ179" s="54">
        <f t="shared" si="58"/>
        <v>661543</v>
      </c>
      <c r="AK179" s="54">
        <f t="shared" si="59"/>
        <v>587977</v>
      </c>
      <c r="AL179" s="54">
        <f t="shared" si="60"/>
        <v>40376</v>
      </c>
      <c r="AM179" s="54">
        <f t="shared" si="61"/>
        <v>55108</v>
      </c>
      <c r="AN179" s="19">
        <v>46199</v>
      </c>
      <c r="AO179" s="487">
        <f t="shared" si="62"/>
        <v>-0.17730708471853773</v>
      </c>
      <c r="AP179" s="487">
        <f t="shared" si="63"/>
        <v>-6.6328715108558978E-3</v>
      </c>
      <c r="AQ179" s="486">
        <f t="shared" si="64"/>
        <v>1.3242530282621789E-2</v>
      </c>
      <c r="AR179" s="486">
        <f t="shared" si="65"/>
        <v>-7.1796033445454488E-2</v>
      </c>
      <c r="AS179" s="472">
        <f t="shared" si="66"/>
        <v>2.299690291613854E-2</v>
      </c>
      <c r="AT179" s="472">
        <f t="shared" si="67"/>
        <v>-0.28240024744819092</v>
      </c>
      <c r="AU179" s="472">
        <f t="shared" si="68"/>
        <v>-0.59497668822379302</v>
      </c>
      <c r="AV179" s="472">
        <f t="shared" si="69"/>
        <v>-0.86883731670707776</v>
      </c>
      <c r="AW179" s="472">
        <f t="shared" si="70"/>
        <v>0.40078164179362585</v>
      </c>
      <c r="AX179" s="472">
        <f t="shared" si="71"/>
        <v>-0.17899402445474133</v>
      </c>
      <c r="AY179" s="472">
        <f t="shared" si="72"/>
        <v>0.11068980886371116</v>
      </c>
      <c r="AZ179" s="472">
        <f t="shared" si="73"/>
        <v>-0.11120365569585045</v>
      </c>
      <c r="BA179" s="472">
        <f t="shared" si="74"/>
        <v>0.46318484383000502</v>
      </c>
      <c r="BB179" s="472">
        <f t="shared" si="75"/>
        <v>0.10495442649580355</v>
      </c>
      <c r="BC179" s="472">
        <f t="shared" si="76"/>
        <v>0.36487021993263324</v>
      </c>
      <c r="BD179" s="472">
        <f t="shared" si="79"/>
        <v>1</v>
      </c>
      <c r="BE179" s="472">
        <f t="shared" si="80"/>
        <v>1</v>
      </c>
    </row>
    <row r="180" spans="1:57" x14ac:dyDescent="0.35">
      <c r="A180" s="19">
        <v>45836</v>
      </c>
      <c r="B180" s="17">
        <v>52421787</v>
      </c>
      <c r="C180" s="17">
        <v>42913204</v>
      </c>
      <c r="D180" s="17">
        <v>2541734.4137931033</v>
      </c>
      <c r="E180" s="17">
        <v>2513852</v>
      </c>
      <c r="F180" s="484">
        <f t="shared" si="54"/>
        <v>1864252.4137931033</v>
      </c>
      <c r="G180" s="484">
        <f t="shared" si="55"/>
        <v>1885362</v>
      </c>
      <c r="H180" s="484">
        <f t="shared" si="56"/>
        <v>677482</v>
      </c>
      <c r="I180" s="484">
        <f t="shared" si="57"/>
        <v>628490</v>
      </c>
      <c r="J180" s="19">
        <v>46200</v>
      </c>
      <c r="K180" s="17">
        <v>3869238.1141088381</v>
      </c>
      <c r="L180" s="17">
        <v>2975810.10838571</v>
      </c>
      <c r="M180" s="17">
        <v>893428.00572312798</v>
      </c>
      <c r="N180" s="17">
        <v>1738073</v>
      </c>
      <c r="O180" s="17">
        <v>1773131</v>
      </c>
      <c r="P180" s="17">
        <v>45922.413793103398</v>
      </c>
      <c r="Q180" s="17">
        <v>37159</v>
      </c>
      <c r="R180" s="17">
        <v>20153</v>
      </c>
      <c r="S180" s="17">
        <v>7338</v>
      </c>
      <c r="T180" s="17">
        <v>5603</v>
      </c>
      <c r="U180" s="17">
        <v>0</v>
      </c>
      <c r="V180" s="17">
        <v>54501</v>
      </c>
      <c r="W180" s="17">
        <v>67734</v>
      </c>
      <c r="X180" s="17">
        <v>502302</v>
      </c>
      <c r="Y180" s="17">
        <v>419596</v>
      </c>
      <c r="Z180" s="17">
        <v>134913</v>
      </c>
      <c r="AA180" s="17">
        <v>154349</v>
      </c>
      <c r="AB180" s="17">
        <v>29728</v>
      </c>
      <c r="AC180" s="17">
        <v>36632</v>
      </c>
      <c r="AD180" s="17">
        <v>10539</v>
      </c>
      <c r="AE180" s="17">
        <v>11823</v>
      </c>
      <c r="AF180" s="17">
        <v>0</v>
      </c>
      <c r="AG180" s="17">
        <v>4627</v>
      </c>
      <c r="AH180" s="17">
        <v>0</v>
      </c>
      <c r="AI180" s="17">
        <v>1463</v>
      </c>
      <c r="AJ180" s="54">
        <f t="shared" si="58"/>
        <v>637215</v>
      </c>
      <c r="AK180" s="54">
        <f t="shared" si="59"/>
        <v>573945</v>
      </c>
      <c r="AL180" s="54">
        <f t="shared" si="60"/>
        <v>40267</v>
      </c>
      <c r="AM180" s="54">
        <f t="shared" si="61"/>
        <v>48455</v>
      </c>
      <c r="AN180" s="19">
        <v>46200</v>
      </c>
      <c r="AO180" s="487">
        <f t="shared" si="62"/>
        <v>-0.18138609048180676</v>
      </c>
      <c r="AP180" s="487">
        <f t="shared" si="63"/>
        <v>-1.0969837620246725E-2</v>
      </c>
      <c r="AQ180" s="486">
        <f t="shared" si="64"/>
        <v>1.1323351951008531E-2</v>
      </c>
      <c r="AR180" s="486">
        <f t="shared" si="65"/>
        <v>-7.2314836408937766E-2</v>
      </c>
      <c r="AS180" s="472">
        <f t="shared" si="66"/>
        <v>2.0170614237721818E-2</v>
      </c>
      <c r="AT180" s="472">
        <f t="shared" si="67"/>
        <v>-0.1908308616482064</v>
      </c>
      <c r="AU180" s="472">
        <f t="shared" si="68"/>
        <v>-0.63588547610777546</v>
      </c>
      <c r="AV180" s="472">
        <f t="shared" si="69"/>
        <v>-1</v>
      </c>
      <c r="AW180" s="472">
        <f t="shared" si="70"/>
        <v>0.24280288435074593</v>
      </c>
      <c r="AX180" s="472">
        <f t="shared" si="71"/>
        <v>-0.16465393329112765</v>
      </c>
      <c r="AY180" s="472">
        <f t="shared" si="72"/>
        <v>0.14406321110641662</v>
      </c>
      <c r="AZ180" s="472">
        <f t="shared" si="73"/>
        <v>-9.9291447941432631E-2</v>
      </c>
      <c r="BA180" s="472">
        <f t="shared" si="74"/>
        <v>0.2322389666307858</v>
      </c>
      <c r="BB180" s="472">
        <f t="shared" si="75"/>
        <v>0.12183319100483914</v>
      </c>
      <c r="BC180" s="472">
        <f t="shared" si="76"/>
        <v>0.20334268756053353</v>
      </c>
      <c r="BD180" s="472">
        <f t="shared" si="79"/>
        <v>1</v>
      </c>
      <c r="BE180" s="472">
        <f t="shared" si="80"/>
        <v>1</v>
      </c>
    </row>
    <row r="181" spans="1:57" x14ac:dyDescent="0.35">
      <c r="A181" s="16">
        <v>45837</v>
      </c>
      <c r="B181" s="17">
        <v>53869935</v>
      </c>
      <c r="C181" s="17">
        <v>44748131</v>
      </c>
      <c r="D181" s="17">
        <v>2780664.7586206896</v>
      </c>
      <c r="E181" s="17">
        <v>3063274</v>
      </c>
      <c r="F181" s="484">
        <f t="shared" si="54"/>
        <v>2342918.7586206896</v>
      </c>
      <c r="G181" s="484">
        <f t="shared" si="55"/>
        <v>2492311</v>
      </c>
      <c r="H181" s="484">
        <f t="shared" si="56"/>
        <v>437746</v>
      </c>
      <c r="I181" s="484">
        <f t="shared" si="57"/>
        <v>570963</v>
      </c>
      <c r="J181" s="19">
        <v>46201</v>
      </c>
      <c r="K181" s="17">
        <v>3273634.5030915751</v>
      </c>
      <c r="L181" s="17">
        <v>2391835.1135060801</v>
      </c>
      <c r="M181" s="17">
        <v>881799.389585495</v>
      </c>
      <c r="N181" s="17">
        <v>2175842</v>
      </c>
      <c r="O181" s="17">
        <v>2401141</v>
      </c>
      <c r="P181" s="17">
        <v>46807.758620689601</v>
      </c>
      <c r="Q181" s="17">
        <v>36721</v>
      </c>
      <c r="R181" s="17">
        <v>7774</v>
      </c>
      <c r="S181" s="17">
        <v>0</v>
      </c>
      <c r="T181" s="17">
        <v>4942</v>
      </c>
      <c r="U181" s="17">
        <v>3416</v>
      </c>
      <c r="V181" s="17">
        <v>107553</v>
      </c>
      <c r="W181" s="17">
        <v>51033</v>
      </c>
      <c r="X181" s="17">
        <v>253751</v>
      </c>
      <c r="Y181" s="17">
        <v>338340</v>
      </c>
      <c r="Z181" s="17">
        <v>130575</v>
      </c>
      <c r="AA181" s="17">
        <v>156455</v>
      </c>
      <c r="AB181" s="17">
        <v>43414</v>
      </c>
      <c r="AC181" s="17">
        <v>51224</v>
      </c>
      <c r="AD181" s="17">
        <v>10006</v>
      </c>
      <c r="AE181" s="17">
        <v>16905</v>
      </c>
      <c r="AF181" s="17">
        <v>0</v>
      </c>
      <c r="AG181" s="17">
        <v>2570</v>
      </c>
      <c r="AH181" s="17">
        <v>0</v>
      </c>
      <c r="AI181" s="17">
        <v>5469</v>
      </c>
      <c r="AJ181" s="54">
        <f t="shared" si="58"/>
        <v>384326</v>
      </c>
      <c r="AK181" s="54">
        <f t="shared" si="59"/>
        <v>494795</v>
      </c>
      <c r="AL181" s="54">
        <f t="shared" si="60"/>
        <v>53420</v>
      </c>
      <c r="AM181" s="54">
        <f t="shared" si="61"/>
        <v>68129</v>
      </c>
      <c r="AN181" s="19">
        <v>46201</v>
      </c>
      <c r="AO181" s="487">
        <f t="shared" si="62"/>
        <v>-0.16933014676925084</v>
      </c>
      <c r="AP181" s="487">
        <f t="shared" si="63"/>
        <v>0.10163369766281893</v>
      </c>
      <c r="AQ181" s="486">
        <f t="shared" si="64"/>
        <v>6.3763304139175414E-2</v>
      </c>
      <c r="AR181" s="486">
        <f t="shared" si="65"/>
        <v>0.30432488246608758</v>
      </c>
      <c r="AS181" s="472">
        <f t="shared" si="66"/>
        <v>0.10354566186331549</v>
      </c>
      <c r="AT181" s="472">
        <f t="shared" si="67"/>
        <v>-0.21549330533915223</v>
      </c>
      <c r="AU181" s="472">
        <f t="shared" si="68"/>
        <v>-1</v>
      </c>
      <c r="AV181" s="472">
        <f t="shared" si="69"/>
        <v>-0.30878186968838528</v>
      </c>
      <c r="AW181" s="472">
        <f t="shared" si="70"/>
        <v>-0.52550835402080831</v>
      </c>
      <c r="AX181" s="472">
        <f t="shared" si="71"/>
        <v>0.33335435131290114</v>
      </c>
      <c r="AY181" s="472">
        <f t="shared" si="72"/>
        <v>0.19820026804518487</v>
      </c>
      <c r="AZ181" s="472">
        <f t="shared" si="73"/>
        <v>0.28743566659554642</v>
      </c>
      <c r="BA181" s="472">
        <f t="shared" si="74"/>
        <v>0.17989588611968488</v>
      </c>
      <c r="BB181" s="472">
        <f t="shared" si="75"/>
        <v>0.68948630821507106</v>
      </c>
      <c r="BC181" s="472">
        <f t="shared" si="76"/>
        <v>0.27534631224260586</v>
      </c>
      <c r="BD181" s="472">
        <f t="shared" si="79"/>
        <v>1</v>
      </c>
      <c r="BE181" s="472">
        <f t="shared" si="80"/>
        <v>1</v>
      </c>
    </row>
    <row r="182" spans="1:57" x14ac:dyDescent="0.35">
      <c r="A182" s="19">
        <v>45838</v>
      </c>
      <c r="B182" s="17">
        <v>31090588</v>
      </c>
      <c r="C182" s="17">
        <v>26885675</v>
      </c>
      <c r="D182" s="17">
        <v>4938052.4137931038</v>
      </c>
      <c r="E182" s="17">
        <v>4520624</v>
      </c>
      <c r="F182" s="484">
        <f t="shared" si="54"/>
        <v>3842607.4137931033</v>
      </c>
      <c r="G182" s="484">
        <f t="shared" si="55"/>
        <v>3798266</v>
      </c>
      <c r="H182" s="484">
        <f t="shared" si="56"/>
        <v>1095445</v>
      </c>
      <c r="I182" s="484">
        <f t="shared" si="57"/>
        <v>722358</v>
      </c>
      <c r="J182" s="19">
        <v>46202</v>
      </c>
      <c r="K182" s="17">
        <v>3577224.5959536387</v>
      </c>
      <c r="L182" s="17">
        <v>3020309.9038648298</v>
      </c>
      <c r="M182" s="17">
        <v>556914.69208880898</v>
      </c>
      <c r="N182" s="17">
        <v>3654183</v>
      </c>
      <c r="O182" s="17">
        <v>3662040</v>
      </c>
      <c r="P182" s="17">
        <v>47272.413793103398</v>
      </c>
      <c r="Q182" s="17">
        <v>33444</v>
      </c>
      <c r="R182" s="17">
        <v>48765</v>
      </c>
      <c r="S182" s="17">
        <v>20991</v>
      </c>
      <c r="T182" s="17">
        <v>11584</v>
      </c>
      <c r="U182" s="17">
        <v>963</v>
      </c>
      <c r="V182" s="17">
        <v>80803</v>
      </c>
      <c r="W182" s="17">
        <v>80828</v>
      </c>
      <c r="X182" s="17">
        <v>907574</v>
      </c>
      <c r="Y182" s="17">
        <v>498148</v>
      </c>
      <c r="Z182" s="17">
        <v>118765</v>
      </c>
      <c r="AA182" s="17">
        <v>146434</v>
      </c>
      <c r="AB182" s="17">
        <v>58578</v>
      </c>
      <c r="AC182" s="17">
        <v>52303</v>
      </c>
      <c r="AD182" s="17">
        <v>10528</v>
      </c>
      <c r="AE182" s="17">
        <v>17845</v>
      </c>
      <c r="AF182" s="17">
        <v>0</v>
      </c>
      <c r="AG182" s="17">
        <v>3624</v>
      </c>
      <c r="AH182" s="17">
        <v>0</v>
      </c>
      <c r="AI182" s="17">
        <v>4004</v>
      </c>
      <c r="AJ182" s="54">
        <f t="shared" si="58"/>
        <v>1026339</v>
      </c>
      <c r="AK182" s="54">
        <f t="shared" si="59"/>
        <v>644582</v>
      </c>
      <c r="AL182" s="54">
        <f t="shared" si="60"/>
        <v>69106</v>
      </c>
      <c r="AM182" s="54">
        <f t="shared" si="61"/>
        <v>70148</v>
      </c>
      <c r="AN182" s="19">
        <v>46202</v>
      </c>
      <c r="AO182" s="487">
        <f t="shared" si="62"/>
        <v>-0.13524713652890707</v>
      </c>
      <c r="AP182" s="487">
        <f t="shared" si="63"/>
        <v>-8.4533005892592605E-2</v>
      </c>
      <c r="AQ182" s="486">
        <f t="shared" si="64"/>
        <v>-1.1539407755770004E-2</v>
      </c>
      <c r="AR182" s="486">
        <f t="shared" si="65"/>
        <v>-0.34058031211060347</v>
      </c>
      <c r="AS182" s="472">
        <f t="shared" si="66"/>
        <v>2.1501386219573426E-3</v>
      </c>
      <c r="AT182" s="472">
        <f t="shared" si="67"/>
        <v>-0.29252607775913564</v>
      </c>
      <c r="AU182" s="472">
        <f t="shared" si="68"/>
        <v>-0.56954783143648102</v>
      </c>
      <c r="AV182" s="472">
        <f t="shared" si="69"/>
        <v>-0.91686809392265189</v>
      </c>
      <c r="AW182" s="472">
        <f t="shared" si="70"/>
        <v>3.0939445317623715E-4</v>
      </c>
      <c r="AX182" s="472">
        <f t="shared" si="71"/>
        <v>-0.45112134106970891</v>
      </c>
      <c r="AY182" s="472">
        <f t="shared" si="72"/>
        <v>0.23297267713551983</v>
      </c>
      <c r="AZ182" s="472">
        <f t="shared" si="73"/>
        <v>-0.371959946957097</v>
      </c>
      <c r="BA182" s="472">
        <f t="shared" si="74"/>
        <v>-0.10712212776127561</v>
      </c>
      <c r="BB182" s="472">
        <f t="shared" si="75"/>
        <v>0.69500379939209722</v>
      </c>
      <c r="BC182" s="472">
        <f t="shared" si="76"/>
        <v>1.5078285532370561E-2</v>
      </c>
      <c r="BD182" s="472">
        <f t="shared" si="79"/>
        <v>1</v>
      </c>
      <c r="BE182" s="472">
        <f t="shared" si="80"/>
        <v>1</v>
      </c>
    </row>
    <row r="183" spans="1:57" x14ac:dyDescent="0.35">
      <c r="A183" s="16">
        <v>45839</v>
      </c>
      <c r="B183" s="17">
        <v>35520249</v>
      </c>
      <c r="C183" s="17">
        <v>29153329</v>
      </c>
      <c r="D183" s="17">
        <v>4679845.4137931038</v>
      </c>
      <c r="E183" s="17">
        <v>5128859</v>
      </c>
      <c r="F183" s="484">
        <f t="shared" si="54"/>
        <v>3893034.4137931033</v>
      </c>
      <c r="G183" s="484">
        <f t="shared" si="55"/>
        <v>4132090</v>
      </c>
      <c r="H183" s="484">
        <f t="shared" si="56"/>
        <v>786811</v>
      </c>
      <c r="I183" s="484">
        <f t="shared" si="57"/>
        <v>996769</v>
      </c>
      <c r="J183" s="19">
        <v>46203</v>
      </c>
      <c r="K183" s="17">
        <v>6427394.1174728405</v>
      </c>
      <c r="L183" s="17">
        <v>4992392.4947524704</v>
      </c>
      <c r="M183" s="17">
        <v>1435001.6227203701</v>
      </c>
      <c r="N183" s="17">
        <v>3679795</v>
      </c>
      <c r="O183" s="17">
        <v>4003008</v>
      </c>
      <c r="P183" s="17">
        <v>42322.413793103398</v>
      </c>
      <c r="Q183" s="17">
        <v>33147</v>
      </c>
      <c r="R183" s="17">
        <v>86850</v>
      </c>
      <c r="S183" s="17">
        <v>7770</v>
      </c>
      <c r="T183" s="17">
        <v>9893</v>
      </c>
      <c r="U183" s="17">
        <v>4521</v>
      </c>
      <c r="V183" s="17">
        <v>74174</v>
      </c>
      <c r="W183" s="17">
        <v>83644</v>
      </c>
      <c r="X183" s="17">
        <v>622788</v>
      </c>
      <c r="Y183" s="17">
        <v>771777</v>
      </c>
      <c r="Z183" s="17">
        <v>102657</v>
      </c>
      <c r="AA183" s="17">
        <v>155445</v>
      </c>
      <c r="AB183" s="17">
        <v>47524</v>
      </c>
      <c r="AC183" s="17">
        <v>49773</v>
      </c>
      <c r="AD183" s="17">
        <v>13842</v>
      </c>
      <c r="AE183" s="17">
        <v>13299</v>
      </c>
      <c r="AF183" s="17">
        <v>0</v>
      </c>
      <c r="AG183" s="17">
        <v>4538</v>
      </c>
      <c r="AH183" s="17">
        <v>0</v>
      </c>
      <c r="AI183" s="17">
        <v>1937</v>
      </c>
      <c r="AJ183" s="54">
        <f t="shared" si="58"/>
        <v>725445</v>
      </c>
      <c r="AK183" s="54">
        <f t="shared" si="59"/>
        <v>927222</v>
      </c>
      <c r="AL183" s="54">
        <f t="shared" si="60"/>
        <v>61366</v>
      </c>
      <c r="AM183" s="54">
        <f t="shared" si="61"/>
        <v>63072</v>
      </c>
      <c r="AN183" s="19">
        <v>46203</v>
      </c>
      <c r="AO183" s="487">
        <f t="shared" si="62"/>
        <v>-0.17924761732385375</v>
      </c>
      <c r="AP183" s="487">
        <f t="shared" si="63"/>
        <v>9.5946243199294567E-2</v>
      </c>
      <c r="AQ183" s="486">
        <f t="shared" si="64"/>
        <v>6.140597816446669E-2</v>
      </c>
      <c r="AR183" s="486">
        <f t="shared" si="65"/>
        <v>0.2668468031077349</v>
      </c>
      <c r="AS183" s="472">
        <f t="shared" si="66"/>
        <v>8.7834512520398533E-2</v>
      </c>
      <c r="AT183" s="472">
        <f t="shared" si="67"/>
        <v>-0.21679797938648215</v>
      </c>
      <c r="AU183" s="472">
        <f t="shared" si="68"/>
        <v>-0.91053540587219339</v>
      </c>
      <c r="AV183" s="472">
        <f t="shared" si="69"/>
        <v>-0.54301020923885579</v>
      </c>
      <c r="AW183" s="472">
        <f t="shared" si="70"/>
        <v>0.12767276943403338</v>
      </c>
      <c r="AX183" s="472">
        <f t="shared" si="71"/>
        <v>0.23922907955837291</v>
      </c>
      <c r="AY183" s="472">
        <f t="shared" si="72"/>
        <v>0.51421724772787059</v>
      </c>
      <c r="AZ183" s="472">
        <f t="shared" si="73"/>
        <v>0.27814238157268978</v>
      </c>
      <c r="BA183" s="472">
        <f t="shared" si="74"/>
        <v>4.7323457621412324E-2</v>
      </c>
      <c r="BB183" s="472">
        <f t="shared" si="75"/>
        <v>-3.9228435197225853E-2</v>
      </c>
      <c r="BC183" s="472">
        <f t="shared" si="76"/>
        <v>2.7800410650848928E-2</v>
      </c>
      <c r="BD183" s="472">
        <f t="shared" si="79"/>
        <v>1</v>
      </c>
      <c r="BE183" s="472">
        <f t="shared" si="80"/>
        <v>1</v>
      </c>
    </row>
    <row r="184" spans="1:57" x14ac:dyDescent="0.35">
      <c r="A184" s="19">
        <v>45840</v>
      </c>
      <c r="B184" s="17">
        <v>37199061</v>
      </c>
      <c r="C184" s="17">
        <v>31749859</v>
      </c>
      <c r="D184" s="17">
        <v>4524076.3103448283</v>
      </c>
      <c r="E184" s="17">
        <v>4855063</v>
      </c>
      <c r="F184" s="484">
        <f t="shared" si="54"/>
        <v>3855397.3103448278</v>
      </c>
      <c r="G184" s="484">
        <f t="shared" si="55"/>
        <v>4002320</v>
      </c>
      <c r="H184" s="484">
        <f t="shared" si="56"/>
        <v>668679</v>
      </c>
      <c r="I184" s="484">
        <f t="shared" si="57"/>
        <v>852743</v>
      </c>
      <c r="J184" s="19">
        <v>46204</v>
      </c>
      <c r="K184" s="17">
        <v>6098844.9034075299</v>
      </c>
      <c r="L184" s="17">
        <v>5047249.3107280601</v>
      </c>
      <c r="M184" s="17">
        <v>1051595.5926794701</v>
      </c>
      <c r="N184" s="17">
        <v>3685044</v>
      </c>
      <c r="O184" s="17">
        <v>3854991</v>
      </c>
      <c r="P184" s="17">
        <v>36679.310344827602</v>
      </c>
      <c r="Q184" s="17">
        <v>33555</v>
      </c>
      <c r="R184" s="17">
        <v>54428</v>
      </c>
      <c r="S184" s="17">
        <v>37725</v>
      </c>
      <c r="T184" s="17">
        <v>10227</v>
      </c>
      <c r="U184" s="17">
        <v>3591</v>
      </c>
      <c r="V184" s="17">
        <v>69019</v>
      </c>
      <c r="W184" s="17">
        <v>72458</v>
      </c>
      <c r="X184" s="17">
        <v>520885</v>
      </c>
      <c r="Y184" s="17">
        <v>625555</v>
      </c>
      <c r="Z184" s="17">
        <v>97656</v>
      </c>
      <c r="AA184" s="17">
        <v>147936</v>
      </c>
      <c r="AB184" s="17">
        <v>41854</v>
      </c>
      <c r="AC184" s="17">
        <v>54054</v>
      </c>
      <c r="AD184" s="17">
        <v>8284</v>
      </c>
      <c r="AE184" s="17">
        <v>17511</v>
      </c>
      <c r="AF184" s="17">
        <v>0</v>
      </c>
      <c r="AG184" s="17">
        <v>6232</v>
      </c>
      <c r="AH184" s="17">
        <v>0</v>
      </c>
      <c r="AI184" s="17">
        <v>1455</v>
      </c>
      <c r="AJ184" s="54">
        <f t="shared" si="58"/>
        <v>618541</v>
      </c>
      <c r="AK184" s="54">
        <f t="shared" si="59"/>
        <v>773491</v>
      </c>
      <c r="AL184" s="54">
        <f t="shared" si="60"/>
        <v>50138</v>
      </c>
      <c r="AM184" s="54">
        <f t="shared" si="61"/>
        <v>71565</v>
      </c>
      <c r="AN184" s="19">
        <v>46204</v>
      </c>
      <c r="AO184" s="487">
        <f t="shared" si="62"/>
        <v>-0.14648762236229562</v>
      </c>
      <c r="AP184" s="487">
        <f t="shared" si="63"/>
        <v>7.3161164169210036E-2</v>
      </c>
      <c r="AQ184" s="486">
        <f t="shared" si="64"/>
        <v>3.8108313574050756E-2</v>
      </c>
      <c r="AR184" s="486">
        <f t="shared" si="65"/>
        <v>0.27526511225864736</v>
      </c>
      <c r="AS184" s="472">
        <f t="shared" si="66"/>
        <v>4.6118038210669843E-2</v>
      </c>
      <c r="AT184" s="472">
        <f t="shared" si="67"/>
        <v>-8.5179091849206023E-2</v>
      </c>
      <c r="AU184" s="472">
        <f t="shared" si="68"/>
        <v>-0.30688248695524367</v>
      </c>
      <c r="AV184" s="472">
        <f t="shared" si="69"/>
        <v>-0.64887063655030808</v>
      </c>
      <c r="AW184" s="472">
        <f t="shared" si="70"/>
        <v>4.9826859270635682E-2</v>
      </c>
      <c r="AX184" s="472">
        <f t="shared" si="71"/>
        <v>0.20094646611056177</v>
      </c>
      <c r="AY184" s="472">
        <f t="shared" si="72"/>
        <v>0.51486851806340628</v>
      </c>
      <c r="AZ184" s="472">
        <f t="shared" si="73"/>
        <v>0.2505088587498645</v>
      </c>
      <c r="BA184" s="472">
        <f t="shared" si="74"/>
        <v>0.29148946337267634</v>
      </c>
      <c r="BB184" s="472">
        <f t="shared" si="75"/>
        <v>1.1138338966682761</v>
      </c>
      <c r="BC184" s="472">
        <f t="shared" si="76"/>
        <v>0.42736048506123092</v>
      </c>
      <c r="BD184" s="472">
        <f t="shared" si="79"/>
        <v>1</v>
      </c>
      <c r="BE184" s="472">
        <f t="shared" si="80"/>
        <v>1</v>
      </c>
    </row>
    <row r="185" spans="1:57" x14ac:dyDescent="0.35">
      <c r="A185" s="16">
        <v>45841</v>
      </c>
      <c r="B185" s="17">
        <v>43524406</v>
      </c>
      <c r="C185" s="17">
        <v>37296594</v>
      </c>
      <c r="D185" s="17">
        <v>3572178.5517241377</v>
      </c>
      <c r="E185" s="17">
        <v>3814952</v>
      </c>
      <c r="F185" s="484">
        <f t="shared" si="54"/>
        <v>2877073.5517241377</v>
      </c>
      <c r="G185" s="484">
        <f t="shared" si="55"/>
        <v>3059666</v>
      </c>
      <c r="H185" s="484">
        <f t="shared" si="56"/>
        <v>695105</v>
      </c>
      <c r="I185" s="484">
        <f t="shared" si="57"/>
        <v>755286</v>
      </c>
      <c r="J185" s="19">
        <v>46205</v>
      </c>
      <c r="K185" s="17">
        <v>5892162.2488056887</v>
      </c>
      <c r="L185" s="17">
        <v>4998453.4809855698</v>
      </c>
      <c r="M185" s="17">
        <v>893708.76782011904</v>
      </c>
      <c r="N185" s="17">
        <v>2698039</v>
      </c>
      <c r="O185" s="17">
        <v>2923874</v>
      </c>
      <c r="P185" s="17">
        <v>35471.551724137898</v>
      </c>
      <c r="Q185" s="17">
        <v>33721</v>
      </c>
      <c r="R185" s="17">
        <v>41667</v>
      </c>
      <c r="S185" s="17">
        <v>11767</v>
      </c>
      <c r="T185" s="17">
        <v>9394</v>
      </c>
      <c r="U185" s="17">
        <v>4184</v>
      </c>
      <c r="V185" s="17">
        <v>92502</v>
      </c>
      <c r="W185" s="17">
        <v>86120</v>
      </c>
      <c r="X185" s="17">
        <v>552929</v>
      </c>
      <c r="Y185" s="17">
        <v>529374</v>
      </c>
      <c r="Z185" s="17">
        <v>93404</v>
      </c>
      <c r="AA185" s="17">
        <v>154761</v>
      </c>
      <c r="AB185" s="17">
        <v>39271</v>
      </c>
      <c r="AC185" s="17">
        <v>37080</v>
      </c>
      <c r="AD185" s="17">
        <v>9501</v>
      </c>
      <c r="AE185" s="17">
        <v>17915</v>
      </c>
      <c r="AF185" s="17">
        <v>0</v>
      </c>
      <c r="AG185" s="17">
        <v>9869</v>
      </c>
      <c r="AH185" s="17">
        <v>0</v>
      </c>
      <c r="AI185" s="17">
        <v>6287</v>
      </c>
      <c r="AJ185" s="54">
        <f t="shared" si="58"/>
        <v>646333</v>
      </c>
      <c r="AK185" s="54">
        <f t="shared" si="59"/>
        <v>684135</v>
      </c>
      <c r="AL185" s="54">
        <f t="shared" si="60"/>
        <v>48772</v>
      </c>
      <c r="AM185" s="54">
        <f t="shared" si="61"/>
        <v>54995</v>
      </c>
      <c r="AN185" s="19">
        <v>46205</v>
      </c>
      <c r="AO185" s="487">
        <f t="shared" si="62"/>
        <v>-0.14308781146835181</v>
      </c>
      <c r="AP185" s="487">
        <f t="shared" si="63"/>
        <v>6.7962293810505559E-2</v>
      </c>
      <c r="AQ185" s="486">
        <f t="shared" si="64"/>
        <v>6.3464643844937774E-2</v>
      </c>
      <c r="AR185" s="486">
        <f t="shared" si="65"/>
        <v>8.657828673365886E-2</v>
      </c>
      <c r="AS185" s="472">
        <f t="shared" si="66"/>
        <v>8.3703386051869444E-2</v>
      </c>
      <c r="AT185" s="472">
        <f t="shared" si="67"/>
        <v>-4.9350863975501591E-2</v>
      </c>
      <c r="AU185" s="472">
        <f t="shared" si="68"/>
        <v>-0.71759425924592601</v>
      </c>
      <c r="AV185" s="472">
        <f t="shared" si="69"/>
        <v>-0.55460932510112837</v>
      </c>
      <c r="AW185" s="472">
        <f t="shared" si="70"/>
        <v>-6.8993102851830246E-2</v>
      </c>
      <c r="AX185" s="472">
        <f t="shared" si="71"/>
        <v>-4.2600406200434371E-2</v>
      </c>
      <c r="AY185" s="472">
        <f t="shared" si="72"/>
        <v>0.65689906213866633</v>
      </c>
      <c r="AZ185" s="472">
        <f t="shared" si="73"/>
        <v>5.8486879054604923E-2</v>
      </c>
      <c r="BA185" s="472">
        <f t="shared" si="74"/>
        <v>-5.5791805658119253E-2</v>
      </c>
      <c r="BB185" s="472">
        <f t="shared" si="75"/>
        <v>0.88559099042206091</v>
      </c>
      <c r="BC185" s="472">
        <f t="shared" si="76"/>
        <v>0.12759370130402692</v>
      </c>
      <c r="BD185" s="472">
        <f t="shared" si="79"/>
        <v>1</v>
      </c>
      <c r="BE185" s="472">
        <f t="shared" si="80"/>
        <v>1</v>
      </c>
    </row>
    <row r="186" spans="1:57" x14ac:dyDescent="0.35">
      <c r="A186" s="19">
        <v>45842</v>
      </c>
      <c r="B186" s="17">
        <v>42164351</v>
      </c>
      <c r="C186" s="17">
        <v>41201599</v>
      </c>
      <c r="D186" s="17">
        <v>2896851.1379310344</v>
      </c>
      <c r="E186" s="17">
        <v>3373671</v>
      </c>
      <c r="F186" s="484">
        <f t="shared" si="54"/>
        <v>2331170.1379310344</v>
      </c>
      <c r="G186" s="484">
        <f t="shared" si="55"/>
        <v>2852736</v>
      </c>
      <c r="H186" s="484">
        <f t="shared" si="56"/>
        <v>565681</v>
      </c>
      <c r="I186" s="484">
        <f t="shared" si="57"/>
        <v>520935</v>
      </c>
      <c r="J186" s="19">
        <v>46206</v>
      </c>
      <c r="K186" s="17">
        <v>4659102.1493776534</v>
      </c>
      <c r="L186" s="17">
        <v>3730074.2704468002</v>
      </c>
      <c r="M186" s="17">
        <v>929027.87893085298</v>
      </c>
      <c r="N186" s="17">
        <v>2179555</v>
      </c>
      <c r="O186" s="17">
        <v>2705057</v>
      </c>
      <c r="P186" s="17">
        <v>32924.1379310345</v>
      </c>
      <c r="Q186" s="17">
        <v>43805</v>
      </c>
      <c r="R186" s="17">
        <v>12896</v>
      </c>
      <c r="S186" s="17">
        <v>17931</v>
      </c>
      <c r="T186" s="17">
        <v>-1764</v>
      </c>
      <c r="U186" s="17">
        <v>1013</v>
      </c>
      <c r="V186" s="17">
        <v>107559</v>
      </c>
      <c r="W186" s="17">
        <v>84930</v>
      </c>
      <c r="X186" s="17">
        <v>416715</v>
      </c>
      <c r="Y186" s="17">
        <v>337385</v>
      </c>
      <c r="Z186" s="17">
        <v>115888</v>
      </c>
      <c r="AA186" s="17">
        <v>118065</v>
      </c>
      <c r="AB186" s="17">
        <v>27713</v>
      </c>
      <c r="AC186" s="17">
        <v>42831</v>
      </c>
      <c r="AD186" s="17">
        <v>5365</v>
      </c>
      <c r="AE186" s="17">
        <v>10140</v>
      </c>
      <c r="AF186" s="17">
        <v>0</v>
      </c>
      <c r="AG186" s="17">
        <v>10620</v>
      </c>
      <c r="AH186" s="17">
        <v>0</v>
      </c>
      <c r="AI186" s="17">
        <v>1894</v>
      </c>
      <c r="AJ186" s="54">
        <f t="shared" si="58"/>
        <v>532603</v>
      </c>
      <c r="AK186" s="54">
        <f t="shared" si="59"/>
        <v>455450</v>
      </c>
      <c r="AL186" s="54">
        <f t="shared" si="60"/>
        <v>33078</v>
      </c>
      <c r="AM186" s="54">
        <f t="shared" si="61"/>
        <v>52971</v>
      </c>
      <c r="AN186" s="19">
        <v>46206</v>
      </c>
      <c r="AO186" s="487">
        <f t="shared" si="62"/>
        <v>-2.2833317178295953E-2</v>
      </c>
      <c r="AP186" s="487">
        <f t="shared" si="63"/>
        <v>0.16459936647262996</v>
      </c>
      <c r="AQ186" s="486">
        <f t="shared" si="64"/>
        <v>0.22373564828342674</v>
      </c>
      <c r="AR186" s="486">
        <f t="shared" si="65"/>
        <v>-7.9101118828456274E-2</v>
      </c>
      <c r="AS186" s="472">
        <f t="shared" si="66"/>
        <v>0.24110517972705447</v>
      </c>
      <c r="AT186" s="472">
        <f t="shared" si="67"/>
        <v>0.3304828236279842</v>
      </c>
      <c r="AU186" s="472">
        <f t="shared" si="68"/>
        <v>0.39043114143920588</v>
      </c>
      <c r="AV186" s="472">
        <f t="shared" si="69"/>
        <v>-1.5742630385487528</v>
      </c>
      <c r="AW186" s="472">
        <f t="shared" si="70"/>
        <v>-0.21038685744568097</v>
      </c>
      <c r="AX186" s="472">
        <f t="shared" si="71"/>
        <v>-0.19036991708961759</v>
      </c>
      <c r="AY186" s="472">
        <f t="shared" si="72"/>
        <v>1.8785378986607704E-2</v>
      </c>
      <c r="AZ186" s="472">
        <f t="shared" si="73"/>
        <v>-0.14486024299525158</v>
      </c>
      <c r="BA186" s="472">
        <f t="shared" si="74"/>
        <v>0.54552015299678858</v>
      </c>
      <c r="BB186" s="472">
        <f t="shared" si="75"/>
        <v>0.89002795899347631</v>
      </c>
      <c r="BC186" s="472">
        <f t="shared" si="76"/>
        <v>0.60139669871213486</v>
      </c>
      <c r="BD186" s="472">
        <f t="shared" ref="BD186:BD217" si="81">IFERROR(AG186/AF186-1,1)</f>
        <v>1</v>
      </c>
      <c r="BE186" s="472">
        <f t="shared" ref="BE186:BE217" si="82">IFERROR(AI186/AH186-1,1)</f>
        <v>1</v>
      </c>
    </row>
    <row r="187" spans="1:57" x14ac:dyDescent="0.35">
      <c r="A187" s="16">
        <v>45843</v>
      </c>
      <c r="B187" s="17">
        <v>52117301</v>
      </c>
      <c r="C187" s="17">
        <v>51574094</v>
      </c>
      <c r="D187" s="17">
        <v>2366371.1379310344</v>
      </c>
      <c r="E187" s="17">
        <v>2984195</v>
      </c>
      <c r="F187" s="484">
        <f t="shared" si="54"/>
        <v>1832571.1379310344</v>
      </c>
      <c r="G187" s="484">
        <f t="shared" si="55"/>
        <v>2294789</v>
      </c>
      <c r="H187" s="484">
        <f t="shared" si="56"/>
        <v>533800</v>
      </c>
      <c r="I187" s="484">
        <f t="shared" si="57"/>
        <v>689406</v>
      </c>
      <c r="J187" s="19">
        <v>46207</v>
      </c>
      <c r="K187" s="17">
        <v>3778369.2535806466</v>
      </c>
      <c r="L187" s="17">
        <v>3022320.2831639699</v>
      </c>
      <c r="M187" s="17">
        <v>756048.97041667695</v>
      </c>
      <c r="N187" s="17">
        <v>1713969</v>
      </c>
      <c r="O187" s="17">
        <v>2175054</v>
      </c>
      <c r="P187" s="17">
        <v>35299.1379310345</v>
      </c>
      <c r="Q187" s="17">
        <v>41461</v>
      </c>
      <c r="R187" s="17">
        <v>11072</v>
      </c>
      <c r="S187" s="17">
        <v>4234</v>
      </c>
      <c r="T187" s="17">
        <v>8150</v>
      </c>
      <c r="U187" s="17">
        <v>345</v>
      </c>
      <c r="V187" s="17">
        <v>64081</v>
      </c>
      <c r="W187" s="17">
        <v>73695</v>
      </c>
      <c r="X187" s="17">
        <v>404189</v>
      </c>
      <c r="Y187" s="17">
        <v>476598</v>
      </c>
      <c r="Z187" s="17">
        <v>108332</v>
      </c>
      <c r="AA187" s="17">
        <v>108307</v>
      </c>
      <c r="AB187" s="17">
        <v>16902</v>
      </c>
      <c r="AC187" s="17">
        <v>37222</v>
      </c>
      <c r="AD187" s="17">
        <v>4377</v>
      </c>
      <c r="AE187" s="17">
        <v>7925</v>
      </c>
      <c r="AF187" s="17">
        <v>0</v>
      </c>
      <c r="AG187" s="17">
        <v>56771</v>
      </c>
      <c r="AH187" s="17">
        <v>0</v>
      </c>
      <c r="AI187" s="17">
        <v>2583</v>
      </c>
      <c r="AJ187" s="54">
        <f t="shared" si="58"/>
        <v>512521</v>
      </c>
      <c r="AK187" s="54">
        <f t="shared" si="59"/>
        <v>584905</v>
      </c>
      <c r="AL187" s="54">
        <f t="shared" si="60"/>
        <v>21279</v>
      </c>
      <c r="AM187" s="54">
        <f t="shared" si="61"/>
        <v>45147</v>
      </c>
      <c r="AN187" s="19">
        <v>46207</v>
      </c>
      <c r="AO187" s="487">
        <f t="shared" si="62"/>
        <v>-1.042277688171156E-2</v>
      </c>
      <c r="AP187" s="487">
        <f t="shared" si="63"/>
        <v>0.26108493810025979</v>
      </c>
      <c r="AQ187" s="486">
        <f t="shared" si="64"/>
        <v>0.25222369407760503</v>
      </c>
      <c r="AR187" s="486">
        <f t="shared" si="65"/>
        <v>0.29150618209067058</v>
      </c>
      <c r="AS187" s="472">
        <f t="shared" si="66"/>
        <v>0.26901595069689122</v>
      </c>
      <c r="AT187" s="472">
        <f t="shared" si="67"/>
        <v>0.17456126211932443</v>
      </c>
      <c r="AU187" s="472">
        <f t="shared" si="68"/>
        <v>-0.61759393063583823</v>
      </c>
      <c r="AV187" s="472">
        <f t="shared" si="69"/>
        <v>-0.95766871165644174</v>
      </c>
      <c r="AW187" s="472">
        <f t="shared" si="70"/>
        <v>0.1500288697117711</v>
      </c>
      <c r="AX187" s="472">
        <f t="shared" si="71"/>
        <v>0.17914638943662498</v>
      </c>
      <c r="AY187" s="472">
        <f t="shared" si="72"/>
        <v>-2.3077207104083008E-4</v>
      </c>
      <c r="AZ187" s="472">
        <f t="shared" si="73"/>
        <v>0.14123128613266589</v>
      </c>
      <c r="BA187" s="472">
        <f t="shared" si="74"/>
        <v>1.2022245888060583</v>
      </c>
      <c r="BB187" s="472">
        <f t="shared" si="75"/>
        <v>0.81060086817454868</v>
      </c>
      <c r="BC187" s="472">
        <f t="shared" si="76"/>
        <v>1.1216692513745947</v>
      </c>
      <c r="BD187" s="472">
        <f t="shared" si="81"/>
        <v>1</v>
      </c>
      <c r="BE187" s="472">
        <f t="shared" si="82"/>
        <v>1</v>
      </c>
    </row>
    <row r="188" spans="1:57" x14ac:dyDescent="0.35">
      <c r="A188" s="19">
        <v>45844</v>
      </c>
      <c r="B188" s="17">
        <v>52957760</v>
      </c>
      <c r="C188" s="17">
        <v>39756355</v>
      </c>
      <c r="D188" s="17">
        <v>2778413.5172413792</v>
      </c>
      <c r="E188" s="17">
        <v>2864297</v>
      </c>
      <c r="F188" s="484">
        <f t="shared" si="54"/>
        <v>2404805.5172413792</v>
      </c>
      <c r="G188" s="484">
        <f t="shared" si="55"/>
        <v>2292242</v>
      </c>
      <c r="H188" s="484">
        <f t="shared" si="56"/>
        <v>373608</v>
      </c>
      <c r="I188" s="484">
        <f t="shared" si="57"/>
        <v>572055</v>
      </c>
      <c r="J188" s="19">
        <v>46208</v>
      </c>
      <c r="K188" s="17">
        <v>3089334.7146261511</v>
      </c>
      <c r="L188" s="17">
        <v>2375895.6201392901</v>
      </c>
      <c r="M188" s="17">
        <v>713439.09448686102</v>
      </c>
      <c r="N188" s="17">
        <v>2262588</v>
      </c>
      <c r="O188" s="17">
        <v>2221020</v>
      </c>
      <c r="P188" s="17">
        <v>39215.517241379297</v>
      </c>
      <c r="Q188" s="17">
        <v>34456</v>
      </c>
      <c r="R188" s="17">
        <v>24461</v>
      </c>
      <c r="S188" s="17">
        <v>-5691</v>
      </c>
      <c r="T188" s="17">
        <v>3632</v>
      </c>
      <c r="U188" s="17">
        <v>2342</v>
      </c>
      <c r="V188" s="17">
        <v>74909</v>
      </c>
      <c r="W188" s="17">
        <v>40115</v>
      </c>
      <c r="X188" s="17">
        <v>230319</v>
      </c>
      <c r="Y188" s="17">
        <v>421919</v>
      </c>
      <c r="Z188" s="17">
        <v>105857</v>
      </c>
      <c r="AA188" s="17">
        <v>88467</v>
      </c>
      <c r="AB188" s="17">
        <v>29115</v>
      </c>
      <c r="AC188" s="17">
        <v>39269</v>
      </c>
      <c r="AD188" s="17">
        <v>8317</v>
      </c>
      <c r="AE188" s="17">
        <v>5114</v>
      </c>
      <c r="AF188" s="17">
        <v>0</v>
      </c>
      <c r="AG188" s="17">
        <v>13798</v>
      </c>
      <c r="AH188" s="17">
        <v>0</v>
      </c>
      <c r="AI188" s="17">
        <v>3488</v>
      </c>
      <c r="AJ188" s="54">
        <f t="shared" si="58"/>
        <v>336176</v>
      </c>
      <c r="AK188" s="54">
        <f t="shared" si="59"/>
        <v>510386</v>
      </c>
      <c r="AL188" s="54">
        <f t="shared" si="60"/>
        <v>37432</v>
      </c>
      <c r="AM188" s="54">
        <f t="shared" si="61"/>
        <v>44383</v>
      </c>
      <c r="AN188" s="19">
        <v>46208</v>
      </c>
      <c r="AO188" s="487">
        <f t="shared" si="62"/>
        <v>-0.24928178608762908</v>
      </c>
      <c r="AP188" s="487">
        <f t="shared" si="63"/>
        <v>3.0910979314516362E-2</v>
      </c>
      <c r="AQ188" s="486">
        <f t="shared" si="64"/>
        <v>-4.680774242837904E-2</v>
      </c>
      <c r="AR188" s="486">
        <f t="shared" si="65"/>
        <v>0.53116367957859567</v>
      </c>
      <c r="AS188" s="472">
        <f t="shared" si="66"/>
        <v>-1.8371882110220672E-2</v>
      </c>
      <c r="AT188" s="472">
        <f t="shared" si="67"/>
        <v>-0.12136821279402032</v>
      </c>
      <c r="AU188" s="472">
        <f t="shared" si="68"/>
        <v>-1.2326560647561424</v>
      </c>
      <c r="AV188" s="472">
        <f t="shared" si="69"/>
        <v>-0.35517621145374445</v>
      </c>
      <c r="AW188" s="472">
        <f t="shared" si="70"/>
        <v>-0.46448357340239488</v>
      </c>
      <c r="AX188" s="472">
        <f t="shared" si="71"/>
        <v>0.83188968343905634</v>
      </c>
      <c r="AY188" s="472">
        <f t="shared" si="72"/>
        <v>-0.16427822439706397</v>
      </c>
      <c r="AZ188" s="472">
        <f t="shared" si="73"/>
        <v>0.51821069915758411</v>
      </c>
      <c r="BA188" s="472">
        <f t="shared" si="74"/>
        <v>0.34875493731753382</v>
      </c>
      <c r="BB188" s="472">
        <f t="shared" si="75"/>
        <v>-0.38511482505711192</v>
      </c>
      <c r="BC188" s="472">
        <f t="shared" si="76"/>
        <v>0.18569673007052789</v>
      </c>
      <c r="BD188" s="472">
        <f t="shared" si="81"/>
        <v>1</v>
      </c>
      <c r="BE188" s="472">
        <f t="shared" si="82"/>
        <v>1</v>
      </c>
    </row>
    <row r="189" spans="1:57" x14ac:dyDescent="0.35">
      <c r="A189" s="16">
        <v>45845</v>
      </c>
      <c r="B189" s="17">
        <v>31819363</v>
      </c>
      <c r="C189" s="17">
        <v>28541400</v>
      </c>
      <c r="D189" s="17">
        <v>4749834.4482758623</v>
      </c>
      <c r="E189" s="17">
        <v>4375081</v>
      </c>
      <c r="F189" s="484">
        <f t="shared" si="54"/>
        <v>3669757.4482758623</v>
      </c>
      <c r="G189" s="484">
        <f t="shared" si="55"/>
        <v>3689430</v>
      </c>
      <c r="H189" s="484">
        <f t="shared" si="56"/>
        <v>1080077</v>
      </c>
      <c r="I189" s="484">
        <f t="shared" si="57"/>
        <v>685651</v>
      </c>
      <c r="J189" s="19">
        <v>46209</v>
      </c>
      <c r="K189" s="17">
        <v>3617125.0987107223</v>
      </c>
      <c r="L189" s="17">
        <v>3117787.2320695701</v>
      </c>
      <c r="M189" s="17">
        <v>499337.86664115201</v>
      </c>
      <c r="N189" s="17">
        <v>3483892</v>
      </c>
      <c r="O189" s="17">
        <v>3592240</v>
      </c>
      <c r="P189" s="17">
        <v>35553.448275862102</v>
      </c>
      <c r="Q189" s="17">
        <v>37084</v>
      </c>
      <c r="R189" s="17">
        <v>63151</v>
      </c>
      <c r="S189" s="17">
        <v>13165</v>
      </c>
      <c r="T189" s="17">
        <v>5117</v>
      </c>
      <c r="U189" s="17">
        <v>3678</v>
      </c>
      <c r="V189" s="17">
        <v>82044</v>
      </c>
      <c r="W189" s="17">
        <v>43263</v>
      </c>
      <c r="X189" s="17">
        <v>867493</v>
      </c>
      <c r="Y189" s="17">
        <v>516899</v>
      </c>
      <c r="Z189" s="17">
        <v>163273</v>
      </c>
      <c r="AA189" s="17">
        <v>122255</v>
      </c>
      <c r="AB189" s="17">
        <v>43008</v>
      </c>
      <c r="AC189" s="17">
        <v>22297</v>
      </c>
      <c r="AD189" s="17">
        <v>6303</v>
      </c>
      <c r="AE189" s="17">
        <v>3480</v>
      </c>
      <c r="AF189" s="17">
        <v>0</v>
      </c>
      <c r="AG189" s="17">
        <v>17060</v>
      </c>
      <c r="AH189" s="17">
        <v>0</v>
      </c>
      <c r="AI189" s="17">
        <v>3660</v>
      </c>
      <c r="AJ189" s="54">
        <f t="shared" si="58"/>
        <v>1030766</v>
      </c>
      <c r="AK189" s="54">
        <f t="shared" si="59"/>
        <v>639154</v>
      </c>
      <c r="AL189" s="54">
        <f t="shared" si="60"/>
        <v>49311</v>
      </c>
      <c r="AM189" s="54">
        <f t="shared" si="61"/>
        <v>25777</v>
      </c>
      <c r="AN189" s="19">
        <v>46209</v>
      </c>
      <c r="AO189" s="487">
        <f t="shared" si="62"/>
        <v>-0.1030178699680443</v>
      </c>
      <c r="AP189" s="487">
        <f t="shared" si="63"/>
        <v>-7.8898212633893738E-2</v>
      </c>
      <c r="AQ189" s="486">
        <f t="shared" si="64"/>
        <v>5.3607226094412042E-3</v>
      </c>
      <c r="AR189" s="486">
        <f t="shared" si="65"/>
        <v>-0.36518322304798634</v>
      </c>
      <c r="AS189" s="472">
        <f t="shared" si="66"/>
        <v>3.1099701138841196E-2</v>
      </c>
      <c r="AT189" s="472">
        <f t="shared" si="67"/>
        <v>4.3049318655738356E-2</v>
      </c>
      <c r="AU189" s="472">
        <f t="shared" si="68"/>
        <v>-0.79153140884546569</v>
      </c>
      <c r="AV189" s="472">
        <f t="shared" si="69"/>
        <v>-0.28121946452999802</v>
      </c>
      <c r="AW189" s="472">
        <f t="shared" si="70"/>
        <v>-0.47268538832821416</v>
      </c>
      <c r="AX189" s="472">
        <f t="shared" si="71"/>
        <v>-0.40414620060334783</v>
      </c>
      <c r="AY189" s="472">
        <f t="shared" si="72"/>
        <v>-0.25122341109675206</v>
      </c>
      <c r="AZ189" s="472">
        <f t="shared" si="73"/>
        <v>-0.37992328035655032</v>
      </c>
      <c r="BA189" s="472">
        <f t="shared" si="74"/>
        <v>-0.48156156994047616</v>
      </c>
      <c r="BB189" s="472">
        <f t="shared" si="75"/>
        <v>-0.44788196097096622</v>
      </c>
      <c r="BC189" s="472">
        <f t="shared" si="76"/>
        <v>-0.47725659589138325</v>
      </c>
      <c r="BD189" s="472">
        <f t="shared" si="81"/>
        <v>1</v>
      </c>
      <c r="BE189" s="472">
        <f t="shared" si="82"/>
        <v>1</v>
      </c>
    </row>
    <row r="190" spans="1:57" x14ac:dyDescent="0.35">
      <c r="A190" s="19">
        <v>45846</v>
      </c>
      <c r="B190" s="17">
        <v>36389509</v>
      </c>
      <c r="C190" s="17">
        <v>33738698</v>
      </c>
      <c r="D190" s="17">
        <v>4566477.7931034481</v>
      </c>
      <c r="E190" s="17">
        <v>4891577</v>
      </c>
      <c r="F190" s="484">
        <f t="shared" si="54"/>
        <v>3723513.7931034481</v>
      </c>
      <c r="G190" s="484">
        <f t="shared" si="55"/>
        <v>4015193</v>
      </c>
      <c r="H190" s="484">
        <f t="shared" si="56"/>
        <v>842964</v>
      </c>
      <c r="I190" s="484">
        <f t="shared" si="57"/>
        <v>876384</v>
      </c>
      <c r="J190" s="19">
        <v>46210</v>
      </c>
      <c r="K190" s="17">
        <v>6201328.78786078</v>
      </c>
      <c r="L190" s="17">
        <v>4757774.7285575103</v>
      </c>
      <c r="M190" s="17">
        <v>1443554.05930327</v>
      </c>
      <c r="N190" s="17">
        <v>3544388</v>
      </c>
      <c r="O190" s="17">
        <v>3881350</v>
      </c>
      <c r="P190" s="17">
        <v>38138.793103448297</v>
      </c>
      <c r="Q190" s="17">
        <v>42546</v>
      </c>
      <c r="R190" s="17">
        <v>75946</v>
      </c>
      <c r="S190" s="17">
        <v>27712</v>
      </c>
      <c r="T190" s="17">
        <v>5502</v>
      </c>
      <c r="U190" s="17">
        <v>2534</v>
      </c>
      <c r="V190" s="17">
        <v>59539</v>
      </c>
      <c r="W190" s="17">
        <v>61051</v>
      </c>
      <c r="X190" s="17">
        <v>634734</v>
      </c>
      <c r="Y190" s="17">
        <v>691715</v>
      </c>
      <c r="Z190" s="17">
        <v>168311</v>
      </c>
      <c r="AA190" s="17">
        <v>150430</v>
      </c>
      <c r="AB190" s="17">
        <v>34428</v>
      </c>
      <c r="AC190" s="17">
        <v>17456</v>
      </c>
      <c r="AD190" s="17">
        <v>5491</v>
      </c>
      <c r="AE190" s="17">
        <v>2549</v>
      </c>
      <c r="AF190" s="17">
        <v>0</v>
      </c>
      <c r="AG190" s="17">
        <v>8033</v>
      </c>
      <c r="AH190" s="17">
        <v>0</v>
      </c>
      <c r="AI190" s="17">
        <v>6201</v>
      </c>
      <c r="AJ190" s="54">
        <f t="shared" si="58"/>
        <v>803045</v>
      </c>
      <c r="AK190" s="54">
        <f t="shared" si="59"/>
        <v>842145</v>
      </c>
      <c r="AL190" s="54">
        <f t="shared" si="60"/>
        <v>39919</v>
      </c>
      <c r="AM190" s="54">
        <f t="shared" si="61"/>
        <v>20005</v>
      </c>
      <c r="AN190" s="19">
        <v>46210</v>
      </c>
      <c r="AO190" s="487">
        <f t="shared" si="62"/>
        <v>-7.2845473127983174E-2</v>
      </c>
      <c r="AP190" s="487">
        <f t="shared" si="63"/>
        <v>7.1192551814778238E-2</v>
      </c>
      <c r="AQ190" s="486">
        <f t="shared" si="64"/>
        <v>7.8334396783164673E-2</v>
      </c>
      <c r="AR190" s="486">
        <f t="shared" si="65"/>
        <v>3.9645821173857954E-2</v>
      </c>
      <c r="AS190" s="472">
        <f t="shared" si="66"/>
        <v>9.5069162856888045E-2</v>
      </c>
      <c r="AT190" s="472">
        <f t="shared" si="67"/>
        <v>0.11555706245337971</v>
      </c>
      <c r="AU190" s="472">
        <f t="shared" si="68"/>
        <v>-0.63510915650593835</v>
      </c>
      <c r="AV190" s="472">
        <f t="shared" si="69"/>
        <v>-0.5394402035623409</v>
      </c>
      <c r="AW190" s="472">
        <f t="shared" si="70"/>
        <v>2.5395119165589009E-2</v>
      </c>
      <c r="AX190" s="472">
        <f t="shared" si="71"/>
        <v>8.9771463321643319E-2</v>
      </c>
      <c r="AY190" s="472">
        <f t="shared" si="72"/>
        <v>-0.10623785729987933</v>
      </c>
      <c r="AZ190" s="472">
        <f t="shared" si="73"/>
        <v>4.868967492481735E-2</v>
      </c>
      <c r="BA190" s="472">
        <f t="shared" si="74"/>
        <v>-0.49297083769025207</v>
      </c>
      <c r="BB190" s="472">
        <f t="shared" si="75"/>
        <v>-0.53578583136040792</v>
      </c>
      <c r="BC190" s="472">
        <f t="shared" si="76"/>
        <v>-0.49886019188857433</v>
      </c>
      <c r="BD190" s="472">
        <f t="shared" si="81"/>
        <v>1</v>
      </c>
      <c r="BE190" s="472">
        <f t="shared" si="82"/>
        <v>1</v>
      </c>
    </row>
    <row r="191" spans="1:57" x14ac:dyDescent="0.35">
      <c r="A191" s="16">
        <v>45847</v>
      </c>
      <c r="B191" s="17">
        <v>38311714</v>
      </c>
      <c r="C191" s="17">
        <v>35555231</v>
      </c>
      <c r="D191" s="17">
        <v>4237273.6896551717</v>
      </c>
      <c r="E191" s="17">
        <v>4401582</v>
      </c>
      <c r="F191" s="484">
        <f t="shared" si="54"/>
        <v>3483690.6896551722</v>
      </c>
      <c r="G191" s="484">
        <f t="shared" si="55"/>
        <v>3584177</v>
      </c>
      <c r="H191" s="484">
        <f t="shared" si="56"/>
        <v>753583</v>
      </c>
      <c r="I191" s="484">
        <f t="shared" si="57"/>
        <v>817405</v>
      </c>
      <c r="J191" s="19">
        <v>46211</v>
      </c>
      <c r="K191" s="17">
        <v>5954114.5623109192</v>
      </c>
      <c r="L191" s="17">
        <v>4827468.8657110296</v>
      </c>
      <c r="M191" s="17">
        <v>1126645.69659989</v>
      </c>
      <c r="N191" s="17">
        <v>3310758</v>
      </c>
      <c r="O191" s="17">
        <v>3404528</v>
      </c>
      <c r="P191" s="17">
        <v>33820.689655172398</v>
      </c>
      <c r="Q191" s="17">
        <v>36707</v>
      </c>
      <c r="R191" s="17">
        <v>39814</v>
      </c>
      <c r="S191" s="17">
        <v>48817</v>
      </c>
      <c r="T191" s="17">
        <v>5684</v>
      </c>
      <c r="U191" s="17">
        <v>4184</v>
      </c>
      <c r="V191" s="17">
        <v>93614</v>
      </c>
      <c r="W191" s="17">
        <v>89941</v>
      </c>
      <c r="X191" s="17">
        <v>580420</v>
      </c>
      <c r="Y191" s="17">
        <v>628785</v>
      </c>
      <c r="Z191" s="17">
        <v>132668</v>
      </c>
      <c r="AA191" s="17">
        <v>147851</v>
      </c>
      <c r="AB191" s="17">
        <v>37975</v>
      </c>
      <c r="AC191" s="17">
        <v>25750</v>
      </c>
      <c r="AD191" s="17">
        <v>2520</v>
      </c>
      <c r="AE191" s="17">
        <v>5197</v>
      </c>
      <c r="AF191" s="17">
        <v>0</v>
      </c>
      <c r="AG191" s="17">
        <v>8617</v>
      </c>
      <c r="AH191" s="17">
        <v>0</v>
      </c>
      <c r="AI191" s="17">
        <v>1205</v>
      </c>
      <c r="AJ191" s="54">
        <f t="shared" si="58"/>
        <v>713088</v>
      </c>
      <c r="AK191" s="54">
        <f t="shared" si="59"/>
        <v>776636</v>
      </c>
      <c r="AL191" s="54">
        <f t="shared" si="60"/>
        <v>40495</v>
      </c>
      <c r="AM191" s="54">
        <f t="shared" si="61"/>
        <v>30947</v>
      </c>
      <c r="AN191" s="19">
        <v>46211</v>
      </c>
      <c r="AO191" s="487">
        <f t="shared" si="62"/>
        <v>-7.1948830062784408E-2</v>
      </c>
      <c r="AP191" s="487">
        <f t="shared" si="63"/>
        <v>3.8776893441169191E-2</v>
      </c>
      <c r="AQ191" s="486">
        <f t="shared" si="64"/>
        <v>2.8844785400501394E-2</v>
      </c>
      <c r="AR191" s="486">
        <f t="shared" si="65"/>
        <v>8.4691400947208173E-2</v>
      </c>
      <c r="AS191" s="472">
        <f t="shared" si="66"/>
        <v>2.832281912480461E-2</v>
      </c>
      <c r="AT191" s="472">
        <f t="shared" si="67"/>
        <v>8.5341557911909227E-2</v>
      </c>
      <c r="AU191" s="472">
        <f t="shared" si="68"/>
        <v>0.22612648816999048</v>
      </c>
      <c r="AV191" s="472">
        <f t="shared" si="69"/>
        <v>-0.26389866291344122</v>
      </c>
      <c r="AW191" s="472">
        <f t="shared" si="70"/>
        <v>-3.9235584421133618E-2</v>
      </c>
      <c r="AX191" s="472">
        <f t="shared" si="71"/>
        <v>8.3327590365597226E-2</v>
      </c>
      <c r="AY191" s="472">
        <f t="shared" si="72"/>
        <v>0.11444357343142286</v>
      </c>
      <c r="AZ191" s="472">
        <f t="shared" si="73"/>
        <v>8.9116630766469251E-2</v>
      </c>
      <c r="BA191" s="472">
        <f t="shared" si="74"/>
        <v>-0.32192231731402243</v>
      </c>
      <c r="BB191" s="472">
        <f t="shared" si="75"/>
        <v>1.0623015873015871</v>
      </c>
      <c r="BC191" s="472">
        <f t="shared" si="76"/>
        <v>-0.23578219533275713</v>
      </c>
      <c r="BD191" s="472">
        <f t="shared" si="81"/>
        <v>1</v>
      </c>
      <c r="BE191" s="472">
        <f t="shared" si="82"/>
        <v>1</v>
      </c>
    </row>
    <row r="192" spans="1:57" x14ac:dyDescent="0.35">
      <c r="A192" s="19">
        <v>45848</v>
      </c>
      <c r="B192" s="17">
        <v>39604287</v>
      </c>
      <c r="C192" s="17">
        <v>39454207</v>
      </c>
      <c r="D192" s="17">
        <v>3522206.5862068967</v>
      </c>
      <c r="E192" s="17">
        <v>3699247</v>
      </c>
      <c r="F192" s="484">
        <f t="shared" si="54"/>
        <v>2780629.5862068967</v>
      </c>
      <c r="G192" s="484">
        <f t="shared" si="55"/>
        <v>3265081</v>
      </c>
      <c r="H192" s="484">
        <f t="shared" si="56"/>
        <v>741577</v>
      </c>
      <c r="I192" s="484">
        <f t="shared" si="57"/>
        <v>434166</v>
      </c>
      <c r="J192" s="19">
        <v>46212</v>
      </c>
      <c r="K192" s="17">
        <v>5523727.9248078503</v>
      </c>
      <c r="L192" s="17">
        <v>4516542.5124049</v>
      </c>
      <c r="M192" s="17">
        <v>1007185.41240295</v>
      </c>
      <c r="N192" s="17">
        <v>2584721</v>
      </c>
      <c r="O192" s="17">
        <v>3166533</v>
      </c>
      <c r="P192" s="17">
        <v>34077.5862068965</v>
      </c>
      <c r="Q192" s="17">
        <v>41275</v>
      </c>
      <c r="R192" s="17">
        <v>28434</v>
      </c>
      <c r="S192" s="17">
        <v>14603</v>
      </c>
      <c r="T192" s="17">
        <v>4376</v>
      </c>
      <c r="U192" s="17">
        <v>4141</v>
      </c>
      <c r="V192" s="17">
        <v>129021</v>
      </c>
      <c r="W192" s="17">
        <v>38529</v>
      </c>
      <c r="X192" s="17">
        <v>532963</v>
      </c>
      <c r="Y192" s="17">
        <v>318377</v>
      </c>
      <c r="Z192" s="17">
        <v>167845</v>
      </c>
      <c r="AA192" s="17">
        <v>87484</v>
      </c>
      <c r="AB192" s="17">
        <v>35189</v>
      </c>
      <c r="AC192" s="17">
        <v>14199</v>
      </c>
      <c r="AD192" s="17">
        <v>5580</v>
      </c>
      <c r="AE192" s="17">
        <v>6363</v>
      </c>
      <c r="AF192" s="17">
        <v>0</v>
      </c>
      <c r="AG192" s="17">
        <v>6495</v>
      </c>
      <c r="AH192" s="17">
        <v>0</v>
      </c>
      <c r="AI192" s="17">
        <v>1248</v>
      </c>
      <c r="AJ192" s="54">
        <f t="shared" si="58"/>
        <v>700808</v>
      </c>
      <c r="AK192" s="54">
        <f t="shared" si="59"/>
        <v>405861</v>
      </c>
      <c r="AL192" s="54">
        <f t="shared" si="60"/>
        <v>40769</v>
      </c>
      <c r="AM192" s="54">
        <f t="shared" si="61"/>
        <v>20562</v>
      </c>
      <c r="AN192" s="19">
        <v>46212</v>
      </c>
      <c r="AO192" s="487">
        <f t="shared" si="62"/>
        <v>-3.7894887490336204E-3</v>
      </c>
      <c r="AP192" s="487">
        <f t="shared" si="63"/>
        <v>5.0264063012771754E-2</v>
      </c>
      <c r="AQ192" s="486">
        <f t="shared" si="64"/>
        <v>0.17422364208314112</v>
      </c>
      <c r="AR192" s="486">
        <f t="shared" si="65"/>
        <v>-0.41453685861346834</v>
      </c>
      <c r="AS192" s="472">
        <f t="shared" si="66"/>
        <v>0.22509663518809186</v>
      </c>
      <c r="AT192" s="472">
        <f t="shared" si="67"/>
        <v>0.21120667847204833</v>
      </c>
      <c r="AU192" s="472">
        <f t="shared" si="68"/>
        <v>-0.48642470282056693</v>
      </c>
      <c r="AV192" s="472">
        <f t="shared" si="69"/>
        <v>-5.3702010968921354E-2</v>
      </c>
      <c r="AW192" s="472">
        <f t="shared" si="70"/>
        <v>-0.70137419489850483</v>
      </c>
      <c r="AX192" s="472">
        <f t="shared" si="71"/>
        <v>-0.4026283250432019</v>
      </c>
      <c r="AY192" s="472">
        <f t="shared" si="72"/>
        <v>-0.47878101820131669</v>
      </c>
      <c r="AZ192" s="472">
        <f t="shared" si="73"/>
        <v>-0.42086705631214261</v>
      </c>
      <c r="BA192" s="472">
        <f t="shared" si="74"/>
        <v>-0.59649322231379132</v>
      </c>
      <c r="BB192" s="472">
        <f t="shared" si="75"/>
        <v>0.14032258064516134</v>
      </c>
      <c r="BC192" s="472">
        <f t="shared" si="76"/>
        <v>-0.49564620177095342</v>
      </c>
      <c r="BD192" s="472">
        <f t="shared" si="81"/>
        <v>1</v>
      </c>
      <c r="BE192" s="472">
        <f t="shared" si="82"/>
        <v>1</v>
      </c>
    </row>
    <row r="193" spans="1:57" x14ac:dyDescent="0.35">
      <c r="A193" s="16">
        <v>45849</v>
      </c>
      <c r="B193" s="17">
        <v>39558146</v>
      </c>
      <c r="C193" s="17">
        <v>35709440</v>
      </c>
      <c r="D193" s="17">
        <v>2798016.4482758623</v>
      </c>
      <c r="E193" s="17">
        <v>3322004</v>
      </c>
      <c r="F193" s="484">
        <f t="shared" si="54"/>
        <v>2091674.448275862</v>
      </c>
      <c r="G193" s="484">
        <f t="shared" si="55"/>
        <v>2835094</v>
      </c>
      <c r="H193" s="484">
        <f t="shared" si="56"/>
        <v>706342</v>
      </c>
      <c r="I193" s="484">
        <f t="shared" si="57"/>
        <v>486910</v>
      </c>
      <c r="J193" s="19">
        <v>46213</v>
      </c>
      <c r="K193" s="17">
        <v>4596175.445665908</v>
      </c>
      <c r="L193" s="17">
        <v>3605036.3985091401</v>
      </c>
      <c r="M193" s="17">
        <v>991139.04715676804</v>
      </c>
      <c r="N193" s="17">
        <v>1939583</v>
      </c>
      <c r="O193" s="17">
        <v>2597860</v>
      </c>
      <c r="P193" s="17">
        <v>35028.448275862102</v>
      </c>
      <c r="Q193" s="17">
        <v>41411</v>
      </c>
      <c r="R193" s="17">
        <v>26271</v>
      </c>
      <c r="S193" s="17">
        <v>28875</v>
      </c>
      <c r="T193" s="17">
        <v>5444</v>
      </c>
      <c r="U193" s="17">
        <v>5451</v>
      </c>
      <c r="V193" s="17">
        <v>85348</v>
      </c>
      <c r="W193" s="17">
        <v>161497</v>
      </c>
      <c r="X193" s="17">
        <v>527863</v>
      </c>
      <c r="Y193" s="17">
        <v>363067</v>
      </c>
      <c r="Z193" s="17">
        <v>153400</v>
      </c>
      <c r="AA193" s="17">
        <v>95870</v>
      </c>
      <c r="AB193" s="17">
        <v>20782</v>
      </c>
      <c r="AC193" s="17">
        <v>14517</v>
      </c>
      <c r="AD193" s="17">
        <v>4297</v>
      </c>
      <c r="AE193" s="17">
        <v>6109</v>
      </c>
      <c r="AF193" s="17">
        <v>0</v>
      </c>
      <c r="AG193" s="17">
        <v>5021</v>
      </c>
      <c r="AH193" s="17">
        <v>0</v>
      </c>
      <c r="AI193" s="17">
        <v>2326</v>
      </c>
      <c r="AJ193" s="54">
        <f t="shared" si="58"/>
        <v>681263</v>
      </c>
      <c r="AK193" s="54">
        <f t="shared" si="59"/>
        <v>458937</v>
      </c>
      <c r="AL193" s="54">
        <f t="shared" si="60"/>
        <v>25079</v>
      </c>
      <c r="AM193" s="54">
        <f t="shared" si="61"/>
        <v>20626</v>
      </c>
      <c r="AN193" s="19">
        <v>46213</v>
      </c>
      <c r="AO193" s="487">
        <f t="shared" si="62"/>
        <v>-9.7292375633579953E-2</v>
      </c>
      <c r="AP193" s="487">
        <f t="shared" si="63"/>
        <v>0.18727107628227802</v>
      </c>
      <c r="AQ193" s="486">
        <f t="shared" si="64"/>
        <v>0.3554183837436693</v>
      </c>
      <c r="AR193" s="486">
        <f t="shared" si="65"/>
        <v>-0.31065970875298365</v>
      </c>
      <c r="AS193" s="472">
        <f t="shared" si="66"/>
        <v>0.33939099280618557</v>
      </c>
      <c r="AT193" s="472">
        <f t="shared" si="67"/>
        <v>0.18221051854403947</v>
      </c>
      <c r="AU193" s="472">
        <f t="shared" si="68"/>
        <v>9.9120703437250102E-2</v>
      </c>
      <c r="AV193" s="472">
        <f t="shared" si="69"/>
        <v>1.2858192505511568E-3</v>
      </c>
      <c r="AW193" s="472">
        <f t="shared" si="70"/>
        <v>0.89221774382528007</v>
      </c>
      <c r="AX193" s="472">
        <f t="shared" si="71"/>
        <v>-0.31219464141263931</v>
      </c>
      <c r="AY193" s="472">
        <f t="shared" si="72"/>
        <v>-0.37503259452411997</v>
      </c>
      <c r="AZ193" s="472">
        <f t="shared" si="73"/>
        <v>-0.32634386426387463</v>
      </c>
      <c r="BA193" s="472">
        <f t="shared" si="74"/>
        <v>-0.30146280434991823</v>
      </c>
      <c r="BB193" s="472">
        <f t="shared" si="75"/>
        <v>0.42168955084942983</v>
      </c>
      <c r="BC193" s="472">
        <f t="shared" si="76"/>
        <v>-0.17755891383228994</v>
      </c>
      <c r="BD193" s="472">
        <f t="shared" si="81"/>
        <v>1</v>
      </c>
      <c r="BE193" s="472">
        <f t="shared" si="82"/>
        <v>1</v>
      </c>
    </row>
    <row r="194" spans="1:57" x14ac:dyDescent="0.35">
      <c r="A194" s="19">
        <v>45850</v>
      </c>
      <c r="B194" s="17">
        <v>50882667</v>
      </c>
      <c r="C194" s="17">
        <v>47590736</v>
      </c>
      <c r="D194" s="17">
        <v>2609361.5862068962</v>
      </c>
      <c r="E194" s="17">
        <v>2451470</v>
      </c>
      <c r="F194" s="484">
        <f t="shared" si="54"/>
        <v>1965471.5862068965</v>
      </c>
      <c r="G194" s="484">
        <f t="shared" si="55"/>
        <v>2110452</v>
      </c>
      <c r="H194" s="484">
        <f t="shared" si="56"/>
        <v>643890</v>
      </c>
      <c r="I194" s="484">
        <f t="shared" si="57"/>
        <v>341018</v>
      </c>
      <c r="J194" s="19">
        <v>46214</v>
      </c>
      <c r="K194" s="17">
        <v>3655864.8694691798</v>
      </c>
      <c r="L194" s="17">
        <v>2711818.4159696698</v>
      </c>
      <c r="M194" s="17">
        <v>944046.45349950995</v>
      </c>
      <c r="N194" s="17">
        <v>1839299</v>
      </c>
      <c r="O194" s="17">
        <v>1964012</v>
      </c>
      <c r="P194" s="17">
        <v>37977.5862068965</v>
      </c>
      <c r="Q194" s="17">
        <v>40374</v>
      </c>
      <c r="R194" s="17">
        <v>10430</v>
      </c>
      <c r="S194" s="17">
        <v>270</v>
      </c>
      <c r="T194" s="17">
        <v>6547</v>
      </c>
      <c r="U194" s="17">
        <v>-18</v>
      </c>
      <c r="V194" s="17">
        <v>71218</v>
      </c>
      <c r="W194" s="17">
        <v>105814</v>
      </c>
      <c r="X194" s="17">
        <v>483286</v>
      </c>
      <c r="Y194" s="17">
        <v>233528</v>
      </c>
      <c r="Z194" s="17">
        <v>135225</v>
      </c>
      <c r="AA194" s="17">
        <v>72542</v>
      </c>
      <c r="AB194" s="17">
        <v>12782</v>
      </c>
      <c r="AC194" s="17">
        <v>18682</v>
      </c>
      <c r="AD194" s="17">
        <v>12597</v>
      </c>
      <c r="AE194" s="17">
        <v>9069</v>
      </c>
      <c r="AF194" s="17">
        <v>0</v>
      </c>
      <c r="AG194" s="17">
        <v>7197</v>
      </c>
      <c r="AH194" s="17">
        <v>0</v>
      </c>
      <c r="AI194" s="17">
        <v>0</v>
      </c>
      <c r="AJ194" s="54">
        <f t="shared" si="58"/>
        <v>618511</v>
      </c>
      <c r="AK194" s="54">
        <f t="shared" si="59"/>
        <v>306070</v>
      </c>
      <c r="AL194" s="54">
        <f t="shared" si="60"/>
        <v>25379</v>
      </c>
      <c r="AM194" s="54">
        <f t="shared" si="61"/>
        <v>27751</v>
      </c>
      <c r="AN194" s="19">
        <v>46214</v>
      </c>
      <c r="AO194" s="487">
        <f t="shared" si="62"/>
        <v>-6.4696510503272187E-2</v>
      </c>
      <c r="AP194" s="487">
        <f t="shared" si="63"/>
        <v>-6.0509661459535624E-2</v>
      </c>
      <c r="AQ194" s="486">
        <f t="shared" si="64"/>
        <v>7.3763678300176716E-2</v>
      </c>
      <c r="AR194" s="486">
        <f t="shared" si="65"/>
        <v>-0.47037848079640932</v>
      </c>
      <c r="AS194" s="472">
        <f t="shared" si="66"/>
        <v>6.7804636440295996E-2</v>
      </c>
      <c r="AT194" s="472">
        <f t="shared" si="67"/>
        <v>6.3100740000909372E-2</v>
      </c>
      <c r="AU194" s="472">
        <f t="shared" si="68"/>
        <v>-0.97411313518696074</v>
      </c>
      <c r="AV194" s="472">
        <f t="shared" si="69"/>
        <v>-1.0027493508477165</v>
      </c>
      <c r="AW194" s="472">
        <f t="shared" si="70"/>
        <v>0.48577606784801586</v>
      </c>
      <c r="AX194" s="472">
        <f t="shared" si="71"/>
        <v>-0.51679129956175018</v>
      </c>
      <c r="AY194" s="472">
        <f t="shared" si="72"/>
        <v>-0.46354594194860421</v>
      </c>
      <c r="AZ194" s="472">
        <f t="shared" si="73"/>
        <v>-0.50515027218594333</v>
      </c>
      <c r="BA194" s="472">
        <f t="shared" si="74"/>
        <v>0.46158660616491942</v>
      </c>
      <c r="BB194" s="472">
        <f t="shared" si="75"/>
        <v>-0.28006668254346267</v>
      </c>
      <c r="BC194" s="472">
        <f t="shared" si="76"/>
        <v>9.346309941290043E-2</v>
      </c>
      <c r="BD194" s="472">
        <f t="shared" si="81"/>
        <v>1</v>
      </c>
      <c r="BE194" s="472">
        <f t="shared" si="82"/>
        <v>1</v>
      </c>
    </row>
    <row r="195" spans="1:57" x14ac:dyDescent="0.35">
      <c r="A195" s="16">
        <v>45851</v>
      </c>
      <c r="B195" s="17">
        <v>53364930</v>
      </c>
      <c r="C195" s="17">
        <v>39283967</v>
      </c>
      <c r="D195" s="17">
        <v>2637981.4137931033</v>
      </c>
      <c r="E195" s="17">
        <v>105520</v>
      </c>
      <c r="F195" s="484">
        <f t="shared" ref="F195:F245" si="83">SUM(N195,P195,R195,T195,V195)</f>
        <v>2000144.4137931033</v>
      </c>
      <c r="G195" s="484">
        <f t="shared" ref="G195:G245" si="84">SUM(O195,Q195,S195,U195,W195)</f>
        <v>54956</v>
      </c>
      <c r="H195" s="484">
        <f t="shared" ref="H195:H245" si="85">SUM(X195,Z195,AB195,AD195,AF195,AH195)</f>
        <v>637837</v>
      </c>
      <c r="I195" s="484">
        <f t="shared" ref="I195:I245" si="86">SUM(Y195,AA195,AC195,AE195,AG195,AI195)</f>
        <v>50564</v>
      </c>
      <c r="J195" s="19">
        <v>46215</v>
      </c>
      <c r="K195" s="17">
        <v>3408776.2226847699</v>
      </c>
      <c r="L195" s="17">
        <v>2548198.6682652398</v>
      </c>
      <c r="M195" s="17">
        <v>860577.55441952997</v>
      </c>
      <c r="N195" s="17">
        <v>1908062</v>
      </c>
      <c r="O195" s="17">
        <v>20069</v>
      </c>
      <c r="P195" s="17">
        <v>38972.413793103398</v>
      </c>
      <c r="Q195" s="17">
        <v>1278</v>
      </c>
      <c r="R195" s="17">
        <v>978</v>
      </c>
      <c r="S195" s="17">
        <v>0</v>
      </c>
      <c r="T195" s="17">
        <v>654</v>
      </c>
      <c r="U195" s="17">
        <v>0</v>
      </c>
      <c r="V195" s="17">
        <v>51478</v>
      </c>
      <c r="W195" s="17">
        <v>33609</v>
      </c>
      <c r="X195" s="17">
        <v>452704</v>
      </c>
      <c r="Y195" s="17">
        <v>38750</v>
      </c>
      <c r="Z195" s="17">
        <v>140269</v>
      </c>
      <c r="AA195" s="17">
        <v>6662</v>
      </c>
      <c r="AB195" s="17">
        <v>31653</v>
      </c>
      <c r="AC195" s="17">
        <v>1861</v>
      </c>
      <c r="AD195" s="17">
        <v>13211</v>
      </c>
      <c r="AE195" s="17">
        <v>794</v>
      </c>
      <c r="AF195" s="17">
        <v>0</v>
      </c>
      <c r="AG195" s="17">
        <v>1636</v>
      </c>
      <c r="AH195" s="17">
        <v>0</v>
      </c>
      <c r="AI195" s="17">
        <v>861</v>
      </c>
      <c r="AJ195" s="54">
        <f t="shared" ref="AJ195:AJ245" si="87">X195+Z195</f>
        <v>592973</v>
      </c>
      <c r="AK195" s="54">
        <f t="shared" ref="AK195:AK245" si="88">Y195+AA195</f>
        <v>45412</v>
      </c>
      <c r="AL195" s="54">
        <f t="shared" ref="AL195:AL245" si="89">AD195+AB195</f>
        <v>44864</v>
      </c>
      <c r="AM195" s="54">
        <f t="shared" ref="AM195:AM245" si="90">AE195+AC195</f>
        <v>2655</v>
      </c>
      <c r="AN195" s="19">
        <v>46215</v>
      </c>
      <c r="AO195" s="487">
        <f t="shared" ref="AO195:AO245" si="91">C195/B195-1</f>
        <v>-0.26386173466357021</v>
      </c>
      <c r="AP195" s="487">
        <f t="shared" ref="AP195:AP245" si="92">E195/D195-1</f>
        <v>-0.95999971817531693</v>
      </c>
      <c r="AQ195" s="486">
        <f t="shared" ref="AQ195:AQ245" si="93">G195/F195-1</f>
        <v>-0.972523983957848</v>
      </c>
      <c r="AR195" s="486">
        <f t="shared" ref="AR195:AR245" si="94">I195/H195-1</f>
        <v>-0.92072582807206227</v>
      </c>
      <c r="AS195" s="472">
        <f t="shared" ref="AS195:AS245" si="95">O195/N195-1</f>
        <v>-0.98948199796442671</v>
      </c>
      <c r="AT195" s="472">
        <f t="shared" ref="AT195:AT245" si="96">Q195/P195-1</f>
        <v>-0.96720757388072909</v>
      </c>
      <c r="AU195" s="472">
        <f t="shared" ref="AU195:AU245" si="97">S195/R195-1</f>
        <v>-1</v>
      </c>
      <c r="AV195" s="472">
        <f t="shared" ref="AV195:AV245" si="98">U195/T195-1</f>
        <v>-1</v>
      </c>
      <c r="AW195" s="472">
        <f t="shared" ref="AW195:AW245" si="99">W195/V195-1</f>
        <v>-0.34711915769843427</v>
      </c>
      <c r="AX195" s="472">
        <f t="shared" ref="AX195:AX245" si="100">Y195/X195-1</f>
        <v>-0.91440323036686222</v>
      </c>
      <c r="AY195" s="472">
        <f t="shared" ref="AY195:AY245" si="101">AA195/Z195-1</f>
        <v>-0.95250554292110157</v>
      </c>
      <c r="AZ195" s="472">
        <f t="shared" ref="AZ195:AZ245" si="102">AK195/AJ195-1</f>
        <v>-0.92341641187710066</v>
      </c>
      <c r="BA195" s="472">
        <f t="shared" ref="BA195:BA245" si="103">AC195/AB195-1</f>
        <v>-0.9412062047831169</v>
      </c>
      <c r="BB195" s="472">
        <f t="shared" ref="BB195:BB245" si="104">AE195/AD195-1</f>
        <v>-0.93989856937400651</v>
      </c>
      <c r="BC195" s="472">
        <f t="shared" ref="BC195:BC245" si="105">AM195/AL195-1</f>
        <v>-0.94082114835948649</v>
      </c>
      <c r="BD195" s="472">
        <f t="shared" si="81"/>
        <v>1</v>
      </c>
      <c r="BE195" s="472">
        <f t="shared" si="82"/>
        <v>1</v>
      </c>
    </row>
    <row r="196" spans="1:57" x14ac:dyDescent="0.35">
      <c r="A196" s="19">
        <v>45852</v>
      </c>
      <c r="B196" s="17">
        <v>31077373</v>
      </c>
      <c r="C196" s="17">
        <v>21016462</v>
      </c>
      <c r="D196" s="17">
        <v>3858302.6551724137</v>
      </c>
      <c r="E196" s="17">
        <v>161528</v>
      </c>
      <c r="F196" s="484">
        <f t="shared" si="83"/>
        <v>3003408.6551724137</v>
      </c>
      <c r="G196" s="484">
        <f t="shared" si="84"/>
        <v>-13755</v>
      </c>
      <c r="H196" s="484">
        <f t="shared" si="85"/>
        <v>854894</v>
      </c>
      <c r="I196" s="484">
        <f t="shared" si="86"/>
        <v>175283</v>
      </c>
      <c r="J196" s="19">
        <v>46216</v>
      </c>
      <c r="K196" s="17">
        <v>3445638.9128600401</v>
      </c>
      <c r="L196" s="17">
        <v>2593151.3675055699</v>
      </c>
      <c r="M196" s="17">
        <v>852487.54535447003</v>
      </c>
      <c r="N196" s="17">
        <v>2840112</v>
      </c>
      <c r="O196" s="17">
        <v>-4439</v>
      </c>
      <c r="P196" s="17">
        <v>38589.655172413797</v>
      </c>
      <c r="Q196" s="17">
        <v>0</v>
      </c>
      <c r="R196" s="17">
        <v>41758</v>
      </c>
      <c r="S196" s="17">
        <v>0</v>
      </c>
      <c r="T196" s="17">
        <v>3383</v>
      </c>
      <c r="U196" s="17">
        <v>0</v>
      </c>
      <c r="V196" s="17">
        <v>79566</v>
      </c>
      <c r="W196" s="17">
        <v>-9316</v>
      </c>
      <c r="X196" s="17">
        <v>679280</v>
      </c>
      <c r="Y196" s="17">
        <v>0</v>
      </c>
      <c r="Z196" s="17">
        <v>124738</v>
      </c>
      <c r="AA196" s="17">
        <v>154243</v>
      </c>
      <c r="AB196" s="17">
        <v>35820</v>
      </c>
      <c r="AC196" s="17">
        <v>0</v>
      </c>
      <c r="AD196" s="17">
        <v>15056</v>
      </c>
      <c r="AE196" s="17">
        <v>21040</v>
      </c>
      <c r="AF196" s="17">
        <v>0</v>
      </c>
      <c r="AG196" s="17">
        <v>0</v>
      </c>
      <c r="AH196" s="17">
        <v>0</v>
      </c>
      <c r="AI196" s="17">
        <v>0</v>
      </c>
      <c r="AJ196" s="54">
        <f t="shared" si="87"/>
        <v>804018</v>
      </c>
      <c r="AK196" s="54">
        <f t="shared" si="88"/>
        <v>154243</v>
      </c>
      <c r="AL196" s="54">
        <f t="shared" si="89"/>
        <v>50876</v>
      </c>
      <c r="AM196" s="54">
        <f t="shared" si="90"/>
        <v>21040</v>
      </c>
      <c r="AN196" s="19">
        <v>46216</v>
      </c>
      <c r="AO196" s="487">
        <f t="shared" si="91"/>
        <v>-0.32373749866180779</v>
      </c>
      <c r="AP196" s="487">
        <f t="shared" si="92"/>
        <v>-0.9581349587017346</v>
      </c>
      <c r="AQ196" s="486">
        <f t="shared" si="93"/>
        <v>-1.0045797963511596</v>
      </c>
      <c r="AR196" s="486">
        <f t="shared" si="94"/>
        <v>-0.79496522375873502</v>
      </c>
      <c r="AS196" s="472">
        <f t="shared" si="95"/>
        <v>-1.0015629665308974</v>
      </c>
      <c r="AT196" s="472">
        <f t="shared" si="96"/>
        <v>-1</v>
      </c>
      <c r="AU196" s="472">
        <f t="shared" si="97"/>
        <v>-1</v>
      </c>
      <c r="AV196" s="472">
        <f t="shared" si="98"/>
        <v>-1</v>
      </c>
      <c r="AW196" s="472">
        <f t="shared" si="99"/>
        <v>-1.1170851871402359</v>
      </c>
      <c r="AX196" s="472">
        <f t="shared" si="100"/>
        <v>-1</v>
      </c>
      <c r="AY196" s="472">
        <f t="shared" si="101"/>
        <v>0.2365357789927689</v>
      </c>
      <c r="AZ196" s="472">
        <f t="shared" si="102"/>
        <v>-0.80815976756739283</v>
      </c>
      <c r="BA196" s="472">
        <f t="shared" si="103"/>
        <v>-1</v>
      </c>
      <c r="BB196" s="472">
        <f t="shared" si="104"/>
        <v>0.39744952178533466</v>
      </c>
      <c r="BC196" s="472">
        <f t="shared" si="105"/>
        <v>-0.58644547527321333</v>
      </c>
      <c r="BD196" s="472">
        <f t="shared" si="81"/>
        <v>1</v>
      </c>
      <c r="BE196" s="472">
        <f t="shared" si="82"/>
        <v>1</v>
      </c>
    </row>
    <row r="197" spans="1:57" x14ac:dyDescent="0.35">
      <c r="A197" s="16">
        <v>45853</v>
      </c>
      <c r="B197" s="17">
        <v>32826678</v>
      </c>
      <c r="C197" s="17">
        <v>21232389</v>
      </c>
      <c r="D197" s="17">
        <v>4127129.7586206896</v>
      </c>
      <c r="E197" s="17">
        <v>77956</v>
      </c>
      <c r="F197" s="484">
        <f t="shared" si="83"/>
        <v>3196033.7586206896</v>
      </c>
      <c r="G197" s="484">
        <f t="shared" si="84"/>
        <v>284</v>
      </c>
      <c r="H197" s="484">
        <f t="shared" si="85"/>
        <v>931096</v>
      </c>
      <c r="I197" s="484">
        <f t="shared" si="86"/>
        <v>77672</v>
      </c>
      <c r="J197" s="19">
        <v>46217</v>
      </c>
      <c r="K197" s="17">
        <v>5036455.9523825301</v>
      </c>
      <c r="L197" s="17">
        <v>3893865.4667282598</v>
      </c>
      <c r="M197" s="17">
        <v>1142590.48565427</v>
      </c>
      <c r="N197" s="17">
        <v>3030753</v>
      </c>
      <c r="O197" s="17">
        <v>0</v>
      </c>
      <c r="P197" s="17">
        <v>41557.758620689601</v>
      </c>
      <c r="Q197" s="17">
        <v>0</v>
      </c>
      <c r="R197" s="17">
        <v>41277</v>
      </c>
      <c r="S197" s="17">
        <v>0</v>
      </c>
      <c r="T197" s="17">
        <v>10445</v>
      </c>
      <c r="U197" s="17">
        <v>0</v>
      </c>
      <c r="V197" s="17">
        <v>72001</v>
      </c>
      <c r="W197" s="17">
        <v>284</v>
      </c>
      <c r="X197" s="17">
        <v>731523</v>
      </c>
      <c r="Y197" s="17">
        <v>0</v>
      </c>
      <c r="Z197" s="17">
        <v>137392</v>
      </c>
      <c r="AA197" s="17">
        <v>70218</v>
      </c>
      <c r="AB197" s="17">
        <v>41913</v>
      </c>
      <c r="AC197" s="17">
        <v>0</v>
      </c>
      <c r="AD197" s="17">
        <v>20268</v>
      </c>
      <c r="AE197" s="17">
        <v>7454</v>
      </c>
      <c r="AF197" s="17">
        <v>0</v>
      </c>
      <c r="AG197" s="17">
        <v>0</v>
      </c>
      <c r="AH197" s="17">
        <v>0</v>
      </c>
      <c r="AI197" s="17">
        <v>0</v>
      </c>
      <c r="AJ197" s="54">
        <f t="shared" si="87"/>
        <v>868915</v>
      </c>
      <c r="AK197" s="54">
        <f t="shared" si="88"/>
        <v>70218</v>
      </c>
      <c r="AL197" s="54">
        <f t="shared" si="89"/>
        <v>62181</v>
      </c>
      <c r="AM197" s="54">
        <f t="shared" si="90"/>
        <v>7454</v>
      </c>
      <c r="AN197" s="19">
        <v>46217</v>
      </c>
      <c r="AO197" s="487">
        <f t="shared" si="91"/>
        <v>-0.35319714654038403</v>
      </c>
      <c r="AP197" s="487">
        <f t="shared" si="92"/>
        <v>-0.98111132807560353</v>
      </c>
      <c r="AQ197" s="486">
        <f t="shared" si="93"/>
        <v>-0.99991113986226399</v>
      </c>
      <c r="AR197" s="486">
        <f t="shared" si="94"/>
        <v>-0.91658003041576808</v>
      </c>
      <c r="AS197" s="472">
        <f t="shared" si="95"/>
        <v>-1</v>
      </c>
      <c r="AT197" s="472">
        <f t="shared" si="96"/>
        <v>-1</v>
      </c>
      <c r="AU197" s="472">
        <f t="shared" si="97"/>
        <v>-1</v>
      </c>
      <c r="AV197" s="472">
        <f t="shared" si="98"/>
        <v>-1</v>
      </c>
      <c r="AW197" s="472">
        <f t="shared" si="99"/>
        <v>-0.99605561033874535</v>
      </c>
      <c r="AX197" s="472">
        <f t="shared" si="100"/>
        <v>-1</v>
      </c>
      <c r="AY197" s="472">
        <f t="shared" si="101"/>
        <v>-0.48892220798882036</v>
      </c>
      <c r="AZ197" s="472">
        <f t="shared" si="102"/>
        <v>-0.91918887348014477</v>
      </c>
      <c r="BA197" s="472">
        <f t="shared" si="103"/>
        <v>-1</v>
      </c>
      <c r="BB197" s="472">
        <f t="shared" si="104"/>
        <v>-0.63222814288533646</v>
      </c>
      <c r="BC197" s="472">
        <f t="shared" si="105"/>
        <v>-0.88012415368038466</v>
      </c>
      <c r="BD197" s="472">
        <f t="shared" si="81"/>
        <v>1</v>
      </c>
      <c r="BE197" s="472">
        <f t="shared" si="82"/>
        <v>1</v>
      </c>
    </row>
    <row r="198" spans="1:57" x14ac:dyDescent="0.35">
      <c r="A198" s="19">
        <v>45854</v>
      </c>
      <c r="B198" s="17">
        <v>31130597</v>
      </c>
      <c r="C198" s="17">
        <v>19955592</v>
      </c>
      <c r="D198" s="17">
        <v>4171609.8620689656</v>
      </c>
      <c r="E198" s="17">
        <v>1071146</v>
      </c>
      <c r="F198" s="484">
        <f t="shared" si="83"/>
        <v>3190154.8620689656</v>
      </c>
      <c r="G198" s="484">
        <f t="shared" si="84"/>
        <v>-2878</v>
      </c>
      <c r="H198" s="484">
        <f t="shared" si="85"/>
        <v>981455</v>
      </c>
      <c r="I198" s="484">
        <f t="shared" si="86"/>
        <v>1074024</v>
      </c>
      <c r="J198" s="19">
        <v>46218</v>
      </c>
      <c r="K198" s="17">
        <v>5388037.1156272702</v>
      </c>
      <c r="L198" s="17">
        <v>4143600.4593508798</v>
      </c>
      <c r="M198" s="17">
        <v>1244436.65627639</v>
      </c>
      <c r="N198" s="17">
        <v>3000776</v>
      </c>
      <c r="O198" s="17">
        <v>0</v>
      </c>
      <c r="P198" s="17">
        <v>43500.8620689655</v>
      </c>
      <c r="Q198" s="17">
        <v>0</v>
      </c>
      <c r="R198" s="17">
        <v>50474</v>
      </c>
      <c r="S198" s="17">
        <v>0</v>
      </c>
      <c r="T198" s="17">
        <v>7851</v>
      </c>
      <c r="U198" s="17">
        <v>0</v>
      </c>
      <c r="V198" s="17">
        <v>87553</v>
      </c>
      <c r="W198" s="17">
        <v>-2878</v>
      </c>
      <c r="X198" s="17">
        <v>786889</v>
      </c>
      <c r="Y198" s="17">
        <v>821406</v>
      </c>
      <c r="Z198" s="17">
        <v>104771</v>
      </c>
      <c r="AA198" s="17">
        <v>136915</v>
      </c>
      <c r="AB198" s="17">
        <v>62833</v>
      </c>
      <c r="AC198" s="17">
        <v>83688</v>
      </c>
      <c r="AD198" s="17">
        <v>26962</v>
      </c>
      <c r="AE198" s="17">
        <v>11645</v>
      </c>
      <c r="AF198" s="17">
        <v>0</v>
      </c>
      <c r="AG198" s="17">
        <v>11673</v>
      </c>
      <c r="AH198" s="17">
        <v>0</v>
      </c>
      <c r="AI198" s="17">
        <v>8697</v>
      </c>
      <c r="AJ198" s="54">
        <f t="shared" si="87"/>
        <v>891660</v>
      </c>
      <c r="AK198" s="54">
        <f t="shared" si="88"/>
        <v>958321</v>
      </c>
      <c r="AL198" s="54">
        <f t="shared" si="89"/>
        <v>89795</v>
      </c>
      <c r="AM198" s="54">
        <f t="shared" si="90"/>
        <v>95333</v>
      </c>
      <c r="AN198" s="19">
        <v>46218</v>
      </c>
      <c r="AO198" s="487">
        <f t="shared" si="91"/>
        <v>-0.35897175373797041</v>
      </c>
      <c r="AP198" s="487">
        <f t="shared" si="92"/>
        <v>-0.74322958392164917</v>
      </c>
      <c r="AQ198" s="486">
        <f t="shared" si="93"/>
        <v>-1.0009021505614726</v>
      </c>
      <c r="AR198" s="486">
        <f t="shared" si="94"/>
        <v>9.4318129715575294E-2</v>
      </c>
      <c r="AS198" s="472">
        <f t="shared" si="95"/>
        <v>-1</v>
      </c>
      <c r="AT198" s="472">
        <f t="shared" si="96"/>
        <v>-1</v>
      </c>
      <c r="AU198" s="472">
        <f t="shared" si="97"/>
        <v>-1</v>
      </c>
      <c r="AV198" s="472">
        <f t="shared" si="98"/>
        <v>-1</v>
      </c>
      <c r="AW198" s="472">
        <f t="shared" si="99"/>
        <v>-1.0328715178234897</v>
      </c>
      <c r="AX198" s="472">
        <f t="shared" si="100"/>
        <v>4.3865144893371344E-2</v>
      </c>
      <c r="AY198" s="472">
        <f t="shared" si="101"/>
        <v>0.30680245487778102</v>
      </c>
      <c r="AZ198" s="472">
        <f t="shared" si="102"/>
        <v>7.4760558957450041E-2</v>
      </c>
      <c r="BA198" s="472">
        <f t="shared" si="103"/>
        <v>0.33191157512771952</v>
      </c>
      <c r="BB198" s="472">
        <f t="shared" si="104"/>
        <v>-0.56809583858764179</v>
      </c>
      <c r="BC198" s="472">
        <f t="shared" si="105"/>
        <v>6.1673812573083131E-2</v>
      </c>
      <c r="BD198" s="472">
        <f t="shared" si="81"/>
        <v>1</v>
      </c>
      <c r="BE198" s="472">
        <f t="shared" si="82"/>
        <v>1</v>
      </c>
    </row>
    <row r="199" spans="1:57" x14ac:dyDescent="0.35">
      <c r="A199" s="16">
        <v>45855</v>
      </c>
      <c r="B199" s="17">
        <v>39024266</v>
      </c>
      <c r="C199" s="17">
        <v>28580201</v>
      </c>
      <c r="D199" s="17">
        <v>3727069</v>
      </c>
      <c r="E199" s="17">
        <v>-35851</v>
      </c>
      <c r="F199" s="484">
        <f t="shared" si="83"/>
        <v>2907085</v>
      </c>
      <c r="G199" s="484">
        <f t="shared" si="84"/>
        <v>-231082</v>
      </c>
      <c r="H199" s="484">
        <f t="shared" si="85"/>
        <v>819984</v>
      </c>
      <c r="I199" s="484">
        <f t="shared" si="86"/>
        <v>195231</v>
      </c>
      <c r="J199" s="19">
        <v>46219</v>
      </c>
      <c r="K199" s="17">
        <v>5447721.4874883704</v>
      </c>
      <c r="L199" s="17">
        <v>4135978.5753871999</v>
      </c>
      <c r="M199" s="17">
        <v>1311742.91210117</v>
      </c>
      <c r="N199" s="17">
        <v>2683648</v>
      </c>
      <c r="O199" s="17">
        <v>-239835</v>
      </c>
      <c r="P199" s="17">
        <v>39650</v>
      </c>
      <c r="Q199" s="17">
        <v>0</v>
      </c>
      <c r="R199" s="17">
        <v>18997</v>
      </c>
      <c r="S199" s="17">
        <v>0</v>
      </c>
      <c r="T199" s="17">
        <v>6904</v>
      </c>
      <c r="U199" s="17">
        <v>0</v>
      </c>
      <c r="V199" s="17">
        <v>157886</v>
      </c>
      <c r="W199" s="17">
        <v>8753</v>
      </c>
      <c r="X199" s="17">
        <v>648054</v>
      </c>
      <c r="Y199" s="17">
        <v>87233</v>
      </c>
      <c r="Z199" s="17">
        <v>111421</v>
      </c>
      <c r="AA199" s="17">
        <v>97345</v>
      </c>
      <c r="AB199" s="17">
        <v>44791</v>
      </c>
      <c r="AC199" s="17">
        <v>0</v>
      </c>
      <c r="AD199" s="17">
        <v>15718</v>
      </c>
      <c r="AE199" s="17">
        <v>10653</v>
      </c>
      <c r="AF199" s="17">
        <v>0</v>
      </c>
      <c r="AG199" s="17">
        <v>0</v>
      </c>
      <c r="AH199" s="17">
        <v>0</v>
      </c>
      <c r="AI199" s="17">
        <v>0</v>
      </c>
      <c r="AJ199" s="54">
        <f t="shared" si="87"/>
        <v>759475</v>
      </c>
      <c r="AK199" s="54">
        <f t="shared" si="88"/>
        <v>184578</v>
      </c>
      <c r="AL199" s="54">
        <f t="shared" si="89"/>
        <v>60509</v>
      </c>
      <c r="AM199" s="54">
        <f t="shared" si="90"/>
        <v>10653</v>
      </c>
      <c r="AN199" s="19">
        <v>46219</v>
      </c>
      <c r="AO199" s="487">
        <f t="shared" si="91"/>
        <v>-0.26763001769206884</v>
      </c>
      <c r="AP199" s="487">
        <f t="shared" si="92"/>
        <v>-1.0096190867408144</v>
      </c>
      <c r="AQ199" s="486">
        <f t="shared" si="93"/>
        <v>-1.0794892478204112</v>
      </c>
      <c r="AR199" s="486">
        <f t="shared" si="94"/>
        <v>-0.76190876895158932</v>
      </c>
      <c r="AS199" s="472">
        <f t="shared" si="95"/>
        <v>-1.0893690230611466</v>
      </c>
      <c r="AT199" s="472">
        <f t="shared" si="96"/>
        <v>-1</v>
      </c>
      <c r="AU199" s="472">
        <f t="shared" si="97"/>
        <v>-1</v>
      </c>
      <c r="AV199" s="472">
        <f t="shared" si="98"/>
        <v>-1</v>
      </c>
      <c r="AW199" s="472">
        <f t="shared" si="99"/>
        <v>-0.94456126572337007</v>
      </c>
      <c r="AX199" s="472">
        <f t="shared" si="100"/>
        <v>-0.86539239014032776</v>
      </c>
      <c r="AY199" s="472">
        <f t="shared" si="101"/>
        <v>-0.12633166099747806</v>
      </c>
      <c r="AZ199" s="472">
        <f t="shared" si="102"/>
        <v>-0.75696632542216657</v>
      </c>
      <c r="BA199" s="472">
        <f t="shared" si="103"/>
        <v>-1</v>
      </c>
      <c r="BB199" s="472">
        <f t="shared" si="104"/>
        <v>-0.32224201552360354</v>
      </c>
      <c r="BC199" s="472">
        <f t="shared" si="105"/>
        <v>-0.82394354558825955</v>
      </c>
      <c r="BD199" s="472">
        <f t="shared" si="81"/>
        <v>1</v>
      </c>
      <c r="BE199" s="472">
        <f t="shared" si="82"/>
        <v>1</v>
      </c>
    </row>
    <row r="200" spans="1:57" x14ac:dyDescent="0.35">
      <c r="A200" s="19">
        <v>45856</v>
      </c>
      <c r="B200" s="17">
        <v>42222744</v>
      </c>
      <c r="C200" s="17">
        <v>38646290</v>
      </c>
      <c r="D200" s="17">
        <v>3149721.6551724137</v>
      </c>
      <c r="E200" s="17">
        <v>5072188</v>
      </c>
      <c r="F200" s="484">
        <f t="shared" si="83"/>
        <v>2418058.6551724137</v>
      </c>
      <c r="G200" s="484">
        <f t="shared" si="84"/>
        <v>4817295</v>
      </c>
      <c r="H200" s="484">
        <f t="shared" si="85"/>
        <v>731663</v>
      </c>
      <c r="I200" s="484">
        <f t="shared" si="86"/>
        <v>254893</v>
      </c>
      <c r="J200" s="19">
        <v>46220</v>
      </c>
      <c r="K200" s="17">
        <v>4864915.8388651898</v>
      </c>
      <c r="L200" s="17">
        <v>3768983.5749953599</v>
      </c>
      <c r="M200" s="17">
        <v>1095932.2638698299</v>
      </c>
      <c r="N200" s="17">
        <v>2251369</v>
      </c>
      <c r="O200" s="17">
        <v>4729379</v>
      </c>
      <c r="P200" s="17">
        <v>44689.655172413797</v>
      </c>
      <c r="Q200" s="17">
        <v>83907</v>
      </c>
      <c r="R200" s="17">
        <v>10825</v>
      </c>
      <c r="S200" s="17">
        <v>0</v>
      </c>
      <c r="T200" s="17">
        <v>8554</v>
      </c>
      <c r="U200" s="17">
        <v>4938</v>
      </c>
      <c r="V200" s="17">
        <v>102621</v>
      </c>
      <c r="W200" s="17">
        <v>-929</v>
      </c>
      <c r="X200" s="17">
        <v>610477</v>
      </c>
      <c r="Y200" s="17">
        <v>148708</v>
      </c>
      <c r="Z200" s="17">
        <v>69555</v>
      </c>
      <c r="AA200" s="17">
        <v>89719</v>
      </c>
      <c r="AB200" s="17">
        <v>31664</v>
      </c>
      <c r="AC200" s="17">
        <v>5039</v>
      </c>
      <c r="AD200" s="17">
        <v>19967</v>
      </c>
      <c r="AE200" s="17">
        <v>9778</v>
      </c>
      <c r="AF200" s="17">
        <v>0</v>
      </c>
      <c r="AG200" s="17">
        <v>1649</v>
      </c>
      <c r="AH200" s="17">
        <v>0</v>
      </c>
      <c r="AI200" s="17">
        <v>0</v>
      </c>
      <c r="AJ200" s="54">
        <f t="shared" si="87"/>
        <v>680032</v>
      </c>
      <c r="AK200" s="54">
        <f t="shared" si="88"/>
        <v>238427</v>
      </c>
      <c r="AL200" s="54">
        <f t="shared" si="89"/>
        <v>51631</v>
      </c>
      <c r="AM200" s="54">
        <f t="shared" si="90"/>
        <v>14817</v>
      </c>
      <c r="AN200" s="19">
        <v>46220</v>
      </c>
      <c r="AO200" s="487">
        <f t="shared" si="91"/>
        <v>-8.4704442705097471E-2</v>
      </c>
      <c r="AP200" s="487">
        <f t="shared" si="92"/>
        <v>0.61036070970606193</v>
      </c>
      <c r="AQ200" s="486">
        <f t="shared" si="93"/>
        <v>0.99221594136909586</v>
      </c>
      <c r="AR200" s="486">
        <f t="shared" si="94"/>
        <v>-0.6516251334289147</v>
      </c>
      <c r="AS200" s="472">
        <f t="shared" si="95"/>
        <v>1.1006680823978656</v>
      </c>
      <c r="AT200" s="472">
        <f t="shared" si="96"/>
        <v>0.87754861111111104</v>
      </c>
      <c r="AU200" s="472">
        <f t="shared" si="97"/>
        <v>-1</v>
      </c>
      <c r="AV200" s="472">
        <f t="shared" si="98"/>
        <v>-0.42272620996025256</v>
      </c>
      <c r="AW200" s="472">
        <f t="shared" si="99"/>
        <v>-1.0090527279991426</v>
      </c>
      <c r="AX200" s="472">
        <f t="shared" si="100"/>
        <v>-0.75640687527949457</v>
      </c>
      <c r="AY200" s="472">
        <f t="shared" si="101"/>
        <v>0.28990007907411397</v>
      </c>
      <c r="AZ200" s="472">
        <f t="shared" si="102"/>
        <v>-0.64938855818549723</v>
      </c>
      <c r="BA200" s="472">
        <f t="shared" si="103"/>
        <v>-0.84086028297119753</v>
      </c>
      <c r="BB200" s="472">
        <f t="shared" si="104"/>
        <v>-0.5102919817699203</v>
      </c>
      <c r="BC200" s="472">
        <f t="shared" si="105"/>
        <v>-0.71302124692529678</v>
      </c>
      <c r="BD200" s="472">
        <f t="shared" si="81"/>
        <v>1</v>
      </c>
      <c r="BE200" s="472">
        <f t="shared" si="82"/>
        <v>1</v>
      </c>
    </row>
    <row r="201" spans="1:57" x14ac:dyDescent="0.35">
      <c r="A201" s="16">
        <v>45857</v>
      </c>
      <c r="B201" s="17">
        <v>48194941</v>
      </c>
      <c r="C201" s="17">
        <v>44716609</v>
      </c>
      <c r="D201" s="17">
        <v>2813694.068965517</v>
      </c>
      <c r="E201" s="17">
        <v>4400106</v>
      </c>
      <c r="F201" s="484">
        <f t="shared" si="83"/>
        <v>2202823.068965517</v>
      </c>
      <c r="G201" s="484">
        <f t="shared" si="84"/>
        <v>4277930</v>
      </c>
      <c r="H201" s="484">
        <f t="shared" si="85"/>
        <v>610871</v>
      </c>
      <c r="I201" s="484">
        <f t="shared" si="86"/>
        <v>122176</v>
      </c>
      <c r="J201" s="19">
        <v>46221</v>
      </c>
      <c r="K201" s="17">
        <v>4112858.3879952449</v>
      </c>
      <c r="L201" s="17">
        <v>3134969.68775257</v>
      </c>
      <c r="M201" s="17">
        <v>977888.70024267503</v>
      </c>
      <c r="N201" s="17">
        <v>1984365</v>
      </c>
      <c r="O201" s="17">
        <v>4211778</v>
      </c>
      <c r="P201" s="17">
        <v>43837.068965517203</v>
      </c>
      <c r="Q201" s="17">
        <v>61308</v>
      </c>
      <c r="R201" s="17">
        <v>7363</v>
      </c>
      <c r="S201" s="17">
        <v>0</v>
      </c>
      <c r="T201" s="17">
        <v>4630</v>
      </c>
      <c r="U201" s="17">
        <v>7997</v>
      </c>
      <c r="V201" s="17">
        <v>162628</v>
      </c>
      <c r="W201" s="17">
        <v>-3153</v>
      </c>
      <c r="X201" s="17">
        <v>508767</v>
      </c>
      <c r="Y201" s="17">
        <v>7881</v>
      </c>
      <c r="Z201" s="17">
        <v>55690</v>
      </c>
      <c r="AA201" s="17">
        <v>89442</v>
      </c>
      <c r="AB201" s="17">
        <v>34679</v>
      </c>
      <c r="AC201" s="17">
        <v>12372</v>
      </c>
      <c r="AD201" s="17">
        <v>11735</v>
      </c>
      <c r="AE201" s="17">
        <v>5327</v>
      </c>
      <c r="AF201" s="17">
        <v>0</v>
      </c>
      <c r="AG201" s="17">
        <v>7154</v>
      </c>
      <c r="AH201" s="17">
        <v>0</v>
      </c>
      <c r="AI201" s="17">
        <v>0</v>
      </c>
      <c r="AJ201" s="54">
        <f t="shared" si="87"/>
        <v>564457</v>
      </c>
      <c r="AK201" s="54">
        <f t="shared" si="88"/>
        <v>97323</v>
      </c>
      <c r="AL201" s="54">
        <f t="shared" si="89"/>
        <v>46414</v>
      </c>
      <c r="AM201" s="54">
        <f t="shared" si="90"/>
        <v>17699</v>
      </c>
      <c r="AN201" s="19">
        <v>46221</v>
      </c>
      <c r="AO201" s="487">
        <f t="shared" si="91"/>
        <v>-7.2172139395294654E-2</v>
      </c>
      <c r="AP201" s="487">
        <f t="shared" si="92"/>
        <v>0.56381820203279709</v>
      </c>
      <c r="AQ201" s="486">
        <f t="shared" si="93"/>
        <v>0.94202160866645923</v>
      </c>
      <c r="AR201" s="486">
        <f t="shared" si="94"/>
        <v>-0.79999705338770377</v>
      </c>
      <c r="AS201" s="472">
        <f t="shared" si="95"/>
        <v>1.1224814991193655</v>
      </c>
      <c r="AT201" s="472">
        <f t="shared" si="96"/>
        <v>0.39854240821222908</v>
      </c>
      <c r="AU201" s="472">
        <f t="shared" si="97"/>
        <v>-1</v>
      </c>
      <c r="AV201" s="472">
        <f t="shared" si="98"/>
        <v>0.72721382289416847</v>
      </c>
      <c r="AW201" s="472">
        <f t="shared" si="99"/>
        <v>-1.0193878052979806</v>
      </c>
      <c r="AX201" s="472">
        <f t="shared" si="100"/>
        <v>-0.98450960852413771</v>
      </c>
      <c r="AY201" s="472">
        <f t="shared" si="101"/>
        <v>0.60606931226432037</v>
      </c>
      <c r="AZ201" s="472">
        <f t="shared" si="102"/>
        <v>-0.82758119750485859</v>
      </c>
      <c r="BA201" s="472">
        <f t="shared" si="103"/>
        <v>-0.64324230802502957</v>
      </c>
      <c r="BB201" s="472">
        <f t="shared" si="104"/>
        <v>-0.54605879846612693</v>
      </c>
      <c r="BC201" s="472">
        <f t="shared" si="105"/>
        <v>-0.61867109061920966</v>
      </c>
      <c r="BD201" s="472">
        <f t="shared" si="81"/>
        <v>1</v>
      </c>
      <c r="BE201" s="472">
        <f t="shared" si="82"/>
        <v>1</v>
      </c>
    </row>
    <row r="202" spans="1:57" x14ac:dyDescent="0.35">
      <c r="A202" s="19">
        <v>45858</v>
      </c>
      <c r="B202" s="17">
        <v>49418322</v>
      </c>
      <c r="C202" s="17">
        <v>40711839</v>
      </c>
      <c r="D202" s="17">
        <v>2876821.4482758623</v>
      </c>
      <c r="E202" s="17">
        <v>3541272</v>
      </c>
      <c r="F202" s="484">
        <f t="shared" si="83"/>
        <v>2524660.4482758623</v>
      </c>
      <c r="G202" s="484">
        <f t="shared" si="84"/>
        <v>3330411</v>
      </c>
      <c r="H202" s="484">
        <f t="shared" si="85"/>
        <v>352161</v>
      </c>
      <c r="I202" s="484">
        <f t="shared" si="86"/>
        <v>210861</v>
      </c>
      <c r="J202" s="19">
        <v>46222</v>
      </c>
      <c r="K202" s="17">
        <v>3672367.3183367951</v>
      </c>
      <c r="L202" s="17">
        <v>2855920.6096663498</v>
      </c>
      <c r="M202" s="17">
        <v>816446.70867044502</v>
      </c>
      <c r="N202" s="17">
        <v>2341728</v>
      </c>
      <c r="O202" s="17">
        <v>3287464</v>
      </c>
      <c r="P202" s="17">
        <v>48778.448275862102</v>
      </c>
      <c r="Q202" s="17">
        <v>42596</v>
      </c>
      <c r="R202" s="17">
        <v>7001</v>
      </c>
      <c r="S202" s="17">
        <v>0</v>
      </c>
      <c r="T202" s="17">
        <v>5776</v>
      </c>
      <c r="U202" s="17">
        <v>7508</v>
      </c>
      <c r="V202" s="17">
        <v>121377</v>
      </c>
      <c r="W202" s="17">
        <v>-7157</v>
      </c>
      <c r="X202" s="17">
        <v>238970</v>
      </c>
      <c r="Y202" s="17">
        <v>91612</v>
      </c>
      <c r="Z202" s="17">
        <v>55955</v>
      </c>
      <c r="AA202" s="17">
        <v>75633</v>
      </c>
      <c r="AB202" s="17">
        <v>41650</v>
      </c>
      <c r="AC202" s="17">
        <v>32156</v>
      </c>
      <c r="AD202" s="17">
        <v>15586</v>
      </c>
      <c r="AE202" s="17">
        <v>2714</v>
      </c>
      <c r="AF202" s="17">
        <v>0</v>
      </c>
      <c r="AG202" s="17">
        <v>8746</v>
      </c>
      <c r="AH202" s="17">
        <v>0</v>
      </c>
      <c r="AI202" s="17">
        <v>0</v>
      </c>
      <c r="AJ202" s="54">
        <f t="shared" si="87"/>
        <v>294925</v>
      </c>
      <c r="AK202" s="54">
        <f t="shared" si="88"/>
        <v>167245</v>
      </c>
      <c r="AL202" s="54">
        <f t="shared" si="89"/>
        <v>57236</v>
      </c>
      <c r="AM202" s="54">
        <f t="shared" si="90"/>
        <v>34870</v>
      </c>
      <c r="AN202" s="19">
        <v>46222</v>
      </c>
      <c r="AO202" s="487">
        <f t="shared" si="91"/>
        <v>-0.17617925189770711</v>
      </c>
      <c r="AP202" s="487">
        <f t="shared" si="92"/>
        <v>0.23096690693903033</v>
      </c>
      <c r="AQ202" s="486">
        <f t="shared" si="93"/>
        <v>0.31915204766423133</v>
      </c>
      <c r="AR202" s="486">
        <f t="shared" si="94"/>
        <v>-0.40123693424314444</v>
      </c>
      <c r="AS202" s="472">
        <f t="shared" si="95"/>
        <v>0.40386244687683615</v>
      </c>
      <c r="AT202" s="472">
        <f t="shared" si="96"/>
        <v>-0.12674548892777038</v>
      </c>
      <c r="AU202" s="472">
        <f t="shared" si="97"/>
        <v>-1</v>
      </c>
      <c r="AV202" s="472">
        <f t="shared" si="98"/>
        <v>0.29986149584487531</v>
      </c>
      <c r="AW202" s="472">
        <f t="shared" si="99"/>
        <v>-1.0589650428005306</v>
      </c>
      <c r="AX202" s="472">
        <f t="shared" si="100"/>
        <v>-0.61663807172448426</v>
      </c>
      <c r="AY202" s="472">
        <f t="shared" si="101"/>
        <v>0.35167545348941109</v>
      </c>
      <c r="AZ202" s="472">
        <f t="shared" si="102"/>
        <v>-0.43292362465033485</v>
      </c>
      <c r="BA202" s="472">
        <f t="shared" si="103"/>
        <v>-0.22794717887154858</v>
      </c>
      <c r="BB202" s="472">
        <f t="shared" si="104"/>
        <v>-0.82586936994738869</v>
      </c>
      <c r="BC202" s="472">
        <f t="shared" si="105"/>
        <v>-0.39076804808162691</v>
      </c>
      <c r="BD202" s="472">
        <f t="shared" si="81"/>
        <v>1</v>
      </c>
      <c r="BE202" s="472">
        <f t="shared" si="82"/>
        <v>1</v>
      </c>
    </row>
    <row r="203" spans="1:57" x14ac:dyDescent="0.35">
      <c r="A203" s="16">
        <v>45859</v>
      </c>
      <c r="B203" s="17">
        <v>33737301</v>
      </c>
      <c r="C203" s="17">
        <v>29142685</v>
      </c>
      <c r="D203" s="17">
        <v>5029885.7931034481</v>
      </c>
      <c r="E203" s="17">
        <v>4712178</v>
      </c>
      <c r="F203" s="484">
        <f t="shared" si="83"/>
        <v>3797744.7931034481</v>
      </c>
      <c r="G203" s="484">
        <f t="shared" si="84"/>
        <v>4228974</v>
      </c>
      <c r="H203" s="484">
        <f t="shared" si="85"/>
        <v>1232141</v>
      </c>
      <c r="I203" s="484">
        <f t="shared" si="86"/>
        <v>483204</v>
      </c>
      <c r="J203" s="19">
        <v>46223</v>
      </c>
      <c r="K203" s="17">
        <v>3743850.333635712</v>
      </c>
      <c r="L203" s="17">
        <v>3273177.00101378</v>
      </c>
      <c r="M203" s="17">
        <v>470673.33262193197</v>
      </c>
      <c r="N203" s="17">
        <v>3558327</v>
      </c>
      <c r="O203" s="17">
        <v>4166837</v>
      </c>
      <c r="P203" s="17">
        <v>45088.793103448297</v>
      </c>
      <c r="Q203" s="17">
        <v>43873</v>
      </c>
      <c r="R203" s="17">
        <v>41407</v>
      </c>
      <c r="S203" s="17">
        <v>0</v>
      </c>
      <c r="T203" s="17">
        <v>3984</v>
      </c>
      <c r="U203" s="17">
        <v>13564</v>
      </c>
      <c r="V203" s="17">
        <v>148938</v>
      </c>
      <c r="W203" s="17">
        <v>4700</v>
      </c>
      <c r="X203" s="17">
        <v>1077744</v>
      </c>
      <c r="Y203" s="17">
        <v>382320</v>
      </c>
      <c r="Z203" s="17">
        <v>70738</v>
      </c>
      <c r="AA203" s="17">
        <v>67710</v>
      </c>
      <c r="AB203" s="17">
        <v>68483</v>
      </c>
      <c r="AC203" s="17">
        <v>22398</v>
      </c>
      <c r="AD203" s="17">
        <v>15176</v>
      </c>
      <c r="AE203" s="17">
        <v>5837</v>
      </c>
      <c r="AF203" s="17">
        <v>0</v>
      </c>
      <c r="AG203" s="17">
        <v>4939</v>
      </c>
      <c r="AH203" s="17">
        <v>0</v>
      </c>
      <c r="AI203" s="17">
        <v>0</v>
      </c>
      <c r="AJ203" s="54">
        <f t="shared" si="87"/>
        <v>1148482</v>
      </c>
      <c r="AK203" s="54">
        <f t="shared" si="88"/>
        <v>450030</v>
      </c>
      <c r="AL203" s="54">
        <f t="shared" si="89"/>
        <v>83659</v>
      </c>
      <c r="AM203" s="54">
        <f t="shared" si="90"/>
        <v>28235</v>
      </c>
      <c r="AN203" s="19">
        <v>46223</v>
      </c>
      <c r="AO203" s="487">
        <f t="shared" si="91"/>
        <v>-0.13618801338020492</v>
      </c>
      <c r="AP203" s="487">
        <f t="shared" si="92"/>
        <v>-6.3164017270344819E-2</v>
      </c>
      <c r="AQ203" s="486">
        <f t="shared" si="93"/>
        <v>0.11354875864214109</v>
      </c>
      <c r="AR203" s="486">
        <f t="shared" si="94"/>
        <v>-0.60783384369159044</v>
      </c>
      <c r="AS203" s="472">
        <f t="shared" si="95"/>
        <v>0.17101014043959428</v>
      </c>
      <c r="AT203" s="472">
        <f t="shared" si="96"/>
        <v>-2.6964418866987083E-2</v>
      </c>
      <c r="AU203" s="472">
        <f t="shared" si="97"/>
        <v>-1</v>
      </c>
      <c r="AV203" s="472">
        <f t="shared" si="98"/>
        <v>2.4046184738955825</v>
      </c>
      <c r="AW203" s="472">
        <f t="shared" si="99"/>
        <v>-0.96844324484013478</v>
      </c>
      <c r="AX203" s="472">
        <f t="shared" si="100"/>
        <v>-0.6452589854362446</v>
      </c>
      <c r="AY203" s="472">
        <f t="shared" si="101"/>
        <v>-4.2805846928100855E-2</v>
      </c>
      <c r="AZ203" s="472">
        <f t="shared" si="102"/>
        <v>-0.60815232628809157</v>
      </c>
      <c r="BA203" s="472">
        <f t="shared" si="103"/>
        <v>-0.67294072981615871</v>
      </c>
      <c r="BB203" s="472">
        <f t="shared" si="104"/>
        <v>-0.61537954665260941</v>
      </c>
      <c r="BC203" s="472">
        <f t="shared" si="105"/>
        <v>-0.66249895408742632</v>
      </c>
      <c r="BD203" s="472">
        <f t="shared" si="81"/>
        <v>1</v>
      </c>
      <c r="BE203" s="472">
        <f t="shared" si="82"/>
        <v>1</v>
      </c>
    </row>
    <row r="204" spans="1:57" x14ac:dyDescent="0.35">
      <c r="A204" s="19">
        <v>45860</v>
      </c>
      <c r="B204" s="17">
        <v>35193931</v>
      </c>
      <c r="C204" s="17">
        <v>34240943</v>
      </c>
      <c r="D204" s="17">
        <v>4443268.2413793104</v>
      </c>
      <c r="E204" s="17">
        <v>4977184</v>
      </c>
      <c r="F204" s="484">
        <f t="shared" si="83"/>
        <v>3511852.2413793104</v>
      </c>
      <c r="G204" s="484">
        <f t="shared" si="84"/>
        <v>4480475</v>
      </c>
      <c r="H204" s="484">
        <f t="shared" si="85"/>
        <v>931416</v>
      </c>
      <c r="I204" s="484">
        <f t="shared" si="86"/>
        <v>496709</v>
      </c>
      <c r="J204" s="19">
        <v>46224</v>
      </c>
      <c r="K204" s="17">
        <v>6570500.00690269</v>
      </c>
      <c r="L204" s="17">
        <v>4923708.0261605801</v>
      </c>
      <c r="M204" s="17">
        <v>1646791.9807421099</v>
      </c>
      <c r="N204" s="17">
        <v>3287363</v>
      </c>
      <c r="O204" s="17">
        <v>4405412</v>
      </c>
      <c r="P204" s="17">
        <v>43017.241379310297</v>
      </c>
      <c r="Q204" s="17">
        <v>48043</v>
      </c>
      <c r="R204" s="17">
        <v>45721</v>
      </c>
      <c r="S204" s="17">
        <v>-5352</v>
      </c>
      <c r="T204" s="17">
        <v>7885</v>
      </c>
      <c r="U204" s="17">
        <v>29247</v>
      </c>
      <c r="V204" s="17">
        <v>127866</v>
      </c>
      <c r="W204" s="17">
        <v>3125</v>
      </c>
      <c r="X204" s="17">
        <v>797541</v>
      </c>
      <c r="Y204" s="17">
        <v>384714</v>
      </c>
      <c r="Z204" s="17">
        <v>74451</v>
      </c>
      <c r="AA204" s="17">
        <v>72953</v>
      </c>
      <c r="AB204" s="17">
        <v>41790</v>
      </c>
      <c r="AC204" s="17">
        <v>26680</v>
      </c>
      <c r="AD204" s="17">
        <v>17634</v>
      </c>
      <c r="AE204" s="17">
        <v>6091</v>
      </c>
      <c r="AF204" s="17">
        <v>0</v>
      </c>
      <c r="AG204" s="17">
        <v>5410</v>
      </c>
      <c r="AH204" s="17">
        <v>0</v>
      </c>
      <c r="AI204" s="17">
        <v>861</v>
      </c>
      <c r="AJ204" s="54">
        <f t="shared" si="87"/>
        <v>871992</v>
      </c>
      <c r="AK204" s="54">
        <f t="shared" si="88"/>
        <v>457667</v>
      </c>
      <c r="AL204" s="54">
        <f t="shared" si="89"/>
        <v>59424</v>
      </c>
      <c r="AM204" s="54">
        <f t="shared" si="90"/>
        <v>32771</v>
      </c>
      <c r="AN204" s="19">
        <v>46224</v>
      </c>
      <c r="AO204" s="487">
        <f t="shared" si="91"/>
        <v>-2.7078191407490126E-2</v>
      </c>
      <c r="AP204" s="487">
        <f t="shared" si="92"/>
        <v>0.120162846268977</v>
      </c>
      <c r="AQ204" s="486">
        <f t="shared" si="93"/>
        <v>0.27581535100128662</v>
      </c>
      <c r="AR204" s="486">
        <f t="shared" si="94"/>
        <v>-0.46671626856313397</v>
      </c>
      <c r="AS204" s="472">
        <f t="shared" si="95"/>
        <v>0.34010512377245838</v>
      </c>
      <c r="AT204" s="472">
        <f t="shared" si="96"/>
        <v>0.11683126252505138</v>
      </c>
      <c r="AU204" s="472">
        <f t="shared" si="97"/>
        <v>-1.1170578071345771</v>
      </c>
      <c r="AV204" s="472">
        <f t="shared" si="98"/>
        <v>2.7091946734305643</v>
      </c>
      <c r="AW204" s="472">
        <f t="shared" si="99"/>
        <v>-0.97556035224375515</v>
      </c>
      <c r="AX204" s="472">
        <f t="shared" si="100"/>
        <v>-0.51762479922662286</v>
      </c>
      <c r="AY204" s="472">
        <f t="shared" si="101"/>
        <v>-2.0120616244241218E-2</v>
      </c>
      <c r="AZ204" s="472">
        <f t="shared" si="102"/>
        <v>-0.47514770777713555</v>
      </c>
      <c r="BA204" s="472">
        <f t="shared" si="103"/>
        <v>-0.36156975352955256</v>
      </c>
      <c r="BB204" s="472">
        <f t="shared" si="104"/>
        <v>-0.65458772825223999</v>
      </c>
      <c r="BC204" s="472">
        <f t="shared" si="105"/>
        <v>-0.44852248249865379</v>
      </c>
      <c r="BD204" s="472">
        <f t="shared" si="81"/>
        <v>1</v>
      </c>
      <c r="BE204" s="472">
        <f t="shared" si="82"/>
        <v>1</v>
      </c>
    </row>
    <row r="205" spans="1:57" x14ac:dyDescent="0.35">
      <c r="A205" s="16">
        <v>45861</v>
      </c>
      <c r="B205" s="17">
        <v>37862518</v>
      </c>
      <c r="C205" s="17">
        <v>33913656</v>
      </c>
      <c r="D205" s="17">
        <v>4308608.1724137925</v>
      </c>
      <c r="E205" s="17">
        <v>2441865</v>
      </c>
      <c r="F205" s="484">
        <f t="shared" si="83"/>
        <v>3512431.1724137929</v>
      </c>
      <c r="G205" s="484">
        <f t="shared" si="84"/>
        <v>2491235</v>
      </c>
      <c r="H205" s="484">
        <f t="shared" si="85"/>
        <v>796177</v>
      </c>
      <c r="I205" s="484">
        <f t="shared" si="86"/>
        <v>-49370</v>
      </c>
      <c r="J205" s="19">
        <v>46225</v>
      </c>
      <c r="K205" s="17">
        <v>5797917.8047500104</v>
      </c>
      <c r="L205" s="17">
        <v>4553053.459245</v>
      </c>
      <c r="M205" s="17">
        <v>1244864.3455050101</v>
      </c>
      <c r="N205" s="17">
        <v>3324693</v>
      </c>
      <c r="O205" s="17">
        <v>2355041</v>
      </c>
      <c r="P205" s="17">
        <v>47655.172413793101</v>
      </c>
      <c r="Q205" s="17">
        <v>44422</v>
      </c>
      <c r="R205" s="17">
        <v>29991</v>
      </c>
      <c r="S205" s="17">
        <v>-4595</v>
      </c>
      <c r="T205" s="17">
        <v>3101</v>
      </c>
      <c r="U205" s="17">
        <v>8901</v>
      </c>
      <c r="V205" s="17">
        <v>106991</v>
      </c>
      <c r="W205" s="17">
        <v>87466</v>
      </c>
      <c r="X205" s="17">
        <v>677329</v>
      </c>
      <c r="Y205" s="17">
        <v>-140136</v>
      </c>
      <c r="Z205" s="17">
        <v>77441</v>
      </c>
      <c r="AA205" s="17">
        <v>59192</v>
      </c>
      <c r="AB205" s="17">
        <v>28165</v>
      </c>
      <c r="AC205" s="17">
        <v>24678</v>
      </c>
      <c r="AD205" s="17">
        <v>13242</v>
      </c>
      <c r="AE205" s="17">
        <v>2622</v>
      </c>
      <c r="AF205" s="17">
        <v>0</v>
      </c>
      <c r="AG205" s="17">
        <v>4318</v>
      </c>
      <c r="AH205" s="17">
        <v>0</v>
      </c>
      <c r="AI205" s="17">
        <v>-44</v>
      </c>
      <c r="AJ205" s="54">
        <f t="shared" si="87"/>
        <v>754770</v>
      </c>
      <c r="AK205" s="54">
        <f t="shared" si="88"/>
        <v>-80944</v>
      </c>
      <c r="AL205" s="54">
        <f t="shared" si="89"/>
        <v>41407</v>
      </c>
      <c r="AM205" s="54">
        <f t="shared" si="90"/>
        <v>27300</v>
      </c>
      <c r="AN205" s="19">
        <v>46225</v>
      </c>
      <c r="AO205" s="487">
        <f t="shared" si="91"/>
        <v>-0.10429475398334576</v>
      </c>
      <c r="AP205" s="487">
        <f t="shared" si="92"/>
        <v>-0.43325897777518141</v>
      </c>
      <c r="AQ205" s="486">
        <f t="shared" si="93"/>
        <v>-0.29073770339875793</v>
      </c>
      <c r="AR205" s="486">
        <f t="shared" si="94"/>
        <v>-1.0620088246708961</v>
      </c>
      <c r="AS205" s="472">
        <f t="shared" si="95"/>
        <v>-0.29165159008666364</v>
      </c>
      <c r="AT205" s="472">
        <f t="shared" si="96"/>
        <v>-6.784515195369023E-2</v>
      </c>
      <c r="AU205" s="472">
        <f t="shared" si="97"/>
        <v>-1.1532126304558035</v>
      </c>
      <c r="AV205" s="472">
        <f t="shared" si="98"/>
        <v>1.8703643985811027</v>
      </c>
      <c r="AW205" s="472">
        <f t="shared" si="99"/>
        <v>-0.18249198530717536</v>
      </c>
      <c r="AX205" s="472">
        <f t="shared" si="100"/>
        <v>-1.2068950244268295</v>
      </c>
      <c r="AY205" s="472">
        <f t="shared" si="101"/>
        <v>-0.23565036608514867</v>
      </c>
      <c r="AZ205" s="472">
        <f t="shared" si="102"/>
        <v>-1.1072432661605522</v>
      </c>
      <c r="BA205" s="472">
        <f t="shared" si="103"/>
        <v>-0.12380614237528853</v>
      </c>
      <c r="BB205" s="472">
        <f t="shared" si="104"/>
        <v>-0.80199365654734933</v>
      </c>
      <c r="BC205" s="472">
        <f t="shared" si="105"/>
        <v>-0.34069118748037774</v>
      </c>
      <c r="BD205" s="472">
        <f t="shared" si="81"/>
        <v>1</v>
      </c>
      <c r="BE205" s="472">
        <f t="shared" si="82"/>
        <v>1</v>
      </c>
    </row>
    <row r="206" spans="1:57" x14ac:dyDescent="0.35">
      <c r="A206" s="19">
        <v>45862</v>
      </c>
      <c r="B206" s="17">
        <v>40833224</v>
      </c>
      <c r="C206" s="17">
        <v>40007982</v>
      </c>
      <c r="D206" s="17">
        <v>3661084.3448275863</v>
      </c>
      <c r="E206" s="17">
        <v>3605637</v>
      </c>
      <c r="F206" s="484">
        <f t="shared" si="83"/>
        <v>2897925.3448275863</v>
      </c>
      <c r="G206" s="484">
        <f t="shared" si="84"/>
        <v>3283968</v>
      </c>
      <c r="H206" s="484">
        <f t="shared" si="85"/>
        <v>763159</v>
      </c>
      <c r="I206" s="484">
        <f t="shared" si="86"/>
        <v>321669</v>
      </c>
      <c r="J206" s="19">
        <v>46226</v>
      </c>
      <c r="K206" s="17">
        <v>5617917.5547398403</v>
      </c>
      <c r="L206" s="17">
        <v>4553804.0329502802</v>
      </c>
      <c r="M206" s="17">
        <v>1064113.5217895601</v>
      </c>
      <c r="N206" s="17">
        <v>2646867</v>
      </c>
      <c r="O206" s="17">
        <v>3083278</v>
      </c>
      <c r="P206" s="17">
        <v>44960.344827586203</v>
      </c>
      <c r="Q206" s="17">
        <v>42541</v>
      </c>
      <c r="R206" s="17">
        <v>35095</v>
      </c>
      <c r="S206" s="17">
        <v>32416</v>
      </c>
      <c r="T206" s="17">
        <v>7885</v>
      </c>
      <c r="U206" s="17">
        <v>5616</v>
      </c>
      <c r="V206" s="17">
        <v>163118</v>
      </c>
      <c r="W206" s="17">
        <v>120117</v>
      </c>
      <c r="X206" s="17">
        <v>660447</v>
      </c>
      <c r="Y206" s="17">
        <v>231502</v>
      </c>
      <c r="Z206" s="17">
        <v>62295</v>
      </c>
      <c r="AA206" s="17">
        <v>72242</v>
      </c>
      <c r="AB206" s="17">
        <v>26946</v>
      </c>
      <c r="AC206" s="17">
        <v>8011</v>
      </c>
      <c r="AD206" s="17">
        <v>13471</v>
      </c>
      <c r="AE206" s="17">
        <v>4728</v>
      </c>
      <c r="AF206" s="17">
        <v>0</v>
      </c>
      <c r="AG206" s="17">
        <v>2732</v>
      </c>
      <c r="AH206" s="17">
        <v>0</v>
      </c>
      <c r="AI206" s="17">
        <v>2454</v>
      </c>
      <c r="AJ206" s="54">
        <f t="shared" si="87"/>
        <v>722742</v>
      </c>
      <c r="AK206" s="54">
        <f t="shared" si="88"/>
        <v>303744</v>
      </c>
      <c r="AL206" s="54">
        <f t="shared" si="89"/>
        <v>40417</v>
      </c>
      <c r="AM206" s="54">
        <f t="shared" si="90"/>
        <v>12739</v>
      </c>
      <c r="AN206" s="19">
        <v>46226</v>
      </c>
      <c r="AO206" s="487">
        <f t="shared" si="91"/>
        <v>-2.0210062276738161E-2</v>
      </c>
      <c r="AP206" s="487">
        <f t="shared" si="92"/>
        <v>-1.5145060753905537E-2</v>
      </c>
      <c r="AQ206" s="486">
        <f t="shared" si="93"/>
        <v>0.13321345764184334</v>
      </c>
      <c r="AR206" s="486">
        <f t="shared" si="94"/>
        <v>-0.57850330009866879</v>
      </c>
      <c r="AS206" s="472">
        <f t="shared" si="95"/>
        <v>0.16487832596046581</v>
      </c>
      <c r="AT206" s="472">
        <f t="shared" si="96"/>
        <v>-5.3810637726732335E-2</v>
      </c>
      <c r="AU206" s="472">
        <f t="shared" si="97"/>
        <v>-7.633566035047723E-2</v>
      </c>
      <c r="AV206" s="472">
        <f t="shared" si="98"/>
        <v>-0.28776157260621438</v>
      </c>
      <c r="AW206" s="472">
        <f t="shared" si="99"/>
        <v>-0.26361897522039257</v>
      </c>
      <c r="AX206" s="472">
        <f t="shared" si="100"/>
        <v>-0.64947679374726519</v>
      </c>
      <c r="AY206" s="472">
        <f t="shared" si="101"/>
        <v>0.15967573641544264</v>
      </c>
      <c r="AZ206" s="472">
        <f t="shared" si="102"/>
        <v>-0.5797338469329304</v>
      </c>
      <c r="BA206" s="472">
        <f t="shared" si="103"/>
        <v>-0.70270169969568763</v>
      </c>
      <c r="BB206" s="472">
        <f t="shared" si="104"/>
        <v>-0.64902382896592681</v>
      </c>
      <c r="BC206" s="472">
        <f t="shared" si="105"/>
        <v>-0.68481084692085015</v>
      </c>
      <c r="BD206" s="472">
        <f t="shared" si="81"/>
        <v>1</v>
      </c>
      <c r="BE206" s="472">
        <f t="shared" si="82"/>
        <v>1</v>
      </c>
    </row>
    <row r="207" spans="1:57" x14ac:dyDescent="0.35">
      <c r="A207" s="16">
        <v>45863</v>
      </c>
      <c r="B207" s="17">
        <v>41355051</v>
      </c>
      <c r="C207" s="17">
        <v>38494412</v>
      </c>
      <c r="D207" s="17">
        <v>3089100.5862068967</v>
      </c>
      <c r="E207" s="17">
        <v>2510791</v>
      </c>
      <c r="F207" s="484">
        <f t="shared" si="83"/>
        <v>2415654.5862068967</v>
      </c>
      <c r="G207" s="484">
        <f t="shared" si="84"/>
        <v>2495966</v>
      </c>
      <c r="H207" s="484">
        <f t="shared" si="85"/>
        <v>673446</v>
      </c>
      <c r="I207" s="484">
        <f t="shared" si="86"/>
        <v>14825</v>
      </c>
      <c r="J207" s="19">
        <v>46227</v>
      </c>
      <c r="K207" s="17">
        <v>4777092.2588771898</v>
      </c>
      <c r="L207" s="17">
        <v>3757108.2463078802</v>
      </c>
      <c r="M207" s="17">
        <v>1019984.01256931</v>
      </c>
      <c r="N207" s="17">
        <v>2242610</v>
      </c>
      <c r="O207" s="17">
        <v>2278603</v>
      </c>
      <c r="P207" s="17">
        <v>44752.5862068965</v>
      </c>
      <c r="Q207" s="17">
        <v>42639</v>
      </c>
      <c r="R207" s="17">
        <v>-1659</v>
      </c>
      <c r="S207" s="17">
        <v>39758</v>
      </c>
      <c r="T207" s="17">
        <v>4160</v>
      </c>
      <c r="U207" s="17">
        <v>9405</v>
      </c>
      <c r="V207" s="17">
        <v>125791</v>
      </c>
      <c r="W207" s="17">
        <v>125561</v>
      </c>
      <c r="X207" s="17">
        <v>585838</v>
      </c>
      <c r="Y207" s="17">
        <v>-79945</v>
      </c>
      <c r="Z207" s="17">
        <v>65896</v>
      </c>
      <c r="AA207" s="17">
        <v>65983</v>
      </c>
      <c r="AB207" s="17">
        <v>16520</v>
      </c>
      <c r="AC207" s="17">
        <v>21720</v>
      </c>
      <c r="AD207" s="17">
        <v>5192</v>
      </c>
      <c r="AE207" s="17">
        <v>1719</v>
      </c>
      <c r="AF207" s="17">
        <v>0</v>
      </c>
      <c r="AG207" s="17">
        <v>4659</v>
      </c>
      <c r="AH207" s="17">
        <v>0</v>
      </c>
      <c r="AI207" s="17">
        <v>689</v>
      </c>
      <c r="AJ207" s="54">
        <f t="shared" si="87"/>
        <v>651734</v>
      </c>
      <c r="AK207" s="54">
        <f t="shared" si="88"/>
        <v>-13962</v>
      </c>
      <c r="AL207" s="54">
        <f t="shared" si="89"/>
        <v>21712</v>
      </c>
      <c r="AM207" s="54">
        <f t="shared" si="90"/>
        <v>23439</v>
      </c>
      <c r="AN207" s="19">
        <v>46227</v>
      </c>
      <c r="AO207" s="487">
        <f t="shared" si="91"/>
        <v>-6.9172662850784494E-2</v>
      </c>
      <c r="AP207" s="487">
        <f t="shared" si="92"/>
        <v>-0.18720969747281757</v>
      </c>
      <c r="AQ207" s="486">
        <f t="shared" si="93"/>
        <v>3.3246232409083643E-2</v>
      </c>
      <c r="AR207" s="486">
        <f t="shared" si="94"/>
        <v>-0.9779863567383279</v>
      </c>
      <c r="AS207" s="472">
        <f t="shared" si="95"/>
        <v>1.6049602918028594E-2</v>
      </c>
      <c r="AT207" s="472">
        <f t="shared" si="96"/>
        <v>-4.722824725983743E-2</v>
      </c>
      <c r="AU207" s="472">
        <f t="shared" si="97"/>
        <v>-24.965039180229052</v>
      </c>
      <c r="AV207" s="472">
        <f t="shared" si="98"/>
        <v>1.2608173076923075</v>
      </c>
      <c r="AW207" s="472">
        <f t="shared" si="99"/>
        <v>-1.8284296968781311E-3</v>
      </c>
      <c r="AX207" s="472">
        <f t="shared" si="100"/>
        <v>-1.1364626398424138</v>
      </c>
      <c r="AY207" s="472">
        <f t="shared" si="101"/>
        <v>1.3202622313950307E-3</v>
      </c>
      <c r="AZ207" s="472">
        <f t="shared" si="102"/>
        <v>-1.0214228504267078</v>
      </c>
      <c r="BA207" s="472">
        <f t="shared" si="103"/>
        <v>0.31476997578692489</v>
      </c>
      <c r="BB207" s="472">
        <f t="shared" si="104"/>
        <v>-0.66891371340523875</v>
      </c>
      <c r="BC207" s="472">
        <f t="shared" si="105"/>
        <v>7.9541267501842317E-2</v>
      </c>
      <c r="BD207" s="472">
        <f t="shared" si="81"/>
        <v>1</v>
      </c>
      <c r="BE207" s="472">
        <f t="shared" si="82"/>
        <v>1</v>
      </c>
    </row>
    <row r="208" spans="1:57" x14ac:dyDescent="0.35">
      <c r="A208" s="19">
        <v>45864</v>
      </c>
      <c r="B208" s="17">
        <v>46933783</v>
      </c>
      <c r="C208" s="17">
        <v>43265279</v>
      </c>
      <c r="D208" s="17">
        <v>2553876.2068965519</v>
      </c>
      <c r="E208" s="17">
        <v>2747704</v>
      </c>
      <c r="F208" s="484">
        <f t="shared" si="83"/>
        <v>2031150.2068965517</v>
      </c>
      <c r="G208" s="484">
        <f t="shared" si="84"/>
        <v>2450220</v>
      </c>
      <c r="H208" s="484">
        <f t="shared" si="85"/>
        <v>522726</v>
      </c>
      <c r="I208" s="484">
        <f t="shared" si="86"/>
        <v>297484</v>
      </c>
      <c r="J208" s="19">
        <v>46228</v>
      </c>
      <c r="K208" s="17">
        <v>4031932.8562442842</v>
      </c>
      <c r="L208" s="17">
        <v>3131852.8554466101</v>
      </c>
      <c r="M208" s="17">
        <v>900080.00079767394</v>
      </c>
      <c r="N208" s="17">
        <v>1814470</v>
      </c>
      <c r="O208" s="17">
        <v>2296703</v>
      </c>
      <c r="P208" s="17">
        <v>48636.206896551703</v>
      </c>
      <c r="Q208" s="17">
        <v>40406</v>
      </c>
      <c r="R208" s="17">
        <v>22502</v>
      </c>
      <c r="S208" s="17">
        <v>-1119</v>
      </c>
      <c r="T208" s="17">
        <v>8441</v>
      </c>
      <c r="U208" s="17">
        <v>2696</v>
      </c>
      <c r="V208" s="17">
        <v>137101</v>
      </c>
      <c r="W208" s="17">
        <v>111534</v>
      </c>
      <c r="X208" s="17">
        <v>418048</v>
      </c>
      <c r="Y208" s="17">
        <v>213421</v>
      </c>
      <c r="Z208" s="17">
        <v>74083</v>
      </c>
      <c r="AA208" s="17">
        <v>59424</v>
      </c>
      <c r="AB208" s="17">
        <v>22565</v>
      </c>
      <c r="AC208" s="17">
        <v>16459</v>
      </c>
      <c r="AD208" s="17">
        <v>8030</v>
      </c>
      <c r="AE208" s="17">
        <v>2879</v>
      </c>
      <c r="AF208" s="17">
        <v>0</v>
      </c>
      <c r="AG208" s="17">
        <v>4612</v>
      </c>
      <c r="AH208" s="17">
        <v>0</v>
      </c>
      <c r="AI208" s="17">
        <v>689</v>
      </c>
      <c r="AJ208" s="54">
        <f t="shared" si="87"/>
        <v>492131</v>
      </c>
      <c r="AK208" s="54">
        <f t="shared" si="88"/>
        <v>272845</v>
      </c>
      <c r="AL208" s="54">
        <f t="shared" si="89"/>
        <v>30595</v>
      </c>
      <c r="AM208" s="54">
        <f t="shared" si="90"/>
        <v>19338</v>
      </c>
      <c r="AN208" s="19">
        <v>46228</v>
      </c>
      <c r="AO208" s="487">
        <f t="shared" si="91"/>
        <v>-7.816339884641299E-2</v>
      </c>
      <c r="AP208" s="487">
        <f t="shared" si="92"/>
        <v>7.5895531889929035E-2</v>
      </c>
      <c r="AQ208" s="486">
        <f t="shared" si="93"/>
        <v>0.20632141910556001</v>
      </c>
      <c r="AR208" s="486">
        <f t="shared" si="94"/>
        <v>-0.43089878827531058</v>
      </c>
      <c r="AS208" s="472">
        <f t="shared" si="95"/>
        <v>0.2657707209267719</v>
      </c>
      <c r="AT208" s="472">
        <f t="shared" si="96"/>
        <v>-0.169219752561239</v>
      </c>
      <c r="AU208" s="472">
        <f t="shared" si="97"/>
        <v>-1.0497289129855123</v>
      </c>
      <c r="AV208" s="472">
        <f t="shared" si="98"/>
        <v>-0.68060656320341195</v>
      </c>
      <c r="AW208" s="472">
        <f t="shared" si="99"/>
        <v>-0.18648295781941782</v>
      </c>
      <c r="AX208" s="472">
        <f t="shared" si="100"/>
        <v>-0.48948206904470304</v>
      </c>
      <c r="AY208" s="472">
        <f t="shared" si="101"/>
        <v>-0.19787265634491047</v>
      </c>
      <c r="AZ208" s="472">
        <f t="shared" si="102"/>
        <v>-0.44558461060164878</v>
      </c>
      <c r="BA208" s="472">
        <f t="shared" si="103"/>
        <v>-0.27059605583868829</v>
      </c>
      <c r="BB208" s="472">
        <f t="shared" si="104"/>
        <v>-0.64146948941469484</v>
      </c>
      <c r="BC208" s="472">
        <f t="shared" si="105"/>
        <v>-0.36793593724464779</v>
      </c>
      <c r="BD208" s="472">
        <f t="shared" si="81"/>
        <v>1</v>
      </c>
      <c r="BE208" s="472">
        <f t="shared" si="82"/>
        <v>1</v>
      </c>
    </row>
    <row r="209" spans="1:57" x14ac:dyDescent="0.35">
      <c r="A209" s="16">
        <v>45865</v>
      </c>
      <c r="B209" s="17">
        <v>47081332</v>
      </c>
      <c r="C209" s="17">
        <v>43046323</v>
      </c>
      <c r="D209" s="17">
        <v>3234996.3103448278</v>
      </c>
      <c r="E209" s="17">
        <v>3540984</v>
      </c>
      <c r="F209" s="484">
        <f t="shared" si="83"/>
        <v>2641107.3103448278</v>
      </c>
      <c r="G209" s="484">
        <f t="shared" si="84"/>
        <v>3141226</v>
      </c>
      <c r="H209" s="484">
        <f t="shared" si="85"/>
        <v>593889</v>
      </c>
      <c r="I209" s="484">
        <f t="shared" si="86"/>
        <v>399758</v>
      </c>
      <c r="J209" s="19">
        <v>46229</v>
      </c>
      <c r="K209" s="17">
        <v>3331988.1964123314</v>
      </c>
      <c r="L209" s="17">
        <v>2633349.8222933002</v>
      </c>
      <c r="M209" s="17">
        <v>698638.37411903101</v>
      </c>
      <c r="N209" s="17">
        <v>2492742</v>
      </c>
      <c r="O209" s="17">
        <v>3026716</v>
      </c>
      <c r="P209" s="17">
        <v>46004.310344827602</v>
      </c>
      <c r="Q209" s="17">
        <v>41577</v>
      </c>
      <c r="R209" s="17">
        <v>188</v>
      </c>
      <c r="S209" s="17">
        <v>-2437</v>
      </c>
      <c r="T209" s="17">
        <v>5260</v>
      </c>
      <c r="U209" s="17">
        <v>-2118</v>
      </c>
      <c r="V209" s="17">
        <v>96913</v>
      </c>
      <c r="W209" s="17">
        <v>77488</v>
      </c>
      <c r="X209" s="17">
        <v>456920</v>
      </c>
      <c r="Y209" s="17">
        <v>286083</v>
      </c>
      <c r="Z209" s="17">
        <v>102581</v>
      </c>
      <c r="AA209" s="17">
        <v>100894</v>
      </c>
      <c r="AB209" s="17">
        <v>25564</v>
      </c>
      <c r="AC209" s="17">
        <v>1340</v>
      </c>
      <c r="AD209" s="17">
        <v>8824</v>
      </c>
      <c r="AE209" s="17">
        <v>3747</v>
      </c>
      <c r="AF209" s="17">
        <v>0</v>
      </c>
      <c r="AG209" s="17">
        <v>7694</v>
      </c>
      <c r="AH209" s="17">
        <v>0</v>
      </c>
      <c r="AI209" s="17">
        <v>0</v>
      </c>
      <c r="AJ209" s="54">
        <f t="shared" si="87"/>
        <v>559501</v>
      </c>
      <c r="AK209" s="54">
        <f t="shared" si="88"/>
        <v>386977</v>
      </c>
      <c r="AL209" s="54">
        <f t="shared" si="89"/>
        <v>34388</v>
      </c>
      <c r="AM209" s="54">
        <f t="shared" si="90"/>
        <v>5087</v>
      </c>
      <c r="AN209" s="19">
        <v>46229</v>
      </c>
      <c r="AO209" s="487">
        <f t="shared" si="91"/>
        <v>-8.5702949100930237E-2</v>
      </c>
      <c r="AP209" s="487">
        <f t="shared" si="92"/>
        <v>9.4586719829227839E-2</v>
      </c>
      <c r="AQ209" s="486">
        <f t="shared" si="93"/>
        <v>0.18935947346640591</v>
      </c>
      <c r="AR209" s="486">
        <f t="shared" si="94"/>
        <v>-0.32688094913359234</v>
      </c>
      <c r="AS209" s="472">
        <f t="shared" si="95"/>
        <v>0.21421149882338408</v>
      </c>
      <c r="AT209" s="472">
        <f t="shared" si="96"/>
        <v>-9.6236859364752458E-2</v>
      </c>
      <c r="AU209" s="472">
        <f t="shared" si="97"/>
        <v>-13.962765957446809</v>
      </c>
      <c r="AV209" s="472">
        <f t="shared" si="98"/>
        <v>-1.4026615969581748</v>
      </c>
      <c r="AW209" s="472">
        <f t="shared" si="99"/>
        <v>-0.20043750580417485</v>
      </c>
      <c r="AX209" s="472">
        <f t="shared" si="100"/>
        <v>-0.37388820800140066</v>
      </c>
      <c r="AY209" s="472">
        <f t="shared" si="101"/>
        <v>-1.6445540597186614E-2</v>
      </c>
      <c r="AZ209" s="472">
        <f t="shared" si="102"/>
        <v>-0.30835333627643202</v>
      </c>
      <c r="BA209" s="472">
        <f t="shared" si="103"/>
        <v>-0.94758253794398373</v>
      </c>
      <c r="BB209" s="472">
        <f t="shared" si="104"/>
        <v>-0.57536264732547604</v>
      </c>
      <c r="BC209" s="472">
        <f t="shared" si="105"/>
        <v>-0.85207048970571131</v>
      </c>
      <c r="BD209" s="472">
        <f t="shared" si="81"/>
        <v>1</v>
      </c>
      <c r="BE209" s="472">
        <f t="shared" si="82"/>
        <v>1</v>
      </c>
    </row>
    <row r="210" spans="1:57" x14ac:dyDescent="0.35">
      <c r="A210" s="19">
        <v>45866</v>
      </c>
      <c r="B210" s="17">
        <v>31605607</v>
      </c>
      <c r="C210" s="17">
        <v>29411304</v>
      </c>
      <c r="D210" s="17">
        <v>4663929.6896551717</v>
      </c>
      <c r="E210" s="17">
        <v>5127517</v>
      </c>
      <c r="F210" s="484">
        <f t="shared" si="83"/>
        <v>3679594.6896551722</v>
      </c>
      <c r="G210" s="484">
        <f t="shared" si="84"/>
        <v>4627621</v>
      </c>
      <c r="H210" s="484">
        <f t="shared" si="85"/>
        <v>984335</v>
      </c>
      <c r="I210" s="484">
        <f t="shared" si="86"/>
        <v>499896</v>
      </c>
      <c r="J210" s="19">
        <v>46230</v>
      </c>
      <c r="K210" s="17">
        <v>4217898.0455742115</v>
      </c>
      <c r="L210" s="17">
        <v>3424148.2696549399</v>
      </c>
      <c r="M210" s="17">
        <v>793749.77591927198</v>
      </c>
      <c r="N210" s="17">
        <v>3484387</v>
      </c>
      <c r="O210" s="17">
        <v>4417927</v>
      </c>
      <c r="P210" s="17">
        <v>44995.689655172398</v>
      </c>
      <c r="Q210" s="17">
        <v>45240</v>
      </c>
      <c r="R210" s="17">
        <v>50334</v>
      </c>
      <c r="S210" s="17">
        <v>73371</v>
      </c>
      <c r="T210" s="17">
        <v>7472</v>
      </c>
      <c r="U210" s="17">
        <v>3507</v>
      </c>
      <c r="V210" s="17">
        <v>92406</v>
      </c>
      <c r="W210" s="17">
        <v>87576</v>
      </c>
      <c r="X210" s="17">
        <v>769591</v>
      </c>
      <c r="Y210" s="17">
        <v>340627</v>
      </c>
      <c r="Z210" s="17">
        <v>185943</v>
      </c>
      <c r="AA210" s="17">
        <v>129532</v>
      </c>
      <c r="AB210" s="17">
        <v>24718</v>
      </c>
      <c r="AC210" s="17">
        <v>9756</v>
      </c>
      <c r="AD210" s="17">
        <v>4083</v>
      </c>
      <c r="AE210" s="17">
        <v>10295</v>
      </c>
      <c r="AF210" s="17">
        <v>0</v>
      </c>
      <c r="AG210" s="17">
        <v>6328</v>
      </c>
      <c r="AH210" s="17">
        <v>0</v>
      </c>
      <c r="AI210" s="17">
        <v>3358</v>
      </c>
      <c r="AJ210" s="54">
        <f t="shared" si="87"/>
        <v>955534</v>
      </c>
      <c r="AK210" s="54">
        <f t="shared" si="88"/>
        <v>470159</v>
      </c>
      <c r="AL210" s="54">
        <f t="shared" si="89"/>
        <v>28801</v>
      </c>
      <c r="AM210" s="54">
        <f t="shared" si="90"/>
        <v>20051</v>
      </c>
      <c r="AN210" s="19">
        <v>46230</v>
      </c>
      <c r="AO210" s="487">
        <f t="shared" si="91"/>
        <v>-6.9427649340827458E-2</v>
      </c>
      <c r="AP210" s="487">
        <f t="shared" si="92"/>
        <v>9.9398434623293674E-2</v>
      </c>
      <c r="AQ210" s="486">
        <f t="shared" si="93"/>
        <v>0.25764422179706714</v>
      </c>
      <c r="AR210" s="486">
        <f t="shared" si="94"/>
        <v>-0.49214850635200413</v>
      </c>
      <c r="AS210" s="472">
        <f t="shared" si="95"/>
        <v>0.26792087101691053</v>
      </c>
      <c r="AT210" s="472">
        <f t="shared" si="96"/>
        <v>5.4296388542967033E-3</v>
      </c>
      <c r="AU210" s="472">
        <f t="shared" si="97"/>
        <v>0.45768267969960652</v>
      </c>
      <c r="AV210" s="472">
        <f t="shared" si="98"/>
        <v>-0.53064775160599575</v>
      </c>
      <c r="AW210" s="472">
        <f t="shared" si="99"/>
        <v>-5.226933316018445E-2</v>
      </c>
      <c r="AX210" s="472">
        <f t="shared" si="100"/>
        <v>-0.55739217324526924</v>
      </c>
      <c r="AY210" s="472">
        <f t="shared" si="101"/>
        <v>-0.30337791688850879</v>
      </c>
      <c r="AZ210" s="472">
        <f t="shared" si="102"/>
        <v>-0.50796204007392731</v>
      </c>
      <c r="BA210" s="472">
        <f t="shared" si="103"/>
        <v>-0.60530787280524312</v>
      </c>
      <c r="BB210" s="472">
        <f t="shared" si="104"/>
        <v>1.5214303208425179</v>
      </c>
      <c r="BC210" s="472">
        <f t="shared" si="105"/>
        <v>-0.303808895524461</v>
      </c>
      <c r="BD210" s="472">
        <f t="shared" si="81"/>
        <v>1</v>
      </c>
      <c r="BE210" s="472">
        <f t="shared" si="82"/>
        <v>1</v>
      </c>
    </row>
    <row r="211" spans="1:57" x14ac:dyDescent="0.35">
      <c r="A211" s="16">
        <v>45867</v>
      </c>
      <c r="B211" s="17">
        <v>34983760</v>
      </c>
      <c r="C211" s="17">
        <v>31625771</v>
      </c>
      <c r="D211" s="17">
        <v>4911503.0344827585</v>
      </c>
      <c r="E211" s="17">
        <v>4325222</v>
      </c>
      <c r="F211" s="484">
        <f t="shared" si="83"/>
        <v>3976106.0344827585</v>
      </c>
      <c r="G211" s="484">
        <f t="shared" si="84"/>
        <v>3818609</v>
      </c>
      <c r="H211" s="484">
        <f t="shared" si="85"/>
        <v>935397</v>
      </c>
      <c r="I211" s="484">
        <f t="shared" si="86"/>
        <v>506613</v>
      </c>
      <c r="J211" s="19">
        <v>46231</v>
      </c>
      <c r="K211" s="17">
        <v>6086120.65077102</v>
      </c>
      <c r="L211" s="17">
        <v>4770528.5356123</v>
      </c>
      <c r="M211" s="17">
        <v>1315592.1151587199</v>
      </c>
      <c r="N211" s="17">
        <v>3757033</v>
      </c>
      <c r="O211" s="17">
        <v>3634734</v>
      </c>
      <c r="P211" s="17">
        <v>48606.034482758601</v>
      </c>
      <c r="Q211" s="17">
        <v>42976</v>
      </c>
      <c r="R211" s="17">
        <v>41706</v>
      </c>
      <c r="S211" s="17">
        <v>19778</v>
      </c>
      <c r="T211" s="17">
        <v>2828</v>
      </c>
      <c r="U211" s="17">
        <v>1549</v>
      </c>
      <c r="V211" s="17">
        <v>125933</v>
      </c>
      <c r="W211" s="17">
        <v>119572</v>
      </c>
      <c r="X211" s="17">
        <v>723558</v>
      </c>
      <c r="Y211" s="17">
        <v>359776</v>
      </c>
      <c r="Z211" s="17">
        <v>178272</v>
      </c>
      <c r="AA211" s="17">
        <v>124232</v>
      </c>
      <c r="AB211" s="17">
        <v>20718</v>
      </c>
      <c r="AC211" s="17">
        <v>3776</v>
      </c>
      <c r="AD211" s="17">
        <v>12849</v>
      </c>
      <c r="AE211" s="17">
        <v>12332</v>
      </c>
      <c r="AF211" s="17">
        <v>0</v>
      </c>
      <c r="AG211" s="17">
        <v>4861</v>
      </c>
      <c r="AH211" s="17">
        <v>0</v>
      </c>
      <c r="AI211" s="17">
        <v>1636</v>
      </c>
      <c r="AJ211" s="54">
        <f t="shared" si="87"/>
        <v>901830</v>
      </c>
      <c r="AK211" s="54">
        <f t="shared" si="88"/>
        <v>484008</v>
      </c>
      <c r="AL211" s="54">
        <f t="shared" si="89"/>
        <v>33567</v>
      </c>
      <c r="AM211" s="54">
        <f t="shared" si="90"/>
        <v>16108</v>
      </c>
      <c r="AN211" s="19">
        <v>46231</v>
      </c>
      <c r="AO211" s="487">
        <f t="shared" si="91"/>
        <v>-9.5987080862663166E-2</v>
      </c>
      <c r="AP211" s="487">
        <f t="shared" si="92"/>
        <v>-0.11936896513482476</v>
      </c>
      <c r="AQ211" s="486">
        <f t="shared" si="93"/>
        <v>-3.9610873834064364E-2</v>
      </c>
      <c r="AR211" s="486">
        <f t="shared" si="94"/>
        <v>-0.45839787812019928</v>
      </c>
      <c r="AS211" s="472">
        <f t="shared" si="95"/>
        <v>-3.2552016444891474E-2</v>
      </c>
      <c r="AT211" s="472">
        <f t="shared" si="96"/>
        <v>-0.11582994874341523</v>
      </c>
      <c r="AU211" s="472">
        <f t="shared" si="97"/>
        <v>-0.52577566776962548</v>
      </c>
      <c r="AV211" s="472">
        <f t="shared" si="98"/>
        <v>-0.45226308345120225</v>
      </c>
      <c r="AW211" s="472">
        <f t="shared" si="99"/>
        <v>-5.0510986000492308E-2</v>
      </c>
      <c r="AX211" s="472">
        <f t="shared" si="100"/>
        <v>-0.50276826460352875</v>
      </c>
      <c r="AY211" s="472">
        <f t="shared" si="101"/>
        <v>-0.30313229222760729</v>
      </c>
      <c r="AZ211" s="472">
        <f t="shared" si="102"/>
        <v>-0.46330461395163169</v>
      </c>
      <c r="BA211" s="472">
        <f t="shared" si="103"/>
        <v>-0.81774302538855104</v>
      </c>
      <c r="BB211" s="472">
        <f t="shared" si="104"/>
        <v>-4.0236594287493155E-2</v>
      </c>
      <c r="BC211" s="472">
        <f t="shared" si="105"/>
        <v>-0.52012393124199363</v>
      </c>
      <c r="BD211" s="472">
        <f t="shared" si="81"/>
        <v>1</v>
      </c>
      <c r="BE211" s="472">
        <f t="shared" si="82"/>
        <v>1</v>
      </c>
    </row>
    <row r="212" spans="1:57" x14ac:dyDescent="0.35">
      <c r="A212" s="19">
        <v>45868</v>
      </c>
      <c r="B212" s="17">
        <v>38292331</v>
      </c>
      <c r="C212" s="17">
        <v>34751018</v>
      </c>
      <c r="D212" s="17">
        <v>4557922.9655172415</v>
      </c>
      <c r="E212" s="17">
        <v>4532870</v>
      </c>
      <c r="F212" s="484">
        <f t="shared" si="83"/>
        <v>3656323.9655172415</v>
      </c>
      <c r="G212" s="484">
        <f t="shared" si="84"/>
        <v>3958459</v>
      </c>
      <c r="H212" s="484">
        <f t="shared" si="85"/>
        <v>901599</v>
      </c>
      <c r="I212" s="484">
        <f t="shared" si="86"/>
        <v>574411</v>
      </c>
      <c r="J212" s="19">
        <v>46232</v>
      </c>
      <c r="K212" s="17">
        <v>6405135.2441936303</v>
      </c>
      <c r="L212" s="17">
        <v>5154950.1773788603</v>
      </c>
      <c r="M212" s="17">
        <v>1250185.06681477</v>
      </c>
      <c r="N212" s="17">
        <v>3422418</v>
      </c>
      <c r="O212" s="17">
        <v>3823589</v>
      </c>
      <c r="P212" s="17">
        <v>44943.965517241399</v>
      </c>
      <c r="Q212" s="17">
        <v>45162</v>
      </c>
      <c r="R212" s="17">
        <v>35371</v>
      </c>
      <c r="S212" s="17">
        <v>9832</v>
      </c>
      <c r="T212" s="17">
        <v>6861</v>
      </c>
      <c r="U212" s="17">
        <v>6476</v>
      </c>
      <c r="V212" s="17">
        <v>146730</v>
      </c>
      <c r="W212" s="17">
        <v>73400</v>
      </c>
      <c r="X212" s="17">
        <v>716501</v>
      </c>
      <c r="Y212" s="17">
        <v>422769</v>
      </c>
      <c r="Z212" s="17">
        <v>157888</v>
      </c>
      <c r="AA212" s="17">
        <v>119136</v>
      </c>
      <c r="AB212" s="17">
        <v>21031</v>
      </c>
      <c r="AC212" s="17">
        <v>13325</v>
      </c>
      <c r="AD212" s="17">
        <v>6179</v>
      </c>
      <c r="AE212" s="17">
        <v>8955</v>
      </c>
      <c r="AF212" s="17">
        <v>0</v>
      </c>
      <c r="AG212" s="17">
        <v>9537</v>
      </c>
      <c r="AH212" s="17">
        <v>0</v>
      </c>
      <c r="AI212" s="17">
        <v>689</v>
      </c>
      <c r="AJ212" s="54">
        <f t="shared" si="87"/>
        <v>874389</v>
      </c>
      <c r="AK212" s="54">
        <f t="shared" si="88"/>
        <v>541905</v>
      </c>
      <c r="AL212" s="54">
        <f t="shared" si="89"/>
        <v>27210</v>
      </c>
      <c r="AM212" s="54">
        <f t="shared" si="90"/>
        <v>22280</v>
      </c>
      <c r="AN212" s="19">
        <v>46232</v>
      </c>
      <c r="AO212" s="487">
        <f t="shared" si="91"/>
        <v>-9.248099834925172E-2</v>
      </c>
      <c r="AP212" s="487">
        <f t="shared" si="92"/>
        <v>-5.4965750204157837E-3</v>
      </c>
      <c r="AQ212" s="486">
        <f t="shared" si="93"/>
        <v>8.2633551439148079E-2</v>
      </c>
      <c r="AR212" s="486">
        <f t="shared" si="94"/>
        <v>-0.36289747437608066</v>
      </c>
      <c r="AS212" s="472">
        <f t="shared" si="95"/>
        <v>0.11721858639125915</v>
      </c>
      <c r="AT212" s="472">
        <f t="shared" si="96"/>
        <v>4.851251558453562E-3</v>
      </c>
      <c r="AU212" s="472">
        <f t="shared" si="97"/>
        <v>-0.72203217324927205</v>
      </c>
      <c r="AV212" s="472">
        <f t="shared" si="98"/>
        <v>-5.6114269056988797E-2</v>
      </c>
      <c r="AW212" s="472">
        <f t="shared" si="99"/>
        <v>-0.49976146663940568</v>
      </c>
      <c r="AX212" s="472">
        <f t="shared" si="100"/>
        <v>-0.40995337061637038</v>
      </c>
      <c r="AY212" s="472">
        <f t="shared" si="101"/>
        <v>-0.24543980543169841</v>
      </c>
      <c r="AZ212" s="472">
        <f t="shared" si="102"/>
        <v>-0.38024723549815931</v>
      </c>
      <c r="BA212" s="472">
        <f t="shared" si="103"/>
        <v>-0.36641148780371835</v>
      </c>
      <c r="BB212" s="472">
        <f t="shared" si="104"/>
        <v>0.44926363489237731</v>
      </c>
      <c r="BC212" s="472">
        <f t="shared" si="105"/>
        <v>-0.18118338846012494</v>
      </c>
      <c r="BD212" s="472">
        <f t="shared" si="81"/>
        <v>1</v>
      </c>
      <c r="BE212" s="472">
        <f t="shared" si="82"/>
        <v>1</v>
      </c>
    </row>
    <row r="213" spans="1:57" x14ac:dyDescent="0.35">
      <c r="A213" s="16">
        <v>45869</v>
      </c>
      <c r="B213" s="17">
        <v>42257151</v>
      </c>
      <c r="C213" s="17">
        <v>39086770</v>
      </c>
      <c r="D213" s="17">
        <v>4406171.068965517</v>
      </c>
      <c r="E213" s="17">
        <v>3934942</v>
      </c>
      <c r="F213" s="484">
        <f t="shared" si="83"/>
        <v>3484019.068965517</v>
      </c>
      <c r="G213" s="484">
        <f t="shared" si="84"/>
        <v>3224092</v>
      </c>
      <c r="H213" s="484">
        <f t="shared" si="85"/>
        <v>922152</v>
      </c>
      <c r="I213" s="484">
        <f t="shared" si="86"/>
        <v>710850</v>
      </c>
      <c r="J213" s="19">
        <v>46233</v>
      </c>
      <c r="K213" s="17">
        <v>5945371.52413911</v>
      </c>
      <c r="L213" s="17">
        <v>4740358.4590393398</v>
      </c>
      <c r="M213" s="17">
        <v>1205013.06509977</v>
      </c>
      <c r="N213" s="17">
        <v>3229434</v>
      </c>
      <c r="O213" s="17">
        <v>3050571</v>
      </c>
      <c r="P213" s="17">
        <v>53487.068965517203</v>
      </c>
      <c r="Q213" s="17">
        <v>48847</v>
      </c>
      <c r="R213" s="17">
        <v>38487</v>
      </c>
      <c r="S213" s="17">
        <v>5466</v>
      </c>
      <c r="T213" s="17">
        <v>4745</v>
      </c>
      <c r="U213" s="17">
        <v>0</v>
      </c>
      <c r="V213" s="17">
        <v>157866</v>
      </c>
      <c r="W213" s="17">
        <v>119208</v>
      </c>
      <c r="X213" s="17">
        <v>760045</v>
      </c>
      <c r="Y213" s="17">
        <v>525363</v>
      </c>
      <c r="Z213" s="17">
        <v>130193</v>
      </c>
      <c r="AA213" s="17">
        <v>148304</v>
      </c>
      <c r="AB213" s="17">
        <v>26548</v>
      </c>
      <c r="AC213" s="17">
        <v>15409</v>
      </c>
      <c r="AD213" s="17">
        <v>5366</v>
      </c>
      <c r="AE213" s="17">
        <v>8317</v>
      </c>
      <c r="AF213" s="17">
        <v>0</v>
      </c>
      <c r="AG213" s="17">
        <v>9625</v>
      </c>
      <c r="AH213" s="17">
        <v>0</v>
      </c>
      <c r="AI213" s="17">
        <v>3832</v>
      </c>
      <c r="AJ213" s="54">
        <f t="shared" si="87"/>
        <v>890238</v>
      </c>
      <c r="AK213" s="54">
        <f t="shared" si="88"/>
        <v>673667</v>
      </c>
      <c r="AL213" s="54">
        <f t="shared" si="89"/>
        <v>31914</v>
      </c>
      <c r="AM213" s="54">
        <f t="shared" si="90"/>
        <v>23726</v>
      </c>
      <c r="AN213" s="19">
        <v>46233</v>
      </c>
      <c r="AO213" s="487">
        <f t="shared" si="91"/>
        <v>-7.5025905082905409E-2</v>
      </c>
      <c r="AP213" s="487">
        <f t="shared" si="92"/>
        <v>-0.10694752010074637</v>
      </c>
      <c r="AQ213" s="486">
        <f t="shared" si="93"/>
        <v>-7.4605524200731521E-2</v>
      </c>
      <c r="AR213" s="486">
        <f t="shared" si="94"/>
        <v>-0.2291400983785753</v>
      </c>
      <c r="AS213" s="472">
        <f t="shared" si="95"/>
        <v>-5.5385247074255073E-2</v>
      </c>
      <c r="AT213" s="472">
        <f t="shared" si="96"/>
        <v>-8.6751228946731596E-2</v>
      </c>
      <c r="AU213" s="472">
        <f t="shared" si="97"/>
        <v>-0.85797801855171874</v>
      </c>
      <c r="AV213" s="472">
        <f t="shared" si="98"/>
        <v>-1</v>
      </c>
      <c r="AW213" s="472">
        <f t="shared" si="99"/>
        <v>-0.24487856789935769</v>
      </c>
      <c r="AX213" s="472">
        <f t="shared" si="100"/>
        <v>-0.3087738226026091</v>
      </c>
      <c r="AY213" s="472">
        <f t="shared" si="101"/>
        <v>0.1391088614595255</v>
      </c>
      <c r="AZ213" s="472">
        <f t="shared" si="102"/>
        <v>-0.24327314718086623</v>
      </c>
      <c r="BA213" s="472">
        <f t="shared" si="103"/>
        <v>-0.41957962935061022</v>
      </c>
      <c r="BB213" s="472">
        <f t="shared" si="104"/>
        <v>0.54994409243384279</v>
      </c>
      <c r="BC213" s="472">
        <f t="shared" si="105"/>
        <v>-0.25656451713981321</v>
      </c>
      <c r="BD213" s="472">
        <f t="shared" si="81"/>
        <v>1</v>
      </c>
      <c r="BE213" s="472">
        <f t="shared" si="82"/>
        <v>1</v>
      </c>
    </row>
    <row r="214" spans="1:57" x14ac:dyDescent="0.35">
      <c r="A214" s="19">
        <v>45870</v>
      </c>
      <c r="B214" s="17">
        <v>42166401</v>
      </c>
      <c r="C214" s="17">
        <v>38926840</v>
      </c>
      <c r="D214" s="17">
        <v>3719323.8275862071</v>
      </c>
      <c r="E214" s="17">
        <v>3603011</v>
      </c>
      <c r="F214" s="484">
        <f t="shared" si="83"/>
        <v>2972912.8275862071</v>
      </c>
      <c r="G214" s="484">
        <f t="shared" si="84"/>
        <v>3065340</v>
      </c>
      <c r="H214" s="484">
        <f t="shared" si="85"/>
        <v>746411</v>
      </c>
      <c r="I214" s="484">
        <f t="shared" si="86"/>
        <v>537671</v>
      </c>
      <c r="J214" s="19">
        <v>46234</v>
      </c>
      <c r="K214" s="17">
        <v>5749450.9926290801</v>
      </c>
      <c r="L214" s="17">
        <v>4516968.2502925303</v>
      </c>
      <c r="M214" s="17">
        <v>1232482.74233655</v>
      </c>
      <c r="N214" s="17">
        <v>2745483</v>
      </c>
      <c r="O214" s="17">
        <v>2903566</v>
      </c>
      <c r="P214" s="17">
        <v>43694.827586206899</v>
      </c>
      <c r="Q214" s="17">
        <v>49697</v>
      </c>
      <c r="R214" s="17">
        <v>12201</v>
      </c>
      <c r="S214" s="17">
        <v>28578</v>
      </c>
      <c r="T214" s="17">
        <v>2825</v>
      </c>
      <c r="U214" s="17">
        <v>11071</v>
      </c>
      <c r="V214" s="17">
        <v>168709</v>
      </c>
      <c r="W214" s="17">
        <v>72428</v>
      </c>
      <c r="X214" s="17">
        <v>619607</v>
      </c>
      <c r="Y214" s="17">
        <v>381868</v>
      </c>
      <c r="Z214" s="17">
        <v>90655</v>
      </c>
      <c r="AA214" s="17">
        <v>115054</v>
      </c>
      <c r="AB214" s="17">
        <v>24972</v>
      </c>
      <c r="AC214" s="17">
        <v>16287</v>
      </c>
      <c r="AD214" s="17">
        <v>11177</v>
      </c>
      <c r="AE214" s="17">
        <v>8524</v>
      </c>
      <c r="AF214" s="17">
        <v>0</v>
      </c>
      <c r="AG214" s="17">
        <v>12321</v>
      </c>
      <c r="AH214" s="17">
        <v>0</v>
      </c>
      <c r="AI214" s="17">
        <v>3617</v>
      </c>
      <c r="AJ214" s="54">
        <f t="shared" si="87"/>
        <v>710262</v>
      </c>
      <c r="AK214" s="54">
        <f t="shared" si="88"/>
        <v>496922</v>
      </c>
      <c r="AL214" s="54">
        <f t="shared" si="89"/>
        <v>36149</v>
      </c>
      <c r="AM214" s="54">
        <f t="shared" si="90"/>
        <v>24811</v>
      </c>
      <c r="AN214" s="19">
        <v>46234</v>
      </c>
      <c r="AO214" s="487">
        <f t="shared" si="91"/>
        <v>-7.682801764371594E-2</v>
      </c>
      <c r="AP214" s="487">
        <f t="shared" si="92"/>
        <v>-3.1272573450989993E-2</v>
      </c>
      <c r="AQ214" s="486">
        <f t="shared" si="93"/>
        <v>3.1089768780350413E-2</v>
      </c>
      <c r="AR214" s="486">
        <f t="shared" si="94"/>
        <v>-0.27965825798387212</v>
      </c>
      <c r="AS214" s="472">
        <f t="shared" si="95"/>
        <v>5.7579303896618583E-2</v>
      </c>
      <c r="AT214" s="472">
        <f t="shared" si="96"/>
        <v>0.13736574201949248</v>
      </c>
      <c r="AU214" s="472">
        <f t="shared" si="97"/>
        <v>1.342267027292845</v>
      </c>
      <c r="AV214" s="472">
        <f t="shared" si="98"/>
        <v>2.918938053097345</v>
      </c>
      <c r="AW214" s="472">
        <f t="shared" si="99"/>
        <v>-0.57069273127100506</v>
      </c>
      <c r="AX214" s="472">
        <f t="shared" si="100"/>
        <v>-0.38369321198759854</v>
      </c>
      <c r="AY214" s="472">
        <f t="shared" si="101"/>
        <v>0.269141249793172</v>
      </c>
      <c r="AZ214" s="472">
        <f t="shared" si="102"/>
        <v>-0.30036803320464844</v>
      </c>
      <c r="BA214" s="472">
        <f t="shared" si="103"/>
        <v>-0.34778952426717924</v>
      </c>
      <c r="BB214" s="472">
        <f t="shared" si="104"/>
        <v>-0.23736244072649193</v>
      </c>
      <c r="BC214" s="472">
        <f t="shared" si="105"/>
        <v>-0.313646297269634</v>
      </c>
      <c r="BD214" s="472">
        <f t="shared" si="81"/>
        <v>1</v>
      </c>
      <c r="BE214" s="472">
        <f t="shared" si="82"/>
        <v>1</v>
      </c>
    </row>
    <row r="215" spans="1:57" x14ac:dyDescent="0.35">
      <c r="A215" s="16">
        <v>45871</v>
      </c>
      <c r="B215" s="17">
        <v>52987530</v>
      </c>
      <c r="C215" s="17">
        <v>47869700</v>
      </c>
      <c r="D215" s="17">
        <v>3065174.4827586208</v>
      </c>
      <c r="E215" s="17">
        <v>3071572</v>
      </c>
      <c r="F215" s="484">
        <f t="shared" si="83"/>
        <v>2289471.4827586208</v>
      </c>
      <c r="G215" s="484">
        <f t="shared" si="84"/>
        <v>2587840</v>
      </c>
      <c r="H215" s="484">
        <f t="shared" si="85"/>
        <v>775703</v>
      </c>
      <c r="I215" s="484">
        <f t="shared" si="86"/>
        <v>483732</v>
      </c>
      <c r="J215" s="19">
        <v>46235</v>
      </c>
      <c r="K215" s="17">
        <v>4918875.4135660902</v>
      </c>
      <c r="L215" s="17">
        <v>3866025.8284156998</v>
      </c>
      <c r="M215" s="17">
        <v>1052849.5851503899</v>
      </c>
      <c r="N215" s="17">
        <v>2144459</v>
      </c>
      <c r="O215" s="17">
        <v>2446126</v>
      </c>
      <c r="P215" s="17">
        <v>42634.482758620703</v>
      </c>
      <c r="Q215" s="17">
        <v>48403</v>
      </c>
      <c r="R215" s="17">
        <v>10464</v>
      </c>
      <c r="S215" s="17">
        <v>6004</v>
      </c>
      <c r="T215" s="17">
        <v>4246</v>
      </c>
      <c r="U215" s="17">
        <v>1786</v>
      </c>
      <c r="V215" s="17">
        <v>87668</v>
      </c>
      <c r="W215" s="17">
        <v>85521</v>
      </c>
      <c r="X215" s="17">
        <v>684341</v>
      </c>
      <c r="Y215" s="17">
        <v>329279</v>
      </c>
      <c r="Z215" s="17">
        <v>63880</v>
      </c>
      <c r="AA215" s="17">
        <v>108433</v>
      </c>
      <c r="AB215" s="17">
        <v>21198</v>
      </c>
      <c r="AC215" s="17">
        <v>26082</v>
      </c>
      <c r="AD215" s="17">
        <v>6284</v>
      </c>
      <c r="AE215" s="17">
        <v>12102</v>
      </c>
      <c r="AF215" s="17">
        <v>0</v>
      </c>
      <c r="AG215" s="17">
        <v>5795</v>
      </c>
      <c r="AH215" s="17">
        <v>0</v>
      </c>
      <c r="AI215" s="17">
        <v>2041</v>
      </c>
      <c r="AJ215" s="54">
        <f t="shared" si="87"/>
        <v>748221</v>
      </c>
      <c r="AK215" s="54">
        <f t="shared" si="88"/>
        <v>437712</v>
      </c>
      <c r="AL215" s="54">
        <f t="shared" si="89"/>
        <v>27482</v>
      </c>
      <c r="AM215" s="54">
        <f t="shared" si="90"/>
        <v>38184</v>
      </c>
      <c r="AN215" s="19">
        <v>46235</v>
      </c>
      <c r="AO215" s="487">
        <f t="shared" si="91"/>
        <v>-9.6585555129669154E-2</v>
      </c>
      <c r="AP215" s="487">
        <f t="shared" si="92"/>
        <v>2.0871625016340989E-3</v>
      </c>
      <c r="AQ215" s="486">
        <f t="shared" si="93"/>
        <v>0.13032200640554392</v>
      </c>
      <c r="AR215" s="486">
        <f t="shared" si="94"/>
        <v>-0.37639534718829237</v>
      </c>
      <c r="AS215" s="472">
        <f t="shared" si="95"/>
        <v>0.14067277574437198</v>
      </c>
      <c r="AT215" s="472">
        <f t="shared" si="96"/>
        <v>0.1353016823034614</v>
      </c>
      <c r="AU215" s="472">
        <f t="shared" si="97"/>
        <v>-0.42622324159021407</v>
      </c>
      <c r="AV215" s="472">
        <f t="shared" si="98"/>
        <v>-0.57936881771078663</v>
      </c>
      <c r="AW215" s="472">
        <f t="shared" si="99"/>
        <v>-2.4490121823242283E-2</v>
      </c>
      <c r="AX215" s="472">
        <f t="shared" si="100"/>
        <v>-0.5188378308474868</v>
      </c>
      <c r="AY215" s="472">
        <f t="shared" si="101"/>
        <v>0.69744834063869754</v>
      </c>
      <c r="AZ215" s="472">
        <f t="shared" si="102"/>
        <v>-0.4149963713929441</v>
      </c>
      <c r="BA215" s="472">
        <f t="shared" si="103"/>
        <v>0.23039909425417493</v>
      </c>
      <c r="BB215" s="472">
        <f t="shared" si="104"/>
        <v>0.92584341183959262</v>
      </c>
      <c r="BC215" s="472">
        <f t="shared" si="105"/>
        <v>0.38941852849137626</v>
      </c>
      <c r="BD215" s="472">
        <f t="shared" si="81"/>
        <v>1</v>
      </c>
      <c r="BE215" s="472">
        <f t="shared" si="82"/>
        <v>1</v>
      </c>
    </row>
    <row r="216" spans="1:57" x14ac:dyDescent="0.35">
      <c r="A216" s="19">
        <v>45872</v>
      </c>
      <c r="B216" s="17">
        <v>54307415</v>
      </c>
      <c r="C216" s="17">
        <v>49204889</v>
      </c>
      <c r="D216" s="17">
        <v>3585173.9310344825</v>
      </c>
      <c r="E216" s="17">
        <v>3648817</v>
      </c>
      <c r="F216" s="484">
        <f t="shared" si="83"/>
        <v>2777152.9310344825</v>
      </c>
      <c r="G216" s="484">
        <f t="shared" si="84"/>
        <v>3109897</v>
      </c>
      <c r="H216" s="484">
        <f t="shared" si="85"/>
        <v>808021</v>
      </c>
      <c r="I216" s="484">
        <f t="shared" si="86"/>
        <v>538920</v>
      </c>
      <c r="J216" s="19">
        <v>46236</v>
      </c>
      <c r="K216" s="17">
        <v>4071434.6100753602</v>
      </c>
      <c r="L216" s="17">
        <v>2977267.21201998</v>
      </c>
      <c r="M216" s="17">
        <v>1094167.39805538</v>
      </c>
      <c r="N216" s="17">
        <v>2587395</v>
      </c>
      <c r="O216" s="17">
        <v>2980176</v>
      </c>
      <c r="P216" s="17">
        <v>45812.931034482703</v>
      </c>
      <c r="Q216" s="17">
        <v>54927</v>
      </c>
      <c r="R216" s="17">
        <v>9328</v>
      </c>
      <c r="S216" s="17">
        <v>0</v>
      </c>
      <c r="T216" s="17">
        <v>2300</v>
      </c>
      <c r="U216" s="17">
        <v>2470</v>
      </c>
      <c r="V216" s="17">
        <v>132317</v>
      </c>
      <c r="W216" s="17">
        <v>72324</v>
      </c>
      <c r="X216" s="17">
        <v>692254</v>
      </c>
      <c r="Y216" s="17">
        <v>378023</v>
      </c>
      <c r="Z216" s="17">
        <v>69290</v>
      </c>
      <c r="AA216" s="17">
        <v>109603</v>
      </c>
      <c r="AB216" s="17">
        <v>36198</v>
      </c>
      <c r="AC216" s="17">
        <v>27620</v>
      </c>
      <c r="AD216" s="17">
        <v>10279</v>
      </c>
      <c r="AE216" s="17">
        <v>16588</v>
      </c>
      <c r="AF216" s="17">
        <v>0</v>
      </c>
      <c r="AG216" s="17">
        <v>6225</v>
      </c>
      <c r="AH216" s="17">
        <v>0</v>
      </c>
      <c r="AI216" s="17">
        <v>861</v>
      </c>
      <c r="AJ216" s="54">
        <f t="shared" si="87"/>
        <v>761544</v>
      </c>
      <c r="AK216" s="54">
        <f t="shared" si="88"/>
        <v>487626</v>
      </c>
      <c r="AL216" s="54">
        <f t="shared" si="89"/>
        <v>46477</v>
      </c>
      <c r="AM216" s="54">
        <f t="shared" si="90"/>
        <v>44208</v>
      </c>
      <c r="AN216" s="19">
        <v>46236</v>
      </c>
      <c r="AO216" s="487">
        <f t="shared" si="91"/>
        <v>-9.3956340952704109E-2</v>
      </c>
      <c r="AP216" s="487">
        <f t="shared" si="92"/>
        <v>1.7751738183356069E-2</v>
      </c>
      <c r="AQ216" s="486">
        <f t="shared" si="93"/>
        <v>0.1198148165508377</v>
      </c>
      <c r="AR216" s="486">
        <f t="shared" si="94"/>
        <v>-0.33303713641105859</v>
      </c>
      <c r="AS216" s="472">
        <f t="shared" si="95"/>
        <v>0.15180558051631077</v>
      </c>
      <c r="AT216" s="472">
        <f t="shared" si="96"/>
        <v>0.19894097058879012</v>
      </c>
      <c r="AU216" s="472">
        <f t="shared" si="97"/>
        <v>-1</v>
      </c>
      <c r="AV216" s="472">
        <f t="shared" si="98"/>
        <v>7.3913043478260887E-2</v>
      </c>
      <c r="AW216" s="472">
        <f t="shared" si="99"/>
        <v>-0.45340356870243426</v>
      </c>
      <c r="AX216" s="472">
        <f t="shared" si="100"/>
        <v>-0.45392442658330612</v>
      </c>
      <c r="AY216" s="472">
        <f t="shared" si="101"/>
        <v>0.58180112570356468</v>
      </c>
      <c r="AZ216" s="472">
        <f t="shared" si="102"/>
        <v>-0.35968768711985122</v>
      </c>
      <c r="BA216" s="472">
        <f t="shared" si="103"/>
        <v>-0.23697441847615885</v>
      </c>
      <c r="BB216" s="472">
        <f t="shared" si="104"/>
        <v>0.61377565911080834</v>
      </c>
      <c r="BC216" s="472">
        <f t="shared" si="105"/>
        <v>-4.8819846375626641E-2</v>
      </c>
      <c r="BD216" s="472">
        <f t="shared" si="81"/>
        <v>1</v>
      </c>
      <c r="BE216" s="472">
        <f t="shared" si="82"/>
        <v>1</v>
      </c>
    </row>
    <row r="217" spans="1:57" x14ac:dyDescent="0.35">
      <c r="A217" s="16">
        <v>45873</v>
      </c>
      <c r="B217" s="17">
        <v>34014104</v>
      </c>
      <c r="C217" s="17">
        <v>31269737</v>
      </c>
      <c r="D217" s="17">
        <v>4860602.7931034481</v>
      </c>
      <c r="E217" s="17">
        <v>5004023</v>
      </c>
      <c r="F217" s="484">
        <f t="shared" si="83"/>
        <v>4015649.7931034481</v>
      </c>
      <c r="G217" s="484">
        <f t="shared" si="84"/>
        <v>4389706</v>
      </c>
      <c r="H217" s="484">
        <f t="shared" si="85"/>
        <v>844953</v>
      </c>
      <c r="I217" s="484">
        <f t="shared" si="86"/>
        <v>614317</v>
      </c>
      <c r="J217" s="19">
        <v>46237</v>
      </c>
      <c r="K217" s="17">
        <v>4751209.9008082803</v>
      </c>
      <c r="L217" s="17">
        <v>3611456.3673758898</v>
      </c>
      <c r="M217" s="17">
        <v>1139753.5334323901</v>
      </c>
      <c r="N217" s="17">
        <v>3838217</v>
      </c>
      <c r="O217" s="17">
        <v>4221939</v>
      </c>
      <c r="P217" s="17">
        <v>45938.793103448297</v>
      </c>
      <c r="Q217" s="17">
        <v>46928</v>
      </c>
      <c r="R217" s="17">
        <v>56057</v>
      </c>
      <c r="S217" s="17">
        <v>52670</v>
      </c>
      <c r="T217" s="17">
        <v>1839</v>
      </c>
      <c r="U217" s="17">
        <v>2247</v>
      </c>
      <c r="V217" s="17">
        <v>73598</v>
      </c>
      <c r="W217" s="17">
        <v>65922</v>
      </c>
      <c r="X217" s="17">
        <v>691486</v>
      </c>
      <c r="Y217" s="17">
        <v>437544</v>
      </c>
      <c r="Z217" s="17">
        <v>97155</v>
      </c>
      <c r="AA217" s="17">
        <v>118991</v>
      </c>
      <c r="AB217" s="17">
        <v>44478</v>
      </c>
      <c r="AC217" s="17">
        <v>35120</v>
      </c>
      <c r="AD217" s="17">
        <v>11834</v>
      </c>
      <c r="AE217" s="17">
        <v>9760</v>
      </c>
      <c r="AF217" s="17">
        <v>0</v>
      </c>
      <c r="AG217" s="17">
        <v>11524</v>
      </c>
      <c r="AH217" s="17">
        <v>0</v>
      </c>
      <c r="AI217" s="17">
        <v>1378</v>
      </c>
      <c r="AJ217" s="54">
        <f t="shared" si="87"/>
        <v>788641</v>
      </c>
      <c r="AK217" s="54">
        <f t="shared" si="88"/>
        <v>556535</v>
      </c>
      <c r="AL217" s="54">
        <f t="shared" si="89"/>
        <v>56312</v>
      </c>
      <c r="AM217" s="54">
        <f t="shared" si="90"/>
        <v>44880</v>
      </c>
      <c r="AN217" s="19">
        <v>46237</v>
      </c>
      <c r="AO217" s="487">
        <f t="shared" si="91"/>
        <v>-8.0683207177822514E-2</v>
      </c>
      <c r="AP217" s="487">
        <f t="shared" si="92"/>
        <v>2.9506670880419694E-2</v>
      </c>
      <c r="AQ217" s="486">
        <f t="shared" si="93"/>
        <v>9.3149608698189557E-2</v>
      </c>
      <c r="AR217" s="486">
        <f t="shared" si="94"/>
        <v>-0.27295719406878249</v>
      </c>
      <c r="AS217" s="472">
        <f t="shared" si="95"/>
        <v>9.9974024397265771E-2</v>
      </c>
      <c r="AT217" s="472">
        <f t="shared" si="96"/>
        <v>2.1533149430463583E-2</v>
      </c>
      <c r="AU217" s="472">
        <f t="shared" si="97"/>
        <v>-6.0420643273810581E-2</v>
      </c>
      <c r="AV217" s="472">
        <f t="shared" si="98"/>
        <v>0.22185970636215324</v>
      </c>
      <c r="AW217" s="472">
        <f t="shared" si="99"/>
        <v>-0.10429631239979342</v>
      </c>
      <c r="AX217" s="472">
        <f t="shared" si="100"/>
        <v>-0.367240985356175</v>
      </c>
      <c r="AY217" s="472">
        <f t="shared" si="101"/>
        <v>0.22475425865884402</v>
      </c>
      <c r="AZ217" s="472">
        <f t="shared" si="102"/>
        <v>-0.2943113533280669</v>
      </c>
      <c r="BA217" s="472">
        <f t="shared" si="103"/>
        <v>-0.21039615090606589</v>
      </c>
      <c r="BB217" s="472">
        <f t="shared" si="104"/>
        <v>-0.17525773195876293</v>
      </c>
      <c r="BC217" s="472">
        <f t="shared" si="105"/>
        <v>-0.2030117914476488</v>
      </c>
      <c r="BD217" s="472">
        <f t="shared" si="81"/>
        <v>1</v>
      </c>
      <c r="BE217" s="472">
        <f t="shared" si="82"/>
        <v>1</v>
      </c>
    </row>
    <row r="218" spans="1:57" x14ac:dyDescent="0.35">
      <c r="A218" s="19">
        <v>45874</v>
      </c>
      <c r="B218" s="17">
        <v>36175205</v>
      </c>
      <c r="C218" s="17">
        <v>34390488</v>
      </c>
      <c r="D218" s="17">
        <v>4811715.7931034481</v>
      </c>
      <c r="E218" s="17">
        <v>5073364</v>
      </c>
      <c r="F218" s="484">
        <f t="shared" si="83"/>
        <v>3969752.7931034481</v>
      </c>
      <c r="G218" s="484">
        <f t="shared" si="84"/>
        <v>4518511</v>
      </c>
      <c r="H218" s="484">
        <f t="shared" si="85"/>
        <v>841963</v>
      </c>
      <c r="I218" s="484">
        <f t="shared" si="86"/>
        <v>554853</v>
      </c>
      <c r="J218" s="19">
        <v>46238</v>
      </c>
      <c r="K218" s="17">
        <v>6413866.4549796497</v>
      </c>
      <c r="L218" s="17">
        <v>5222018.5112575199</v>
      </c>
      <c r="M218" s="17">
        <v>1191847.94372213</v>
      </c>
      <c r="N218" s="17">
        <v>3763555</v>
      </c>
      <c r="O218" s="17">
        <v>4338817</v>
      </c>
      <c r="P218" s="17">
        <v>44913.793103448297</v>
      </c>
      <c r="Q218" s="17">
        <v>52837</v>
      </c>
      <c r="R218" s="17">
        <v>51008</v>
      </c>
      <c r="S218" s="17">
        <v>38712</v>
      </c>
      <c r="T218" s="17">
        <v>6626</v>
      </c>
      <c r="U218" s="17">
        <v>7853</v>
      </c>
      <c r="V218" s="17">
        <v>103650</v>
      </c>
      <c r="W218" s="17">
        <v>80292</v>
      </c>
      <c r="X218" s="17">
        <v>708997</v>
      </c>
      <c r="Y218" s="17">
        <v>401548</v>
      </c>
      <c r="Z218" s="17">
        <v>83531</v>
      </c>
      <c r="AA218" s="17">
        <v>100971</v>
      </c>
      <c r="AB218" s="17">
        <v>38553</v>
      </c>
      <c r="AC218" s="17">
        <v>28918</v>
      </c>
      <c r="AD218" s="17">
        <v>10882</v>
      </c>
      <c r="AE218" s="17">
        <v>15532</v>
      </c>
      <c r="AF218" s="17">
        <v>0</v>
      </c>
      <c r="AG218" s="17">
        <v>6075</v>
      </c>
      <c r="AH218" s="17">
        <v>0</v>
      </c>
      <c r="AI218" s="17">
        <v>1809</v>
      </c>
      <c r="AJ218" s="54">
        <f t="shared" si="87"/>
        <v>792528</v>
      </c>
      <c r="AK218" s="54">
        <f t="shared" si="88"/>
        <v>502519</v>
      </c>
      <c r="AL218" s="54">
        <f t="shared" si="89"/>
        <v>49435</v>
      </c>
      <c r="AM218" s="54">
        <f t="shared" si="90"/>
        <v>44450</v>
      </c>
      <c r="AN218" s="19">
        <v>46238</v>
      </c>
      <c r="AO218" s="487">
        <f t="shared" si="91"/>
        <v>-4.9335366586035878E-2</v>
      </c>
      <c r="AP218" s="487">
        <f t="shared" si="92"/>
        <v>5.4377319473350338E-2</v>
      </c>
      <c r="AQ218" s="486">
        <f t="shared" si="93"/>
        <v>0.13823485629883447</v>
      </c>
      <c r="AR218" s="486">
        <f t="shared" si="94"/>
        <v>-0.34100073281129928</v>
      </c>
      <c r="AS218" s="472">
        <f t="shared" si="95"/>
        <v>0.1528506956853295</v>
      </c>
      <c r="AT218" s="472">
        <f t="shared" si="96"/>
        <v>0.17640921305182289</v>
      </c>
      <c r="AU218" s="472">
        <f t="shared" si="97"/>
        <v>-0.24106022584692599</v>
      </c>
      <c r="AV218" s="472">
        <f t="shared" si="98"/>
        <v>0.18517959553274976</v>
      </c>
      <c r="AW218" s="472">
        <f t="shared" si="99"/>
        <v>-0.22535455861070908</v>
      </c>
      <c r="AX218" s="472">
        <f t="shared" si="100"/>
        <v>-0.43363935249373409</v>
      </c>
      <c r="AY218" s="472">
        <f t="shared" si="101"/>
        <v>0.20878476254324752</v>
      </c>
      <c r="AZ218" s="472">
        <f t="shared" si="102"/>
        <v>-0.3659290271132376</v>
      </c>
      <c r="BA218" s="472">
        <f t="shared" si="103"/>
        <v>-0.2499157004642959</v>
      </c>
      <c r="BB218" s="472">
        <f t="shared" si="104"/>
        <v>0.42731115603749315</v>
      </c>
      <c r="BC218" s="472">
        <f t="shared" si="105"/>
        <v>-0.10083948619399208</v>
      </c>
      <c r="BD218" s="472">
        <f t="shared" ref="BD218:BD245" si="106">IFERROR(AG218/AF218-1,1)</f>
        <v>1</v>
      </c>
      <c r="BE218" s="472">
        <f t="shared" ref="BE218:BE245" si="107">IFERROR(AI218/AH218-1,1)</f>
        <v>1</v>
      </c>
    </row>
    <row r="219" spans="1:57" x14ac:dyDescent="0.35">
      <c r="A219" s="16">
        <v>45875</v>
      </c>
      <c r="B219" s="17">
        <v>37816388</v>
      </c>
      <c r="C219" s="17">
        <v>37626260</v>
      </c>
      <c r="D219" s="17">
        <v>4851603.7586206896</v>
      </c>
      <c r="E219" s="17">
        <v>4679632</v>
      </c>
      <c r="F219" s="484">
        <f t="shared" si="83"/>
        <v>3980027.7586206896</v>
      </c>
      <c r="G219" s="484">
        <f t="shared" si="84"/>
        <v>4143872</v>
      </c>
      <c r="H219" s="484">
        <f t="shared" si="85"/>
        <v>871576</v>
      </c>
      <c r="I219" s="484">
        <f t="shared" si="86"/>
        <v>535760</v>
      </c>
      <c r="J219" s="19">
        <v>46239</v>
      </c>
      <c r="K219" s="17">
        <v>6349963.68176034</v>
      </c>
      <c r="L219" s="17">
        <v>5162333.2807319798</v>
      </c>
      <c r="M219" s="17">
        <v>1187630.40102836</v>
      </c>
      <c r="N219" s="17">
        <v>3783964</v>
      </c>
      <c r="O219" s="17">
        <v>3961812</v>
      </c>
      <c r="P219" s="17">
        <v>41382.758620689601</v>
      </c>
      <c r="Q219" s="17">
        <v>50879</v>
      </c>
      <c r="R219" s="17">
        <v>54972</v>
      </c>
      <c r="S219" s="17">
        <v>36417</v>
      </c>
      <c r="T219" s="17">
        <v>5869</v>
      </c>
      <c r="U219" s="17">
        <v>15109</v>
      </c>
      <c r="V219" s="17">
        <v>93840</v>
      </c>
      <c r="W219" s="17">
        <v>79655</v>
      </c>
      <c r="X219" s="17">
        <v>761176</v>
      </c>
      <c r="Y219" s="17">
        <v>395590</v>
      </c>
      <c r="Z219" s="17">
        <v>70344</v>
      </c>
      <c r="AA219" s="17">
        <v>91725</v>
      </c>
      <c r="AB219" s="17">
        <v>37254</v>
      </c>
      <c r="AC219" s="17">
        <v>30739</v>
      </c>
      <c r="AD219" s="17">
        <v>2802</v>
      </c>
      <c r="AE219" s="17">
        <v>8694</v>
      </c>
      <c r="AF219" s="17">
        <v>0</v>
      </c>
      <c r="AG219" s="17">
        <v>8108</v>
      </c>
      <c r="AH219" s="17">
        <v>0</v>
      </c>
      <c r="AI219" s="17">
        <v>904</v>
      </c>
      <c r="AJ219" s="54">
        <f t="shared" si="87"/>
        <v>831520</v>
      </c>
      <c r="AK219" s="54">
        <f t="shared" si="88"/>
        <v>487315</v>
      </c>
      <c r="AL219" s="54">
        <f t="shared" si="89"/>
        <v>40056</v>
      </c>
      <c r="AM219" s="54">
        <f t="shared" si="90"/>
        <v>39433</v>
      </c>
      <c r="AN219" s="19">
        <v>46239</v>
      </c>
      <c r="AO219" s="487">
        <f t="shared" si="91"/>
        <v>-5.027661552446494E-3</v>
      </c>
      <c r="AP219" s="487">
        <f t="shared" si="92"/>
        <v>-3.5446373442002077E-2</v>
      </c>
      <c r="AQ219" s="486">
        <f t="shared" si="93"/>
        <v>4.1166607701271785E-2</v>
      </c>
      <c r="AR219" s="486">
        <f t="shared" si="94"/>
        <v>-0.38529743820389728</v>
      </c>
      <c r="AS219" s="472">
        <f t="shared" si="95"/>
        <v>4.7000447150131519E-2</v>
      </c>
      <c r="AT219" s="472">
        <f t="shared" si="96"/>
        <v>0.22947337721856664</v>
      </c>
      <c r="AU219" s="472">
        <f t="shared" si="97"/>
        <v>-0.33753547260423489</v>
      </c>
      <c r="AV219" s="472">
        <f t="shared" si="98"/>
        <v>1.5743738285909012</v>
      </c>
      <c r="AW219" s="472">
        <f t="shared" si="99"/>
        <v>-0.15116155157715261</v>
      </c>
      <c r="AX219" s="472">
        <f t="shared" si="100"/>
        <v>-0.48029102336384755</v>
      </c>
      <c r="AY219" s="472">
        <f t="shared" si="101"/>
        <v>0.30394916410781314</v>
      </c>
      <c r="AZ219" s="472">
        <f t="shared" si="102"/>
        <v>-0.41394674812391763</v>
      </c>
      <c r="BA219" s="472">
        <f t="shared" si="103"/>
        <v>-0.1748805497396253</v>
      </c>
      <c r="BB219" s="472">
        <f t="shared" si="104"/>
        <v>2.1027837259100641</v>
      </c>
      <c r="BC219" s="472">
        <f t="shared" si="105"/>
        <v>-1.555322548432192E-2</v>
      </c>
      <c r="BD219" s="472">
        <f t="shared" si="106"/>
        <v>1</v>
      </c>
      <c r="BE219" s="472">
        <f t="shared" si="107"/>
        <v>1</v>
      </c>
    </row>
    <row r="220" spans="1:57" x14ac:dyDescent="0.35">
      <c r="A220" s="19">
        <v>45876</v>
      </c>
      <c r="B220" s="17">
        <v>42821886</v>
      </c>
      <c r="C220" s="17">
        <v>42043061</v>
      </c>
      <c r="D220" s="17">
        <v>4267874.9655172415</v>
      </c>
      <c r="E220" s="17">
        <v>4383793</v>
      </c>
      <c r="F220" s="484">
        <f t="shared" si="83"/>
        <v>3395745.9655172415</v>
      </c>
      <c r="G220" s="484">
        <f t="shared" si="84"/>
        <v>3726687</v>
      </c>
      <c r="H220" s="484">
        <f t="shared" si="85"/>
        <v>872129</v>
      </c>
      <c r="I220" s="484">
        <f t="shared" si="86"/>
        <v>657106</v>
      </c>
      <c r="J220" s="19">
        <v>46240</v>
      </c>
      <c r="K220" s="17">
        <v>6405096.0189463003</v>
      </c>
      <c r="L220" s="17">
        <v>5175695.0186568704</v>
      </c>
      <c r="M220" s="17">
        <v>1229401.0002894299</v>
      </c>
      <c r="N220" s="17">
        <v>3146416</v>
      </c>
      <c r="O220" s="17">
        <v>3534572</v>
      </c>
      <c r="P220" s="17">
        <v>39518.965517241399</v>
      </c>
      <c r="Q220" s="17">
        <v>51525</v>
      </c>
      <c r="R220" s="17">
        <v>64553</v>
      </c>
      <c r="S220" s="17">
        <v>41165</v>
      </c>
      <c r="T220" s="17">
        <v>11511</v>
      </c>
      <c r="U220" s="17">
        <v>14122</v>
      </c>
      <c r="V220" s="17">
        <v>133747</v>
      </c>
      <c r="W220" s="17">
        <v>85303</v>
      </c>
      <c r="X220" s="17">
        <v>769223</v>
      </c>
      <c r="Y220" s="17">
        <v>451607</v>
      </c>
      <c r="Z220" s="17">
        <v>62096</v>
      </c>
      <c r="AA220" s="17">
        <v>155591</v>
      </c>
      <c r="AB220" s="17">
        <v>32591</v>
      </c>
      <c r="AC220" s="17">
        <v>25766</v>
      </c>
      <c r="AD220" s="17">
        <v>8219</v>
      </c>
      <c r="AE220" s="17">
        <v>15513</v>
      </c>
      <c r="AF220" s="17">
        <v>0</v>
      </c>
      <c r="AG220" s="17">
        <v>6476</v>
      </c>
      <c r="AH220" s="17">
        <v>0</v>
      </c>
      <c r="AI220" s="17">
        <v>2153</v>
      </c>
      <c r="AJ220" s="54">
        <f t="shared" si="87"/>
        <v>831319</v>
      </c>
      <c r="AK220" s="54">
        <f t="shared" si="88"/>
        <v>607198</v>
      </c>
      <c r="AL220" s="54">
        <f t="shared" si="89"/>
        <v>40810</v>
      </c>
      <c r="AM220" s="54">
        <f t="shared" si="90"/>
        <v>41279</v>
      </c>
      <c r="AN220" s="19">
        <v>46240</v>
      </c>
      <c r="AO220" s="487">
        <f t="shared" si="91"/>
        <v>-1.8187545499513957E-2</v>
      </c>
      <c r="AP220" s="487">
        <f t="shared" si="92"/>
        <v>2.7160597585292656E-2</v>
      </c>
      <c r="AQ220" s="486">
        <f t="shared" si="93"/>
        <v>9.7457535941546602E-2</v>
      </c>
      <c r="AR220" s="486">
        <f t="shared" si="94"/>
        <v>-0.24654953567648819</v>
      </c>
      <c r="AS220" s="472">
        <f t="shared" si="95"/>
        <v>0.1233644883575471</v>
      </c>
      <c r="AT220" s="472">
        <f t="shared" si="96"/>
        <v>0.30380437153701778</v>
      </c>
      <c r="AU220" s="472">
        <f t="shared" si="97"/>
        <v>-0.36230694158288534</v>
      </c>
      <c r="AV220" s="472">
        <f t="shared" si="98"/>
        <v>0.22682651376943785</v>
      </c>
      <c r="AW220" s="472">
        <f t="shared" si="99"/>
        <v>-0.36220625509357218</v>
      </c>
      <c r="AX220" s="472">
        <f t="shared" si="100"/>
        <v>-0.41290497034020046</v>
      </c>
      <c r="AY220" s="472">
        <f t="shared" si="101"/>
        <v>1.5056525380056685</v>
      </c>
      <c r="AZ220" s="472">
        <f t="shared" si="102"/>
        <v>-0.26959686955308371</v>
      </c>
      <c r="BA220" s="472">
        <f t="shared" si="103"/>
        <v>-0.20941364180295174</v>
      </c>
      <c r="BB220" s="472">
        <f t="shared" si="104"/>
        <v>0.88745589487772225</v>
      </c>
      <c r="BC220" s="472">
        <f t="shared" si="105"/>
        <v>1.1492281303602025E-2</v>
      </c>
      <c r="BD220" s="472">
        <f t="shared" si="106"/>
        <v>1</v>
      </c>
      <c r="BE220" s="472">
        <f t="shared" si="107"/>
        <v>1</v>
      </c>
    </row>
    <row r="221" spans="1:57" x14ac:dyDescent="0.35">
      <c r="A221" s="16">
        <v>45877</v>
      </c>
      <c r="B221" s="17">
        <v>44195500</v>
      </c>
      <c r="C221" s="17">
        <v>42322930</v>
      </c>
      <c r="D221" s="17">
        <v>3766393.7241379311</v>
      </c>
      <c r="E221" s="17">
        <v>3765736</v>
      </c>
      <c r="F221" s="484">
        <f t="shared" si="83"/>
        <v>2905718.7241379311</v>
      </c>
      <c r="G221" s="484">
        <f t="shared" si="84"/>
        <v>3168745</v>
      </c>
      <c r="H221" s="484">
        <f t="shared" si="85"/>
        <v>860675</v>
      </c>
      <c r="I221" s="484">
        <f t="shared" si="86"/>
        <v>596991</v>
      </c>
      <c r="J221" s="19">
        <v>46241</v>
      </c>
      <c r="K221" s="17">
        <v>5646066.1847261796</v>
      </c>
      <c r="L221" s="17">
        <v>4415885.1506208098</v>
      </c>
      <c r="M221" s="17">
        <v>1230181.0341053701</v>
      </c>
      <c r="N221" s="17">
        <v>2760929</v>
      </c>
      <c r="O221" s="17">
        <v>3007032</v>
      </c>
      <c r="P221" s="17">
        <v>36501.724137931</v>
      </c>
      <c r="Q221" s="17">
        <v>49458</v>
      </c>
      <c r="R221" s="17">
        <v>22813</v>
      </c>
      <c r="S221" s="17">
        <v>15410</v>
      </c>
      <c r="T221" s="17">
        <v>1010</v>
      </c>
      <c r="U221" s="17">
        <v>753</v>
      </c>
      <c r="V221" s="17">
        <v>84465</v>
      </c>
      <c r="W221" s="17">
        <v>96092</v>
      </c>
      <c r="X221" s="17">
        <v>765638</v>
      </c>
      <c r="Y221" s="17">
        <v>376897</v>
      </c>
      <c r="Z221" s="17">
        <v>51057</v>
      </c>
      <c r="AA221" s="17">
        <v>182901</v>
      </c>
      <c r="AB221" s="17">
        <v>38417</v>
      </c>
      <c r="AC221" s="17">
        <v>15451</v>
      </c>
      <c r="AD221" s="17">
        <v>5563</v>
      </c>
      <c r="AE221" s="17">
        <v>10998</v>
      </c>
      <c r="AF221" s="17">
        <v>0</v>
      </c>
      <c r="AG221" s="17">
        <v>6179</v>
      </c>
      <c r="AH221" s="17">
        <v>0</v>
      </c>
      <c r="AI221" s="17">
        <v>4565</v>
      </c>
      <c r="AJ221" s="54">
        <f t="shared" si="87"/>
        <v>816695</v>
      </c>
      <c r="AK221" s="54">
        <f t="shared" si="88"/>
        <v>559798</v>
      </c>
      <c r="AL221" s="54">
        <f t="shared" si="89"/>
        <v>43980</v>
      </c>
      <c r="AM221" s="54">
        <f t="shared" si="90"/>
        <v>26449</v>
      </c>
      <c r="AN221" s="19">
        <v>46241</v>
      </c>
      <c r="AO221" s="487">
        <f t="shared" si="91"/>
        <v>-4.2370150807208851E-2</v>
      </c>
      <c r="AP221" s="487">
        <f t="shared" si="92"/>
        <v>-1.746296818933013E-4</v>
      </c>
      <c r="AQ221" s="486">
        <f t="shared" si="93"/>
        <v>9.0520212323752514E-2</v>
      </c>
      <c r="AR221" s="486">
        <f t="shared" si="94"/>
        <v>-0.3063688384117117</v>
      </c>
      <c r="AS221" s="472">
        <f t="shared" si="95"/>
        <v>8.9137750373153413E-2</v>
      </c>
      <c r="AT221" s="472">
        <f t="shared" si="96"/>
        <v>0.35494969533796361</v>
      </c>
      <c r="AU221" s="472">
        <f t="shared" si="97"/>
        <v>-0.3245079559900057</v>
      </c>
      <c r="AV221" s="472">
        <f t="shared" si="98"/>
        <v>-0.25445544554455446</v>
      </c>
      <c r="AW221" s="472">
        <f t="shared" si="99"/>
        <v>0.13765464985496956</v>
      </c>
      <c r="AX221" s="472">
        <f t="shared" si="100"/>
        <v>-0.50773472581036994</v>
      </c>
      <c r="AY221" s="472">
        <f t="shared" si="101"/>
        <v>2.5822903813385039</v>
      </c>
      <c r="AZ221" s="472">
        <f t="shared" si="102"/>
        <v>-0.31455684190548494</v>
      </c>
      <c r="BA221" s="472">
        <f t="shared" si="103"/>
        <v>-0.59780826196735815</v>
      </c>
      <c r="BB221" s="472">
        <f t="shared" si="104"/>
        <v>0.97699083228473849</v>
      </c>
      <c r="BC221" s="472">
        <f t="shared" si="105"/>
        <v>-0.39861300591177806</v>
      </c>
      <c r="BD221" s="472">
        <f t="shared" si="106"/>
        <v>1</v>
      </c>
      <c r="BE221" s="472">
        <f t="shared" si="107"/>
        <v>1</v>
      </c>
    </row>
    <row r="222" spans="1:57" x14ac:dyDescent="0.35">
      <c r="A222" s="19">
        <v>45878</v>
      </c>
      <c r="B222" s="17">
        <v>52547670</v>
      </c>
      <c r="C222" s="17">
        <v>54566301</v>
      </c>
      <c r="D222" s="17">
        <v>2958518.7241379311</v>
      </c>
      <c r="E222" s="17">
        <v>3971532</v>
      </c>
      <c r="F222" s="484">
        <f t="shared" si="83"/>
        <v>2318383.7241379311</v>
      </c>
      <c r="G222" s="484">
        <f t="shared" si="84"/>
        <v>3288882</v>
      </c>
      <c r="H222" s="484">
        <f t="shared" si="85"/>
        <v>640135</v>
      </c>
      <c r="I222" s="484">
        <f t="shared" si="86"/>
        <v>682650</v>
      </c>
      <c r="J222" s="19">
        <v>46242</v>
      </c>
      <c r="K222" s="17">
        <v>4992670.0877949502</v>
      </c>
      <c r="L222" s="17">
        <v>3778645.48647033</v>
      </c>
      <c r="M222" s="17">
        <v>1214024.60132462</v>
      </c>
      <c r="N222" s="17">
        <v>2172261</v>
      </c>
      <c r="O222" s="17">
        <v>3117315</v>
      </c>
      <c r="P222" s="17">
        <v>36326.724137931</v>
      </c>
      <c r="Q222" s="17">
        <v>49755</v>
      </c>
      <c r="R222" s="17">
        <v>7009</v>
      </c>
      <c r="S222" s="17">
        <v>-2143</v>
      </c>
      <c r="T222" s="17">
        <v>11103</v>
      </c>
      <c r="U222" s="17">
        <v>16358</v>
      </c>
      <c r="V222" s="17">
        <v>91684</v>
      </c>
      <c r="W222" s="17">
        <v>107597</v>
      </c>
      <c r="X222" s="17">
        <v>517547</v>
      </c>
      <c r="Y222" s="17">
        <v>405849</v>
      </c>
      <c r="Z222" s="17">
        <v>91885</v>
      </c>
      <c r="AA222" s="17">
        <v>220499</v>
      </c>
      <c r="AB222" s="17">
        <v>25396</v>
      </c>
      <c r="AC222" s="17">
        <v>32535</v>
      </c>
      <c r="AD222" s="17">
        <v>5307</v>
      </c>
      <c r="AE222" s="17">
        <v>11591</v>
      </c>
      <c r="AF222" s="17">
        <v>0</v>
      </c>
      <c r="AG222" s="17">
        <v>10109</v>
      </c>
      <c r="AH222" s="17">
        <v>0</v>
      </c>
      <c r="AI222" s="17">
        <v>2067</v>
      </c>
      <c r="AJ222" s="54">
        <f t="shared" si="87"/>
        <v>609432</v>
      </c>
      <c r="AK222" s="54">
        <f t="shared" si="88"/>
        <v>626348</v>
      </c>
      <c r="AL222" s="54">
        <f t="shared" si="89"/>
        <v>30703</v>
      </c>
      <c r="AM222" s="54">
        <f t="shared" si="90"/>
        <v>44126</v>
      </c>
      <c r="AN222" s="19">
        <v>46242</v>
      </c>
      <c r="AO222" s="487">
        <f t="shared" si="91"/>
        <v>3.8415233253919823E-2</v>
      </c>
      <c r="AP222" s="487">
        <f t="shared" si="92"/>
        <v>0.34240556518946685</v>
      </c>
      <c r="AQ222" s="486">
        <f t="shared" si="93"/>
        <v>0.41860985554621233</v>
      </c>
      <c r="AR222" s="486">
        <f t="shared" si="94"/>
        <v>6.6415677942933904E-2</v>
      </c>
      <c r="AS222" s="472">
        <f t="shared" si="95"/>
        <v>0.43505545604326556</v>
      </c>
      <c r="AT222" s="472">
        <f t="shared" si="96"/>
        <v>0.36965281568143649</v>
      </c>
      <c r="AU222" s="472">
        <f t="shared" si="97"/>
        <v>-1.3057497503210158</v>
      </c>
      <c r="AV222" s="472">
        <f t="shared" si="98"/>
        <v>0.473295505719175</v>
      </c>
      <c r="AW222" s="472">
        <f t="shared" si="99"/>
        <v>0.17356354434797794</v>
      </c>
      <c r="AX222" s="472">
        <f t="shared" si="100"/>
        <v>-0.21582194467362381</v>
      </c>
      <c r="AY222" s="472">
        <f t="shared" si="101"/>
        <v>1.3997279207705282</v>
      </c>
      <c r="AZ222" s="472">
        <f t="shared" si="102"/>
        <v>2.7756993397130447E-2</v>
      </c>
      <c r="BA222" s="472">
        <f t="shared" si="103"/>
        <v>0.28110726098598215</v>
      </c>
      <c r="BB222" s="472">
        <f t="shared" si="104"/>
        <v>1.1840964763519879</v>
      </c>
      <c r="BC222" s="472">
        <f t="shared" si="105"/>
        <v>0.43718854835032417</v>
      </c>
      <c r="BD222" s="472">
        <f t="shared" si="106"/>
        <v>1</v>
      </c>
      <c r="BE222" s="472">
        <f t="shared" si="107"/>
        <v>1</v>
      </c>
    </row>
    <row r="223" spans="1:57" x14ac:dyDescent="0.35">
      <c r="A223" s="16">
        <v>45879</v>
      </c>
      <c r="B223" s="17">
        <v>53492448</v>
      </c>
      <c r="C223" s="17">
        <v>56796162</v>
      </c>
      <c r="D223" s="17">
        <v>3499537.5172413792</v>
      </c>
      <c r="E223" s="17">
        <v>4425979</v>
      </c>
      <c r="F223" s="484">
        <f t="shared" si="83"/>
        <v>2727740.5172413792</v>
      </c>
      <c r="G223" s="484">
        <f t="shared" si="84"/>
        <v>3734536</v>
      </c>
      <c r="H223" s="484">
        <f t="shared" si="85"/>
        <v>771797</v>
      </c>
      <c r="I223" s="484">
        <f t="shared" si="86"/>
        <v>691443</v>
      </c>
      <c r="J223" s="19">
        <v>46243</v>
      </c>
      <c r="K223" s="17">
        <v>3917807.2143991757</v>
      </c>
      <c r="L223" s="17">
        <v>3014865.1768484898</v>
      </c>
      <c r="M223" s="17">
        <v>902942.03755068604</v>
      </c>
      <c r="N223" s="17">
        <v>2525352</v>
      </c>
      <c r="O223" s="17">
        <v>3596880</v>
      </c>
      <c r="P223" s="17">
        <v>36340.517241379297</v>
      </c>
      <c r="Q223" s="17">
        <v>57414</v>
      </c>
      <c r="R223" s="17">
        <v>7272</v>
      </c>
      <c r="S223" s="17">
        <v>14662</v>
      </c>
      <c r="T223" s="17">
        <v>5023</v>
      </c>
      <c r="U223" s="17">
        <v>6852</v>
      </c>
      <c r="V223" s="17">
        <v>153753</v>
      </c>
      <c r="W223" s="17">
        <v>58728</v>
      </c>
      <c r="X223" s="17">
        <v>597616</v>
      </c>
      <c r="Y223" s="17">
        <v>433070</v>
      </c>
      <c r="Z223" s="17">
        <v>139394</v>
      </c>
      <c r="AA223" s="17">
        <v>212540</v>
      </c>
      <c r="AB223" s="17">
        <v>29128</v>
      </c>
      <c r="AC223" s="17">
        <v>26298</v>
      </c>
      <c r="AD223" s="17">
        <v>5659</v>
      </c>
      <c r="AE223" s="17">
        <v>11364</v>
      </c>
      <c r="AF223" s="17">
        <v>0</v>
      </c>
      <c r="AG223" s="17">
        <v>5631</v>
      </c>
      <c r="AH223" s="17">
        <v>0</v>
      </c>
      <c r="AI223" s="17">
        <v>2540</v>
      </c>
      <c r="AJ223" s="54">
        <f t="shared" si="87"/>
        <v>737010</v>
      </c>
      <c r="AK223" s="54">
        <f t="shared" si="88"/>
        <v>645610</v>
      </c>
      <c r="AL223" s="54">
        <f t="shared" si="89"/>
        <v>34787</v>
      </c>
      <c r="AM223" s="54">
        <f t="shared" si="90"/>
        <v>37662</v>
      </c>
      <c r="AN223" s="19">
        <v>46243</v>
      </c>
      <c r="AO223" s="487">
        <f t="shared" si="91"/>
        <v>6.1760381577601331E-2</v>
      </c>
      <c r="AP223" s="487">
        <f t="shared" si="92"/>
        <v>0.26473254771359533</v>
      </c>
      <c r="AQ223" s="486">
        <f t="shared" si="93"/>
        <v>0.36909503539464739</v>
      </c>
      <c r="AR223" s="486">
        <f t="shared" si="94"/>
        <v>-0.10411286905753714</v>
      </c>
      <c r="AS223" s="472">
        <f t="shared" si="95"/>
        <v>0.42430837364454543</v>
      </c>
      <c r="AT223" s="472">
        <f t="shared" si="96"/>
        <v>0.57988945558059601</v>
      </c>
      <c r="AU223" s="472">
        <f t="shared" si="97"/>
        <v>1.0162266226622663</v>
      </c>
      <c r="AV223" s="472">
        <f t="shared" si="98"/>
        <v>0.36412502488552656</v>
      </c>
      <c r="AW223" s="472">
        <f t="shared" si="99"/>
        <v>-0.61803672123470754</v>
      </c>
      <c r="AX223" s="472">
        <f t="shared" si="100"/>
        <v>-0.27533734036571977</v>
      </c>
      <c r="AY223" s="472">
        <f t="shared" si="101"/>
        <v>0.52474281532921063</v>
      </c>
      <c r="AZ223" s="472">
        <f t="shared" si="102"/>
        <v>-0.12401459953053551</v>
      </c>
      <c r="BA223" s="472">
        <f t="shared" si="103"/>
        <v>-9.715737434770666E-2</v>
      </c>
      <c r="BB223" s="472">
        <f t="shared" si="104"/>
        <v>1.0081286446368618</v>
      </c>
      <c r="BC223" s="472">
        <f t="shared" si="105"/>
        <v>8.2645815965734393E-2</v>
      </c>
      <c r="BD223" s="472">
        <f t="shared" si="106"/>
        <v>1</v>
      </c>
      <c r="BE223" s="472">
        <f t="shared" si="107"/>
        <v>1</v>
      </c>
    </row>
    <row r="224" spans="1:57" x14ac:dyDescent="0.35">
      <c r="A224" s="19">
        <v>45880</v>
      </c>
      <c r="B224" s="17">
        <v>33293539</v>
      </c>
      <c r="C224" s="17">
        <v>34686047</v>
      </c>
      <c r="D224" s="17">
        <v>5333277.6896551717</v>
      </c>
      <c r="E224" s="17">
        <v>5541361</v>
      </c>
      <c r="F224" s="484">
        <f t="shared" si="83"/>
        <v>4229279.6896551717</v>
      </c>
      <c r="G224" s="484">
        <f t="shared" si="84"/>
        <v>4782896</v>
      </c>
      <c r="H224" s="484">
        <f t="shared" si="85"/>
        <v>1103998</v>
      </c>
      <c r="I224" s="484">
        <f t="shared" si="86"/>
        <v>758465</v>
      </c>
      <c r="J224" s="19">
        <v>46244</v>
      </c>
      <c r="K224" s="17">
        <v>4635857.42575958</v>
      </c>
      <c r="L224" s="17">
        <v>3547199.63364462</v>
      </c>
      <c r="M224" s="17">
        <v>1088657.79211496</v>
      </c>
      <c r="N224" s="17">
        <v>3999839</v>
      </c>
      <c r="O224" s="17">
        <v>4582140</v>
      </c>
      <c r="P224" s="17">
        <v>32970.689655172398</v>
      </c>
      <c r="Q224" s="17">
        <v>47910</v>
      </c>
      <c r="R224" s="17">
        <v>56378</v>
      </c>
      <c r="S224" s="17">
        <v>22732</v>
      </c>
      <c r="T224" s="17">
        <v>5019</v>
      </c>
      <c r="U224" s="17">
        <v>9417</v>
      </c>
      <c r="V224" s="17">
        <v>135073</v>
      </c>
      <c r="W224" s="17">
        <v>120697</v>
      </c>
      <c r="X224" s="17">
        <v>700812</v>
      </c>
      <c r="Y224" s="17">
        <v>489155</v>
      </c>
      <c r="Z224" s="17">
        <v>356162</v>
      </c>
      <c r="AA224" s="17">
        <v>205946</v>
      </c>
      <c r="AB224" s="17">
        <v>39654</v>
      </c>
      <c r="AC224" s="17">
        <v>44324</v>
      </c>
      <c r="AD224" s="17">
        <v>7370</v>
      </c>
      <c r="AE224" s="17">
        <v>9798</v>
      </c>
      <c r="AF224" s="17">
        <v>0</v>
      </c>
      <c r="AG224" s="17">
        <v>7778</v>
      </c>
      <c r="AH224" s="17">
        <v>0</v>
      </c>
      <c r="AI224" s="17">
        <v>1464</v>
      </c>
      <c r="AJ224" s="54">
        <f t="shared" si="87"/>
        <v>1056974</v>
      </c>
      <c r="AK224" s="54">
        <f t="shared" si="88"/>
        <v>695101</v>
      </c>
      <c r="AL224" s="54">
        <f t="shared" si="89"/>
        <v>47024</v>
      </c>
      <c r="AM224" s="54">
        <f t="shared" si="90"/>
        <v>54122</v>
      </c>
      <c r="AN224" s="19">
        <v>46244</v>
      </c>
      <c r="AO224" s="487">
        <f t="shared" si="91"/>
        <v>4.1825172145262268E-2</v>
      </c>
      <c r="AP224" s="487">
        <f t="shared" si="92"/>
        <v>3.9016027751272331E-2</v>
      </c>
      <c r="AQ224" s="486">
        <f t="shared" si="93"/>
        <v>0.13090085096499404</v>
      </c>
      <c r="AR224" s="486">
        <f t="shared" si="94"/>
        <v>-0.31298335685390732</v>
      </c>
      <c r="AS224" s="472">
        <f t="shared" si="95"/>
        <v>0.14558110963966309</v>
      </c>
      <c r="AT224" s="472">
        <f t="shared" si="96"/>
        <v>0.4531088218375785</v>
      </c>
      <c r="AU224" s="472">
        <f t="shared" si="97"/>
        <v>-0.59679307531306536</v>
      </c>
      <c r="AV224" s="472">
        <f t="shared" si="98"/>
        <v>0.87627017334130297</v>
      </c>
      <c r="AW224" s="472">
        <f t="shared" si="99"/>
        <v>-0.10643133712881181</v>
      </c>
      <c r="AX224" s="472">
        <f t="shared" si="100"/>
        <v>-0.30201680336523917</v>
      </c>
      <c r="AY224" s="472">
        <f t="shared" si="101"/>
        <v>-0.42176313026094869</v>
      </c>
      <c r="AZ224" s="472">
        <f t="shared" si="102"/>
        <v>-0.3423669834830374</v>
      </c>
      <c r="BA224" s="472">
        <f t="shared" si="103"/>
        <v>0.11776869924849942</v>
      </c>
      <c r="BB224" s="472">
        <f t="shared" si="104"/>
        <v>0.3294436906377205</v>
      </c>
      <c r="BC224" s="472">
        <f t="shared" si="105"/>
        <v>0.15094419870704323</v>
      </c>
      <c r="BD224" s="472">
        <f t="shared" si="106"/>
        <v>1</v>
      </c>
      <c r="BE224" s="472">
        <f t="shared" si="107"/>
        <v>1</v>
      </c>
    </row>
    <row r="225" spans="1:57" x14ac:dyDescent="0.35">
      <c r="A225" s="16">
        <v>45881</v>
      </c>
      <c r="B225" s="17">
        <v>36360304</v>
      </c>
      <c r="C225" s="17">
        <v>39106187</v>
      </c>
      <c r="D225" s="17">
        <v>5661373.8620689651</v>
      </c>
      <c r="E225" s="17">
        <v>5653542</v>
      </c>
      <c r="F225" s="484">
        <f t="shared" si="83"/>
        <v>4443392.8620689651</v>
      </c>
      <c r="G225" s="484">
        <f t="shared" si="84"/>
        <v>4981795</v>
      </c>
      <c r="H225" s="484">
        <f t="shared" si="85"/>
        <v>1217981</v>
      </c>
      <c r="I225" s="484">
        <f t="shared" si="86"/>
        <v>671747</v>
      </c>
      <c r="J225" s="19">
        <v>46245</v>
      </c>
      <c r="K225" s="17">
        <v>7057070.1327542793</v>
      </c>
      <c r="L225" s="17">
        <v>5499826.4207687099</v>
      </c>
      <c r="M225" s="17">
        <v>1557243.7119855699</v>
      </c>
      <c r="N225" s="17">
        <v>4225069</v>
      </c>
      <c r="O225" s="17">
        <v>4741330</v>
      </c>
      <c r="P225" s="17">
        <v>32825.8620689655</v>
      </c>
      <c r="Q225" s="17">
        <v>54809</v>
      </c>
      <c r="R225" s="17">
        <v>72043</v>
      </c>
      <c r="S225" s="17">
        <v>44133</v>
      </c>
      <c r="T225" s="17">
        <v>15704</v>
      </c>
      <c r="U225" s="17">
        <v>4828</v>
      </c>
      <c r="V225" s="17">
        <v>97751</v>
      </c>
      <c r="W225" s="17">
        <v>136695</v>
      </c>
      <c r="X225" s="17">
        <v>651028</v>
      </c>
      <c r="Y225" s="17">
        <v>425261</v>
      </c>
      <c r="Z225" s="17">
        <v>527190</v>
      </c>
      <c r="AA225" s="17">
        <v>184068</v>
      </c>
      <c r="AB225" s="17">
        <v>34217</v>
      </c>
      <c r="AC225" s="17">
        <v>28255</v>
      </c>
      <c r="AD225" s="17">
        <v>5546</v>
      </c>
      <c r="AE225" s="17">
        <v>12530</v>
      </c>
      <c r="AF225" s="17">
        <v>0</v>
      </c>
      <c r="AG225" s="17">
        <v>14828</v>
      </c>
      <c r="AH225" s="17">
        <v>0</v>
      </c>
      <c r="AI225" s="17">
        <v>6805</v>
      </c>
      <c r="AJ225" s="54">
        <f t="shared" si="87"/>
        <v>1178218</v>
      </c>
      <c r="AK225" s="54">
        <f t="shared" si="88"/>
        <v>609329</v>
      </c>
      <c r="AL225" s="54">
        <f t="shared" si="89"/>
        <v>39763</v>
      </c>
      <c r="AM225" s="54">
        <f t="shared" si="90"/>
        <v>40785</v>
      </c>
      <c r="AN225" s="19">
        <v>46245</v>
      </c>
      <c r="AO225" s="487">
        <f t="shared" si="91"/>
        <v>7.5518703033945922E-2</v>
      </c>
      <c r="AP225" s="487">
        <f t="shared" si="92"/>
        <v>-1.3833854219447161E-3</v>
      </c>
      <c r="AQ225" s="486">
        <f t="shared" si="93"/>
        <v>0.12116915038665743</v>
      </c>
      <c r="AR225" s="486">
        <f t="shared" si="94"/>
        <v>-0.44847497621063059</v>
      </c>
      <c r="AS225" s="472">
        <f t="shared" si="95"/>
        <v>0.12218995713442782</v>
      </c>
      <c r="AT225" s="472">
        <f t="shared" si="96"/>
        <v>0.66968958453700389</v>
      </c>
      <c r="AU225" s="472">
        <f t="shared" si="97"/>
        <v>-0.38740752050858518</v>
      </c>
      <c r="AV225" s="472">
        <f t="shared" si="98"/>
        <v>-0.69256240448293427</v>
      </c>
      <c r="AW225" s="472">
        <f t="shared" si="99"/>
        <v>0.39840001636811895</v>
      </c>
      <c r="AX225" s="472">
        <f t="shared" si="100"/>
        <v>-0.34678539171894296</v>
      </c>
      <c r="AY225" s="472">
        <f t="shared" si="101"/>
        <v>-0.65085073692596596</v>
      </c>
      <c r="AZ225" s="472">
        <f t="shared" si="102"/>
        <v>-0.48283848999081669</v>
      </c>
      <c r="BA225" s="472">
        <f t="shared" si="103"/>
        <v>-0.17424087441914837</v>
      </c>
      <c r="BB225" s="472">
        <f t="shared" si="104"/>
        <v>1.2592859718716194</v>
      </c>
      <c r="BC225" s="472">
        <f t="shared" si="105"/>
        <v>2.5702286044815503E-2</v>
      </c>
      <c r="BD225" s="472">
        <f t="shared" si="106"/>
        <v>1</v>
      </c>
      <c r="BE225" s="472">
        <f t="shared" si="107"/>
        <v>1</v>
      </c>
    </row>
    <row r="226" spans="1:57" x14ac:dyDescent="0.35">
      <c r="A226" s="19">
        <v>45882</v>
      </c>
      <c r="B226" s="17">
        <v>39197019</v>
      </c>
      <c r="C226" s="17">
        <v>41672796</v>
      </c>
      <c r="D226" s="17">
        <v>5613852.4482758623</v>
      </c>
      <c r="E226" s="17">
        <v>5470808</v>
      </c>
      <c r="F226" s="484">
        <f t="shared" si="83"/>
        <v>4348155.4482758623</v>
      </c>
      <c r="G226" s="484">
        <f t="shared" si="84"/>
        <v>4746046</v>
      </c>
      <c r="H226" s="484">
        <f t="shared" si="85"/>
        <v>1265697</v>
      </c>
      <c r="I226" s="484">
        <f t="shared" si="86"/>
        <v>724762</v>
      </c>
      <c r="J226" s="19">
        <v>46246</v>
      </c>
      <c r="K226" s="17">
        <v>7496285.1541164294</v>
      </c>
      <c r="L226" s="17">
        <v>5778262.7903368799</v>
      </c>
      <c r="M226" s="17">
        <v>1718022.36377955</v>
      </c>
      <c r="N226" s="17">
        <v>4089143</v>
      </c>
      <c r="O226" s="17">
        <v>4494722</v>
      </c>
      <c r="P226" s="17">
        <v>34528.448275862</v>
      </c>
      <c r="Q226" s="17">
        <v>58059</v>
      </c>
      <c r="R226" s="17">
        <v>43939</v>
      </c>
      <c r="S226" s="17">
        <v>50719</v>
      </c>
      <c r="T226" s="17">
        <v>4540</v>
      </c>
      <c r="U226" s="17">
        <v>6868</v>
      </c>
      <c r="V226" s="17">
        <v>176005</v>
      </c>
      <c r="W226" s="17">
        <v>135678</v>
      </c>
      <c r="X226" s="17">
        <v>668270</v>
      </c>
      <c r="Y226" s="17">
        <v>452304</v>
      </c>
      <c r="Z226" s="17">
        <v>554038</v>
      </c>
      <c r="AA226" s="17">
        <v>214357</v>
      </c>
      <c r="AB226" s="17">
        <v>35960</v>
      </c>
      <c r="AC226" s="17">
        <v>33975</v>
      </c>
      <c r="AD226" s="17">
        <v>7429</v>
      </c>
      <c r="AE226" s="17">
        <v>9612</v>
      </c>
      <c r="AF226" s="17">
        <v>0</v>
      </c>
      <c r="AG226" s="17">
        <v>10923</v>
      </c>
      <c r="AH226" s="17">
        <v>0</v>
      </c>
      <c r="AI226" s="17">
        <v>3591</v>
      </c>
      <c r="AJ226" s="54">
        <f t="shared" si="87"/>
        <v>1222308</v>
      </c>
      <c r="AK226" s="54">
        <f t="shared" si="88"/>
        <v>666661</v>
      </c>
      <c r="AL226" s="54">
        <f t="shared" si="89"/>
        <v>43389</v>
      </c>
      <c r="AM226" s="54">
        <f t="shared" si="90"/>
        <v>43587</v>
      </c>
      <c r="AN226" s="19">
        <v>46246</v>
      </c>
      <c r="AO226" s="487">
        <f t="shared" si="91"/>
        <v>6.316237977178818E-2</v>
      </c>
      <c r="AP226" s="487">
        <f t="shared" si="92"/>
        <v>-2.548062130129447E-2</v>
      </c>
      <c r="AQ226" s="486">
        <f t="shared" si="93"/>
        <v>9.1507894889523822E-2</v>
      </c>
      <c r="AR226" s="486">
        <f t="shared" si="94"/>
        <v>-0.42738111886178132</v>
      </c>
      <c r="AS226" s="472">
        <f t="shared" si="95"/>
        <v>9.9184352320278446E-2</v>
      </c>
      <c r="AT226" s="472">
        <f t="shared" si="96"/>
        <v>0.6814830349786567</v>
      </c>
      <c r="AU226" s="472">
        <f t="shared" si="97"/>
        <v>0.15430483169849118</v>
      </c>
      <c r="AV226" s="472">
        <f t="shared" si="98"/>
        <v>0.51277533039647571</v>
      </c>
      <c r="AW226" s="472">
        <f t="shared" si="99"/>
        <v>-0.22912417260873275</v>
      </c>
      <c r="AX226" s="472">
        <f t="shared" si="100"/>
        <v>-0.32317177188860791</v>
      </c>
      <c r="AY226" s="472">
        <f t="shared" si="101"/>
        <v>-0.61310054544995107</v>
      </c>
      <c r="AZ226" s="472">
        <f t="shared" si="102"/>
        <v>-0.45458836888901977</v>
      </c>
      <c r="BA226" s="472">
        <f t="shared" si="103"/>
        <v>-5.5200222469410476E-2</v>
      </c>
      <c r="BB226" s="472">
        <f t="shared" si="104"/>
        <v>0.2938484318212411</v>
      </c>
      <c r="BC226" s="472">
        <f t="shared" si="105"/>
        <v>4.5633685957269243E-3</v>
      </c>
      <c r="BD226" s="472">
        <f t="shared" si="106"/>
        <v>1</v>
      </c>
      <c r="BE226" s="472">
        <f t="shared" si="107"/>
        <v>1</v>
      </c>
    </row>
    <row r="227" spans="1:57" hidden="1" x14ac:dyDescent="0.35">
      <c r="A227" s="16">
        <v>45883</v>
      </c>
      <c r="B227" s="17">
        <v>44165103</v>
      </c>
      <c r="C227" s="17">
        <v>0</v>
      </c>
      <c r="D227" s="17">
        <v>4652571.6551724132</v>
      </c>
      <c r="E227" s="17">
        <v>0</v>
      </c>
      <c r="F227" s="484">
        <f t="shared" si="83"/>
        <v>3355277.6551724137</v>
      </c>
      <c r="G227" s="484">
        <f t="shared" si="84"/>
        <v>0</v>
      </c>
      <c r="H227" s="484">
        <f t="shared" si="85"/>
        <v>1297294</v>
      </c>
      <c r="I227" s="484">
        <f t="shared" si="86"/>
        <v>0</v>
      </c>
      <c r="J227" s="19">
        <v>46247</v>
      </c>
      <c r="K227" s="17">
        <v>7439742.5948454794</v>
      </c>
      <c r="L227" s="17">
        <v>5654414.4560906999</v>
      </c>
      <c r="M227" s="17">
        <v>1785328.1387547799</v>
      </c>
      <c r="N227" s="17">
        <v>3070125</v>
      </c>
      <c r="O227" s="17">
        <v>0</v>
      </c>
      <c r="P227" s="17">
        <v>38764.655172413797</v>
      </c>
      <c r="Q227" s="17">
        <v>0</v>
      </c>
      <c r="R227" s="17">
        <v>46072</v>
      </c>
      <c r="S227" s="17">
        <v>0</v>
      </c>
      <c r="T227" s="17">
        <v>4716</v>
      </c>
      <c r="U227" s="17">
        <v>0</v>
      </c>
      <c r="V227" s="17">
        <v>195600</v>
      </c>
      <c r="W227" s="17">
        <v>0</v>
      </c>
      <c r="X227" s="17">
        <v>651924</v>
      </c>
      <c r="Y227" s="17">
        <v>0</v>
      </c>
      <c r="Z227" s="17">
        <v>601203</v>
      </c>
      <c r="AA227" s="17">
        <v>0</v>
      </c>
      <c r="AB227" s="17">
        <v>40376</v>
      </c>
      <c r="AC227" s="17">
        <v>0</v>
      </c>
      <c r="AD227" s="17">
        <v>3791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54">
        <f t="shared" si="87"/>
        <v>1253127</v>
      </c>
      <c r="AK227" s="54">
        <f t="shared" si="88"/>
        <v>0</v>
      </c>
      <c r="AL227" s="54">
        <f t="shared" si="89"/>
        <v>44167</v>
      </c>
      <c r="AM227" s="54">
        <f t="shared" si="90"/>
        <v>0</v>
      </c>
      <c r="AN227" s="19">
        <v>46247</v>
      </c>
      <c r="AO227" s="487">
        <f t="shared" si="91"/>
        <v>-1</v>
      </c>
      <c r="AP227" s="487">
        <f t="shared" si="92"/>
        <v>-1</v>
      </c>
      <c r="AQ227" s="486">
        <f t="shared" si="93"/>
        <v>-1</v>
      </c>
      <c r="AR227" s="486">
        <f t="shared" si="94"/>
        <v>-1</v>
      </c>
      <c r="AS227" s="472">
        <f t="shared" si="95"/>
        <v>-1</v>
      </c>
      <c r="AT227" s="472">
        <f t="shared" si="96"/>
        <v>-1</v>
      </c>
      <c r="AU227" s="472">
        <f t="shared" si="97"/>
        <v>-1</v>
      </c>
      <c r="AV227" s="472">
        <f t="shared" si="98"/>
        <v>-1</v>
      </c>
      <c r="AW227" s="472">
        <f t="shared" si="99"/>
        <v>-1</v>
      </c>
      <c r="AX227" s="472">
        <f t="shared" si="100"/>
        <v>-1</v>
      </c>
      <c r="AY227" s="472">
        <f t="shared" si="101"/>
        <v>-1</v>
      </c>
      <c r="AZ227" s="472">
        <f t="shared" si="102"/>
        <v>-1</v>
      </c>
      <c r="BA227" s="472">
        <f t="shared" si="103"/>
        <v>-1</v>
      </c>
      <c r="BB227" s="472">
        <f t="shared" si="104"/>
        <v>-1</v>
      </c>
      <c r="BC227" s="472">
        <f t="shared" si="105"/>
        <v>-1</v>
      </c>
      <c r="BD227" s="472">
        <f t="shared" si="106"/>
        <v>1</v>
      </c>
      <c r="BE227" s="472">
        <f t="shared" si="107"/>
        <v>1</v>
      </c>
    </row>
    <row r="228" spans="1:57" hidden="1" x14ac:dyDescent="0.35">
      <c r="A228" s="19">
        <v>45884</v>
      </c>
      <c r="B228" s="17">
        <v>44038774</v>
      </c>
      <c r="C228" s="17">
        <v>0</v>
      </c>
      <c r="D228" s="17">
        <v>3229228.931034483</v>
      </c>
      <c r="E228" s="17">
        <v>0</v>
      </c>
      <c r="F228" s="484">
        <f t="shared" si="83"/>
        <v>2253969.931034483</v>
      </c>
      <c r="G228" s="484">
        <f t="shared" si="84"/>
        <v>0</v>
      </c>
      <c r="H228" s="484">
        <f t="shared" si="85"/>
        <v>975259</v>
      </c>
      <c r="I228" s="484">
        <f t="shared" si="86"/>
        <v>0</v>
      </c>
      <c r="J228" s="19">
        <v>46248</v>
      </c>
      <c r="K228" s="17">
        <v>6193156.7474197801</v>
      </c>
      <c r="L228" s="17">
        <v>4363259.4794024397</v>
      </c>
      <c r="M228" s="17">
        <v>1829897.26801734</v>
      </c>
      <c r="N228" s="17">
        <v>2011046</v>
      </c>
      <c r="O228" s="17">
        <v>0</v>
      </c>
      <c r="P228" s="17">
        <v>34462.931034482703</v>
      </c>
      <c r="Q228" s="17">
        <v>0</v>
      </c>
      <c r="R228" s="17">
        <v>24847</v>
      </c>
      <c r="S228" s="17">
        <v>0</v>
      </c>
      <c r="T228" s="17">
        <v>5456</v>
      </c>
      <c r="U228" s="17">
        <v>0</v>
      </c>
      <c r="V228" s="17">
        <v>178158</v>
      </c>
      <c r="W228" s="17">
        <v>0</v>
      </c>
      <c r="X228" s="17">
        <v>507359</v>
      </c>
      <c r="Y228" s="17">
        <v>0</v>
      </c>
      <c r="Z228" s="17">
        <v>433481</v>
      </c>
      <c r="AA228" s="17">
        <v>0</v>
      </c>
      <c r="AB228" s="17">
        <v>26228</v>
      </c>
      <c r="AC228" s="17">
        <v>0</v>
      </c>
      <c r="AD228" s="17">
        <v>8191</v>
      </c>
      <c r="AE228" s="17">
        <v>0</v>
      </c>
      <c r="AF228" s="17">
        <v>0</v>
      </c>
      <c r="AG228" s="17">
        <v>0</v>
      </c>
      <c r="AH228" s="17">
        <v>0</v>
      </c>
      <c r="AI228" s="17">
        <v>0</v>
      </c>
      <c r="AJ228" s="54">
        <f t="shared" si="87"/>
        <v>940840</v>
      </c>
      <c r="AK228" s="54">
        <f t="shared" si="88"/>
        <v>0</v>
      </c>
      <c r="AL228" s="54">
        <f t="shared" si="89"/>
        <v>34419</v>
      </c>
      <c r="AM228" s="54">
        <f t="shared" si="90"/>
        <v>0</v>
      </c>
      <c r="AN228" s="19">
        <v>46248</v>
      </c>
      <c r="AO228" s="487">
        <f t="shared" si="91"/>
        <v>-1</v>
      </c>
      <c r="AP228" s="487">
        <f t="shared" si="92"/>
        <v>-1</v>
      </c>
      <c r="AQ228" s="486">
        <f t="shared" si="93"/>
        <v>-1</v>
      </c>
      <c r="AR228" s="486">
        <f t="shared" si="94"/>
        <v>-1</v>
      </c>
      <c r="AS228" s="472">
        <f t="shared" si="95"/>
        <v>-1</v>
      </c>
      <c r="AT228" s="472">
        <f t="shared" si="96"/>
        <v>-1</v>
      </c>
      <c r="AU228" s="472">
        <f t="shared" si="97"/>
        <v>-1</v>
      </c>
      <c r="AV228" s="472">
        <f t="shared" si="98"/>
        <v>-1</v>
      </c>
      <c r="AW228" s="472">
        <f t="shared" si="99"/>
        <v>-1</v>
      </c>
      <c r="AX228" s="472">
        <f t="shared" si="100"/>
        <v>-1</v>
      </c>
      <c r="AY228" s="472">
        <f t="shared" si="101"/>
        <v>-1</v>
      </c>
      <c r="AZ228" s="472">
        <f t="shared" si="102"/>
        <v>-1</v>
      </c>
      <c r="BA228" s="472">
        <f t="shared" si="103"/>
        <v>-1</v>
      </c>
      <c r="BB228" s="472">
        <f t="shared" si="104"/>
        <v>-1</v>
      </c>
      <c r="BC228" s="472">
        <f t="shared" si="105"/>
        <v>-1</v>
      </c>
      <c r="BD228" s="472">
        <f t="shared" si="106"/>
        <v>1</v>
      </c>
      <c r="BE228" s="472">
        <f t="shared" si="107"/>
        <v>1</v>
      </c>
    </row>
    <row r="229" spans="1:57" hidden="1" x14ac:dyDescent="0.35">
      <c r="A229" s="16">
        <v>45885</v>
      </c>
      <c r="B229" s="17">
        <v>60948845</v>
      </c>
      <c r="C229" s="17">
        <v>0</v>
      </c>
      <c r="D229" s="17">
        <v>4888870.137931034</v>
      </c>
      <c r="E229" s="17">
        <v>0</v>
      </c>
      <c r="F229" s="484">
        <f t="shared" si="83"/>
        <v>3653170.1379310344</v>
      </c>
      <c r="G229" s="484">
        <f t="shared" si="84"/>
        <v>0</v>
      </c>
      <c r="H229" s="484">
        <f t="shared" si="85"/>
        <v>1235700</v>
      </c>
      <c r="I229" s="484">
        <f t="shared" si="86"/>
        <v>0</v>
      </c>
      <c r="J229" s="19">
        <v>46249</v>
      </c>
      <c r="K229" s="17">
        <v>4306751.3905300098</v>
      </c>
      <c r="L229" s="17">
        <v>2931100.39722447</v>
      </c>
      <c r="M229" s="17">
        <v>1375650.9933055399</v>
      </c>
      <c r="N229" s="17">
        <v>3412516</v>
      </c>
      <c r="O229" s="17">
        <v>0</v>
      </c>
      <c r="P229" s="17">
        <v>47499.1379310345</v>
      </c>
      <c r="Q229" s="17">
        <v>0</v>
      </c>
      <c r="R229" s="17">
        <v>28829</v>
      </c>
      <c r="S229" s="17">
        <v>0</v>
      </c>
      <c r="T229" s="17">
        <v>2060</v>
      </c>
      <c r="U229" s="17">
        <v>0</v>
      </c>
      <c r="V229" s="17">
        <v>162266</v>
      </c>
      <c r="W229" s="17">
        <v>0</v>
      </c>
      <c r="X229" s="17">
        <v>782613</v>
      </c>
      <c r="Y229" s="17">
        <v>0</v>
      </c>
      <c r="Z229" s="17">
        <v>397386</v>
      </c>
      <c r="AA229" s="17">
        <v>0</v>
      </c>
      <c r="AB229" s="17">
        <v>46230</v>
      </c>
      <c r="AC229" s="17">
        <v>0</v>
      </c>
      <c r="AD229" s="17">
        <v>9471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54">
        <f t="shared" si="87"/>
        <v>1179999</v>
      </c>
      <c r="AK229" s="54">
        <f t="shared" si="88"/>
        <v>0</v>
      </c>
      <c r="AL229" s="54">
        <f t="shared" si="89"/>
        <v>55701</v>
      </c>
      <c r="AM229" s="54">
        <f t="shared" si="90"/>
        <v>0</v>
      </c>
      <c r="AN229" s="19">
        <v>46249</v>
      </c>
      <c r="AO229" s="487">
        <f t="shared" si="91"/>
        <v>-1</v>
      </c>
      <c r="AP229" s="487">
        <f t="shared" si="92"/>
        <v>-1</v>
      </c>
      <c r="AQ229" s="486">
        <f t="shared" si="93"/>
        <v>-1</v>
      </c>
      <c r="AR229" s="486">
        <f t="shared" si="94"/>
        <v>-1</v>
      </c>
      <c r="AS229" s="472">
        <f t="shared" si="95"/>
        <v>-1</v>
      </c>
      <c r="AT229" s="472">
        <f t="shared" si="96"/>
        <v>-1</v>
      </c>
      <c r="AU229" s="472">
        <f t="shared" si="97"/>
        <v>-1</v>
      </c>
      <c r="AV229" s="472">
        <f t="shared" si="98"/>
        <v>-1</v>
      </c>
      <c r="AW229" s="472">
        <f t="shared" si="99"/>
        <v>-1</v>
      </c>
      <c r="AX229" s="472">
        <f t="shared" si="100"/>
        <v>-1</v>
      </c>
      <c r="AY229" s="472">
        <f t="shared" si="101"/>
        <v>-1</v>
      </c>
      <c r="AZ229" s="472">
        <f t="shared" si="102"/>
        <v>-1</v>
      </c>
      <c r="BA229" s="472">
        <f t="shared" si="103"/>
        <v>-1</v>
      </c>
      <c r="BB229" s="472">
        <f t="shared" si="104"/>
        <v>-1</v>
      </c>
      <c r="BC229" s="472">
        <f t="shared" si="105"/>
        <v>-1</v>
      </c>
      <c r="BD229" s="472">
        <f t="shared" si="106"/>
        <v>1</v>
      </c>
      <c r="BE229" s="472">
        <f t="shared" si="107"/>
        <v>1</v>
      </c>
    </row>
    <row r="230" spans="1:57" hidden="1" x14ac:dyDescent="0.35">
      <c r="A230" s="19">
        <v>45886</v>
      </c>
      <c r="B230" s="17">
        <v>62131899</v>
      </c>
      <c r="C230" s="17">
        <v>0</v>
      </c>
      <c r="D230" s="17">
        <v>3941924.6551724137</v>
      </c>
      <c r="E230" s="17">
        <v>0</v>
      </c>
      <c r="F230" s="484">
        <f t="shared" si="83"/>
        <v>2969254.6551724137</v>
      </c>
      <c r="G230" s="484">
        <f t="shared" si="84"/>
        <v>0</v>
      </c>
      <c r="H230" s="484">
        <f t="shared" si="85"/>
        <v>972670</v>
      </c>
      <c r="I230" s="484">
        <f t="shared" si="86"/>
        <v>0</v>
      </c>
      <c r="J230" s="19">
        <v>46250</v>
      </c>
      <c r="K230" s="17">
        <v>6493659.7613584399</v>
      </c>
      <c r="L230" s="17">
        <v>4750643.8728327602</v>
      </c>
      <c r="M230" s="17">
        <v>1743015.8885256799</v>
      </c>
      <c r="N230" s="17">
        <v>2730517</v>
      </c>
      <c r="O230" s="17">
        <v>0</v>
      </c>
      <c r="P230" s="17">
        <v>40964.655172413797</v>
      </c>
      <c r="Q230" s="17">
        <v>0</v>
      </c>
      <c r="R230" s="17">
        <v>3525</v>
      </c>
      <c r="S230" s="17">
        <v>0</v>
      </c>
      <c r="T230" s="17">
        <v>11086</v>
      </c>
      <c r="U230" s="17">
        <v>0</v>
      </c>
      <c r="V230" s="17">
        <v>183162</v>
      </c>
      <c r="W230" s="17">
        <v>0</v>
      </c>
      <c r="X230" s="17">
        <v>524015</v>
      </c>
      <c r="Y230" s="17">
        <v>0</v>
      </c>
      <c r="Z230" s="17">
        <v>403338</v>
      </c>
      <c r="AA230" s="17">
        <v>0</v>
      </c>
      <c r="AB230" s="17">
        <v>35960</v>
      </c>
      <c r="AC230" s="17">
        <v>0</v>
      </c>
      <c r="AD230" s="17">
        <v>7429</v>
      </c>
      <c r="AE230" s="17">
        <v>0</v>
      </c>
      <c r="AF230" s="17">
        <v>1928</v>
      </c>
      <c r="AG230" s="17">
        <v>0</v>
      </c>
      <c r="AH230" s="17">
        <v>0</v>
      </c>
      <c r="AI230" s="17">
        <v>0</v>
      </c>
      <c r="AJ230" s="54">
        <f t="shared" si="87"/>
        <v>927353</v>
      </c>
      <c r="AK230" s="54">
        <f t="shared" si="88"/>
        <v>0</v>
      </c>
      <c r="AL230" s="54">
        <f t="shared" si="89"/>
        <v>43389</v>
      </c>
      <c r="AM230" s="54">
        <f t="shared" si="90"/>
        <v>0</v>
      </c>
      <c r="AN230" s="19">
        <v>46250</v>
      </c>
      <c r="AO230" s="487">
        <f t="shared" si="91"/>
        <v>-1</v>
      </c>
      <c r="AP230" s="487">
        <f t="shared" si="92"/>
        <v>-1</v>
      </c>
      <c r="AQ230" s="486">
        <f t="shared" si="93"/>
        <v>-1</v>
      </c>
      <c r="AR230" s="486">
        <f t="shared" si="94"/>
        <v>-1</v>
      </c>
      <c r="AS230" s="472">
        <f t="shared" si="95"/>
        <v>-1</v>
      </c>
      <c r="AT230" s="472">
        <f t="shared" si="96"/>
        <v>-1</v>
      </c>
      <c r="AU230" s="472">
        <f t="shared" si="97"/>
        <v>-1</v>
      </c>
      <c r="AV230" s="472">
        <f t="shared" si="98"/>
        <v>-1</v>
      </c>
      <c r="AW230" s="472">
        <f t="shared" si="99"/>
        <v>-1</v>
      </c>
      <c r="AX230" s="472">
        <f t="shared" si="100"/>
        <v>-1</v>
      </c>
      <c r="AY230" s="472">
        <f t="shared" si="101"/>
        <v>-1</v>
      </c>
      <c r="AZ230" s="472">
        <f t="shared" si="102"/>
        <v>-1</v>
      </c>
      <c r="BA230" s="472">
        <f t="shared" si="103"/>
        <v>-1</v>
      </c>
      <c r="BB230" s="472">
        <f t="shared" si="104"/>
        <v>-1</v>
      </c>
      <c r="BC230" s="472">
        <f t="shared" si="105"/>
        <v>-1</v>
      </c>
      <c r="BD230" s="472">
        <f t="shared" si="106"/>
        <v>-1</v>
      </c>
      <c r="BE230" s="472">
        <f t="shared" si="107"/>
        <v>1</v>
      </c>
    </row>
    <row r="231" spans="1:57" hidden="1" x14ac:dyDescent="0.35">
      <c r="A231" s="16">
        <v>45887</v>
      </c>
      <c r="B231" s="17">
        <v>38507747</v>
      </c>
      <c r="C231" s="17">
        <v>0</v>
      </c>
      <c r="D231" s="17">
        <v>6164465.0517241377</v>
      </c>
      <c r="E231" s="17">
        <v>0</v>
      </c>
      <c r="F231" s="484">
        <f t="shared" si="83"/>
        <v>4883058.4827586208</v>
      </c>
      <c r="G231" s="484">
        <f t="shared" si="84"/>
        <v>0</v>
      </c>
      <c r="H231" s="484">
        <f t="shared" si="85"/>
        <v>1281406.5689655172</v>
      </c>
      <c r="I231" s="484">
        <f t="shared" si="86"/>
        <v>0</v>
      </c>
      <c r="J231" s="19">
        <v>46251</v>
      </c>
      <c r="K231" s="17">
        <v>5233267.7604187597</v>
      </c>
      <c r="L231" s="17">
        <v>3861268.6794992299</v>
      </c>
      <c r="M231" s="17">
        <v>1371999.08091953</v>
      </c>
      <c r="N231" s="17">
        <v>4641789</v>
      </c>
      <c r="O231" s="17">
        <v>0</v>
      </c>
      <c r="P231" s="17">
        <v>35684.482758620703</v>
      </c>
      <c r="Q231" s="17">
        <v>0</v>
      </c>
      <c r="R231" s="17">
        <v>59195</v>
      </c>
      <c r="S231" s="17">
        <v>0</v>
      </c>
      <c r="T231" s="17">
        <v>10114</v>
      </c>
      <c r="U231" s="17">
        <v>0</v>
      </c>
      <c r="V231" s="17">
        <v>136276</v>
      </c>
      <c r="W231" s="17">
        <v>0</v>
      </c>
      <c r="X231" s="17">
        <v>856553</v>
      </c>
      <c r="Y231" s="17">
        <v>0</v>
      </c>
      <c r="Z231" s="17">
        <v>371767</v>
      </c>
      <c r="AA231" s="17">
        <v>0</v>
      </c>
      <c r="AB231" s="17">
        <v>47937</v>
      </c>
      <c r="AC231" s="17">
        <v>0</v>
      </c>
      <c r="AD231" s="17">
        <v>4445</v>
      </c>
      <c r="AE231" s="17">
        <v>0</v>
      </c>
      <c r="AF231" s="17">
        <v>704.56896551724196</v>
      </c>
      <c r="AG231" s="17">
        <v>0</v>
      </c>
      <c r="AH231" s="17">
        <v>0</v>
      </c>
      <c r="AI231" s="17">
        <v>0</v>
      </c>
      <c r="AJ231" s="54">
        <f t="shared" si="87"/>
        <v>1228320</v>
      </c>
      <c r="AK231" s="54">
        <f t="shared" si="88"/>
        <v>0</v>
      </c>
      <c r="AL231" s="54">
        <f t="shared" si="89"/>
        <v>52382</v>
      </c>
      <c r="AM231" s="54">
        <f t="shared" si="90"/>
        <v>0</v>
      </c>
      <c r="AN231" s="19">
        <v>46251</v>
      </c>
      <c r="AO231" s="487">
        <f t="shared" si="91"/>
        <v>-1</v>
      </c>
      <c r="AP231" s="487">
        <f t="shared" si="92"/>
        <v>-1</v>
      </c>
      <c r="AQ231" s="486">
        <f t="shared" si="93"/>
        <v>-1</v>
      </c>
      <c r="AR231" s="486">
        <f t="shared" si="94"/>
        <v>-1</v>
      </c>
      <c r="AS231" s="472">
        <f t="shared" si="95"/>
        <v>-1</v>
      </c>
      <c r="AT231" s="472">
        <f t="shared" si="96"/>
        <v>-1</v>
      </c>
      <c r="AU231" s="472">
        <f t="shared" si="97"/>
        <v>-1</v>
      </c>
      <c r="AV231" s="472">
        <f t="shared" si="98"/>
        <v>-1</v>
      </c>
      <c r="AW231" s="472">
        <f t="shared" si="99"/>
        <v>-1</v>
      </c>
      <c r="AX231" s="472">
        <f t="shared" si="100"/>
        <v>-1</v>
      </c>
      <c r="AY231" s="472">
        <f t="shared" si="101"/>
        <v>-1</v>
      </c>
      <c r="AZ231" s="472">
        <f t="shared" si="102"/>
        <v>-1</v>
      </c>
      <c r="BA231" s="472">
        <f t="shared" si="103"/>
        <v>-1</v>
      </c>
      <c r="BB231" s="472">
        <f t="shared" si="104"/>
        <v>-1</v>
      </c>
      <c r="BC231" s="472">
        <f t="shared" si="105"/>
        <v>-1</v>
      </c>
      <c r="BD231" s="472">
        <f t="shared" si="106"/>
        <v>-1</v>
      </c>
      <c r="BE231" s="472">
        <f t="shared" si="107"/>
        <v>1</v>
      </c>
    </row>
    <row r="232" spans="1:57" hidden="1" x14ac:dyDescent="0.35">
      <c r="A232" s="19">
        <v>45888</v>
      </c>
      <c r="B232" s="17">
        <v>42791164</v>
      </c>
      <c r="C232" s="17">
        <v>0</v>
      </c>
      <c r="D232" s="17">
        <v>5908650.5517241377</v>
      </c>
      <c r="E232" s="17">
        <v>0</v>
      </c>
      <c r="F232" s="484">
        <f t="shared" si="83"/>
        <v>4913401.3103448274</v>
      </c>
      <c r="G232" s="484">
        <f t="shared" si="84"/>
        <v>0</v>
      </c>
      <c r="H232" s="484">
        <f t="shared" si="85"/>
        <v>995249.24137931038</v>
      </c>
      <c r="I232" s="484">
        <f t="shared" si="86"/>
        <v>0</v>
      </c>
      <c r="J232" s="19">
        <v>46252</v>
      </c>
      <c r="K232" s="17">
        <v>8157498.6179166595</v>
      </c>
      <c r="L232" s="17">
        <v>6350011.3561475696</v>
      </c>
      <c r="M232" s="17">
        <v>1807487.2617690901</v>
      </c>
      <c r="N232" s="17">
        <v>4674224</v>
      </c>
      <c r="O232" s="17">
        <v>0</v>
      </c>
      <c r="P232" s="17">
        <v>38029.310344827602</v>
      </c>
      <c r="Q232" s="17">
        <v>0</v>
      </c>
      <c r="R232" s="17">
        <v>63390</v>
      </c>
      <c r="S232" s="17">
        <v>0</v>
      </c>
      <c r="T232" s="17">
        <v>4385</v>
      </c>
      <c r="U232" s="17">
        <v>0</v>
      </c>
      <c r="V232" s="17">
        <v>133373</v>
      </c>
      <c r="W232" s="17">
        <v>0</v>
      </c>
      <c r="X232" s="17">
        <v>669054</v>
      </c>
      <c r="Y232" s="17">
        <v>0</v>
      </c>
      <c r="Z232" s="17">
        <v>282672</v>
      </c>
      <c r="AA232" s="17">
        <v>0</v>
      </c>
      <c r="AB232" s="17">
        <v>39386</v>
      </c>
      <c r="AC232" s="17">
        <v>0</v>
      </c>
      <c r="AD232" s="17">
        <v>3720</v>
      </c>
      <c r="AE232" s="17">
        <v>0</v>
      </c>
      <c r="AF232" s="17">
        <v>73.275862068965495</v>
      </c>
      <c r="AG232" s="17">
        <v>0</v>
      </c>
      <c r="AH232" s="17">
        <v>343.96551724137902</v>
      </c>
      <c r="AI232" s="17">
        <v>0</v>
      </c>
      <c r="AJ232" s="54">
        <f t="shared" si="87"/>
        <v>951726</v>
      </c>
      <c r="AK232" s="54">
        <f t="shared" si="88"/>
        <v>0</v>
      </c>
      <c r="AL232" s="54">
        <f t="shared" si="89"/>
        <v>43106</v>
      </c>
      <c r="AM232" s="54">
        <f t="shared" si="90"/>
        <v>0</v>
      </c>
      <c r="AN232" s="19">
        <v>46252</v>
      </c>
      <c r="AO232" s="487">
        <f t="shared" si="91"/>
        <v>-1</v>
      </c>
      <c r="AP232" s="487">
        <f t="shared" si="92"/>
        <v>-1</v>
      </c>
      <c r="AQ232" s="486">
        <f t="shared" si="93"/>
        <v>-1</v>
      </c>
      <c r="AR232" s="486">
        <f t="shared" si="94"/>
        <v>-1</v>
      </c>
      <c r="AS232" s="472">
        <f t="shared" si="95"/>
        <v>-1</v>
      </c>
      <c r="AT232" s="472">
        <f t="shared" si="96"/>
        <v>-1</v>
      </c>
      <c r="AU232" s="472">
        <f t="shared" si="97"/>
        <v>-1</v>
      </c>
      <c r="AV232" s="472">
        <f t="shared" si="98"/>
        <v>-1</v>
      </c>
      <c r="AW232" s="472">
        <f t="shared" si="99"/>
        <v>-1</v>
      </c>
      <c r="AX232" s="472">
        <f t="shared" si="100"/>
        <v>-1</v>
      </c>
      <c r="AY232" s="472">
        <f t="shared" si="101"/>
        <v>-1</v>
      </c>
      <c r="AZ232" s="472">
        <f t="shared" si="102"/>
        <v>-1</v>
      </c>
      <c r="BA232" s="472">
        <f t="shared" si="103"/>
        <v>-1</v>
      </c>
      <c r="BB232" s="472">
        <f t="shared" si="104"/>
        <v>-1</v>
      </c>
      <c r="BC232" s="472">
        <f t="shared" si="105"/>
        <v>-1</v>
      </c>
      <c r="BD232" s="472">
        <f t="shared" si="106"/>
        <v>-1</v>
      </c>
      <c r="BE232" s="472">
        <f t="shared" si="107"/>
        <v>-1</v>
      </c>
    </row>
    <row r="233" spans="1:57" hidden="1" x14ac:dyDescent="0.35">
      <c r="A233" s="16">
        <v>45889</v>
      </c>
      <c r="B233" s="17">
        <v>46267625</v>
      </c>
      <c r="C233" s="17">
        <v>0</v>
      </c>
      <c r="D233" s="17">
        <v>5807236.9655172406</v>
      </c>
      <c r="E233" s="17">
        <v>0</v>
      </c>
      <c r="F233" s="484">
        <f t="shared" si="83"/>
        <v>4907447.8620689651</v>
      </c>
      <c r="G233" s="484">
        <f t="shared" si="84"/>
        <v>0</v>
      </c>
      <c r="H233" s="484">
        <f t="shared" si="85"/>
        <v>899789.10344827583</v>
      </c>
      <c r="I233" s="484">
        <f t="shared" si="86"/>
        <v>0</v>
      </c>
      <c r="J233" s="19">
        <v>46253</v>
      </c>
      <c r="K233" s="17">
        <v>7793317.8955410402</v>
      </c>
      <c r="L233" s="17">
        <v>6389469.67933382</v>
      </c>
      <c r="M233" s="17">
        <v>1403848.21620722</v>
      </c>
      <c r="N233" s="17">
        <v>4567064</v>
      </c>
      <c r="O233" s="17">
        <v>0</v>
      </c>
      <c r="P233" s="17">
        <v>35700.8620689655</v>
      </c>
      <c r="Q233" s="17">
        <v>0</v>
      </c>
      <c r="R233" s="17">
        <v>58510</v>
      </c>
      <c r="S233" s="17">
        <v>0</v>
      </c>
      <c r="T233" s="17">
        <v>15761</v>
      </c>
      <c r="U233" s="17">
        <v>0</v>
      </c>
      <c r="V233" s="17">
        <v>230412</v>
      </c>
      <c r="W233" s="17">
        <v>0</v>
      </c>
      <c r="X233" s="17">
        <v>657997</v>
      </c>
      <c r="Y233" s="17">
        <v>0</v>
      </c>
      <c r="Z233" s="17">
        <v>205256</v>
      </c>
      <c r="AA233" s="17">
        <v>0</v>
      </c>
      <c r="AB233" s="17">
        <v>29971</v>
      </c>
      <c r="AC233" s="17">
        <v>0</v>
      </c>
      <c r="AD233" s="17">
        <v>4086</v>
      </c>
      <c r="AE233" s="17">
        <v>0</v>
      </c>
      <c r="AF233" s="17">
        <v>2479.10344827586</v>
      </c>
      <c r="AG233" s="17">
        <v>0</v>
      </c>
      <c r="AH233" s="17">
        <v>0</v>
      </c>
      <c r="AI233" s="17">
        <v>0</v>
      </c>
      <c r="AJ233" s="54">
        <f t="shared" si="87"/>
        <v>863253</v>
      </c>
      <c r="AK233" s="54">
        <f t="shared" si="88"/>
        <v>0</v>
      </c>
      <c r="AL233" s="54">
        <f t="shared" si="89"/>
        <v>34057</v>
      </c>
      <c r="AM233" s="54">
        <f t="shared" si="90"/>
        <v>0</v>
      </c>
      <c r="AN233" s="19">
        <v>46253</v>
      </c>
      <c r="AO233" s="487">
        <f t="shared" si="91"/>
        <v>-1</v>
      </c>
      <c r="AP233" s="487">
        <f t="shared" si="92"/>
        <v>-1</v>
      </c>
      <c r="AQ233" s="486">
        <f t="shared" si="93"/>
        <v>-1</v>
      </c>
      <c r="AR233" s="486">
        <f t="shared" si="94"/>
        <v>-1</v>
      </c>
      <c r="AS233" s="472">
        <f t="shared" si="95"/>
        <v>-1</v>
      </c>
      <c r="AT233" s="472">
        <f t="shared" si="96"/>
        <v>-1</v>
      </c>
      <c r="AU233" s="472">
        <f t="shared" si="97"/>
        <v>-1</v>
      </c>
      <c r="AV233" s="472">
        <f t="shared" si="98"/>
        <v>-1</v>
      </c>
      <c r="AW233" s="472">
        <f t="shared" si="99"/>
        <v>-1</v>
      </c>
      <c r="AX233" s="472">
        <f t="shared" si="100"/>
        <v>-1</v>
      </c>
      <c r="AY233" s="472">
        <f t="shared" si="101"/>
        <v>-1</v>
      </c>
      <c r="AZ233" s="472">
        <f t="shared" si="102"/>
        <v>-1</v>
      </c>
      <c r="BA233" s="472">
        <f t="shared" si="103"/>
        <v>-1</v>
      </c>
      <c r="BB233" s="472">
        <f t="shared" si="104"/>
        <v>-1</v>
      </c>
      <c r="BC233" s="472">
        <f t="shared" si="105"/>
        <v>-1</v>
      </c>
      <c r="BD233" s="472">
        <f t="shared" si="106"/>
        <v>-1</v>
      </c>
      <c r="BE233" s="472">
        <f t="shared" si="107"/>
        <v>1</v>
      </c>
    </row>
    <row r="234" spans="1:57" hidden="1" x14ac:dyDescent="0.35">
      <c r="A234" s="19">
        <v>45890</v>
      </c>
      <c r="B234" s="17">
        <v>55157049</v>
      </c>
      <c r="C234" s="17">
        <v>0</v>
      </c>
      <c r="D234" s="17">
        <v>4963643.3103448264</v>
      </c>
      <c r="E234" s="17">
        <v>0</v>
      </c>
      <c r="F234" s="484">
        <f t="shared" si="83"/>
        <v>4144535.1724137929</v>
      </c>
      <c r="G234" s="484">
        <f t="shared" si="84"/>
        <v>0</v>
      </c>
      <c r="H234" s="484">
        <f t="shared" si="85"/>
        <v>819108.13793103443</v>
      </c>
      <c r="I234" s="484">
        <f t="shared" si="86"/>
        <v>0</v>
      </c>
      <c r="J234" s="19">
        <v>46254</v>
      </c>
      <c r="K234" s="17">
        <v>7650924.6914080195</v>
      </c>
      <c r="L234" s="17">
        <v>6381727.7150928797</v>
      </c>
      <c r="M234" s="17">
        <v>1269196.97631514</v>
      </c>
      <c r="N234" s="17">
        <v>3915278</v>
      </c>
      <c r="O234" s="17">
        <v>0</v>
      </c>
      <c r="P234" s="17">
        <v>41030.172413793101</v>
      </c>
      <c r="Q234" s="17">
        <v>0</v>
      </c>
      <c r="R234" s="17">
        <v>35238</v>
      </c>
      <c r="S234" s="17">
        <v>0</v>
      </c>
      <c r="T234" s="17">
        <v>9197</v>
      </c>
      <c r="U234" s="17">
        <v>0</v>
      </c>
      <c r="V234" s="17">
        <v>143792</v>
      </c>
      <c r="W234" s="17">
        <v>0</v>
      </c>
      <c r="X234" s="17">
        <v>605960</v>
      </c>
      <c r="Y234" s="17">
        <v>0</v>
      </c>
      <c r="Z234" s="17">
        <v>173300</v>
      </c>
      <c r="AA234" s="17">
        <v>0</v>
      </c>
      <c r="AB234" s="17">
        <v>28936</v>
      </c>
      <c r="AC234" s="17">
        <v>0</v>
      </c>
      <c r="AD234" s="17">
        <v>11397</v>
      </c>
      <c r="AE234" s="17">
        <v>0</v>
      </c>
      <c r="AF234" s="17">
        <v>203.068965517241</v>
      </c>
      <c r="AG234" s="17">
        <v>0</v>
      </c>
      <c r="AH234" s="17">
        <v>-687.93103448275895</v>
      </c>
      <c r="AI234" s="17">
        <v>0</v>
      </c>
      <c r="AJ234" s="54">
        <f t="shared" si="87"/>
        <v>779260</v>
      </c>
      <c r="AK234" s="54">
        <f t="shared" si="88"/>
        <v>0</v>
      </c>
      <c r="AL234" s="54">
        <f t="shared" si="89"/>
        <v>40333</v>
      </c>
      <c r="AM234" s="54">
        <f t="shared" si="90"/>
        <v>0</v>
      </c>
      <c r="AN234" s="19">
        <v>46254</v>
      </c>
      <c r="AO234" s="487">
        <f t="shared" si="91"/>
        <v>-1</v>
      </c>
      <c r="AP234" s="487">
        <f t="shared" si="92"/>
        <v>-1</v>
      </c>
      <c r="AQ234" s="486">
        <f t="shared" si="93"/>
        <v>-1</v>
      </c>
      <c r="AR234" s="486">
        <f t="shared" si="94"/>
        <v>-1</v>
      </c>
      <c r="AS234" s="472">
        <f t="shared" si="95"/>
        <v>-1</v>
      </c>
      <c r="AT234" s="472">
        <f t="shared" si="96"/>
        <v>-1</v>
      </c>
      <c r="AU234" s="472">
        <f t="shared" si="97"/>
        <v>-1</v>
      </c>
      <c r="AV234" s="472">
        <f t="shared" si="98"/>
        <v>-1</v>
      </c>
      <c r="AW234" s="472">
        <f t="shared" si="99"/>
        <v>-1</v>
      </c>
      <c r="AX234" s="472">
        <f t="shared" si="100"/>
        <v>-1</v>
      </c>
      <c r="AY234" s="472">
        <f t="shared" si="101"/>
        <v>-1</v>
      </c>
      <c r="AZ234" s="472">
        <f t="shared" si="102"/>
        <v>-1</v>
      </c>
      <c r="BA234" s="472">
        <f t="shared" si="103"/>
        <v>-1</v>
      </c>
      <c r="BB234" s="472">
        <f t="shared" si="104"/>
        <v>-1</v>
      </c>
      <c r="BC234" s="472">
        <f t="shared" si="105"/>
        <v>-1</v>
      </c>
      <c r="BD234" s="472">
        <f t="shared" si="106"/>
        <v>-1</v>
      </c>
      <c r="BE234" s="472">
        <f t="shared" si="107"/>
        <v>-1</v>
      </c>
    </row>
    <row r="235" spans="1:57" hidden="1" x14ac:dyDescent="0.35">
      <c r="A235" s="16">
        <v>45891</v>
      </c>
      <c r="B235" s="17">
        <v>54388306</v>
      </c>
      <c r="C235" s="17">
        <v>0</v>
      </c>
      <c r="D235" s="17">
        <v>3985056.8620689656</v>
      </c>
      <c r="E235" s="17">
        <v>0</v>
      </c>
      <c r="F235" s="484">
        <f t="shared" si="83"/>
        <v>3256296.8620689656</v>
      </c>
      <c r="G235" s="484">
        <f t="shared" si="84"/>
        <v>0</v>
      </c>
      <c r="H235" s="484">
        <f t="shared" si="85"/>
        <v>728760</v>
      </c>
      <c r="I235" s="484">
        <f t="shared" si="86"/>
        <v>0</v>
      </c>
      <c r="J235" s="19">
        <v>46255</v>
      </c>
      <c r="K235" s="17">
        <v>6545015.7147723902</v>
      </c>
      <c r="L235" s="17">
        <v>5389623.2256290102</v>
      </c>
      <c r="M235" s="17">
        <v>1155392.48914338</v>
      </c>
      <c r="N235" s="17">
        <v>3000765</v>
      </c>
      <c r="O235" s="17">
        <v>0</v>
      </c>
      <c r="P235" s="17">
        <v>35025.8620689655</v>
      </c>
      <c r="Q235" s="17">
        <v>0</v>
      </c>
      <c r="R235" s="17">
        <v>36025</v>
      </c>
      <c r="S235" s="17">
        <v>0</v>
      </c>
      <c r="T235" s="17">
        <v>6236</v>
      </c>
      <c r="U235" s="17">
        <v>0</v>
      </c>
      <c r="V235" s="17">
        <v>178245</v>
      </c>
      <c r="W235" s="17">
        <v>0</v>
      </c>
      <c r="X235" s="17">
        <v>579403</v>
      </c>
      <c r="Y235" s="17">
        <v>0</v>
      </c>
      <c r="Z235" s="17">
        <v>113017</v>
      </c>
      <c r="AA235" s="17">
        <v>0</v>
      </c>
      <c r="AB235" s="17">
        <v>25208</v>
      </c>
      <c r="AC235" s="17">
        <v>0</v>
      </c>
      <c r="AD235" s="17">
        <v>11132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54">
        <f t="shared" si="87"/>
        <v>692420</v>
      </c>
      <c r="AK235" s="54">
        <f t="shared" si="88"/>
        <v>0</v>
      </c>
      <c r="AL235" s="54">
        <f t="shared" si="89"/>
        <v>36340</v>
      </c>
      <c r="AM235" s="54">
        <f t="shared" si="90"/>
        <v>0</v>
      </c>
      <c r="AN235" s="19">
        <v>46255</v>
      </c>
      <c r="AO235" s="487">
        <f t="shared" si="91"/>
        <v>-1</v>
      </c>
      <c r="AP235" s="487">
        <f t="shared" si="92"/>
        <v>-1</v>
      </c>
      <c r="AQ235" s="486">
        <f t="shared" si="93"/>
        <v>-1</v>
      </c>
      <c r="AR235" s="486">
        <f t="shared" si="94"/>
        <v>-1</v>
      </c>
      <c r="AS235" s="472">
        <f t="shared" si="95"/>
        <v>-1</v>
      </c>
      <c r="AT235" s="472">
        <f t="shared" si="96"/>
        <v>-1</v>
      </c>
      <c r="AU235" s="472">
        <f t="shared" si="97"/>
        <v>-1</v>
      </c>
      <c r="AV235" s="472">
        <f t="shared" si="98"/>
        <v>-1</v>
      </c>
      <c r="AW235" s="472">
        <f t="shared" si="99"/>
        <v>-1</v>
      </c>
      <c r="AX235" s="472">
        <f t="shared" si="100"/>
        <v>-1</v>
      </c>
      <c r="AY235" s="472">
        <f t="shared" si="101"/>
        <v>-1</v>
      </c>
      <c r="AZ235" s="472">
        <f t="shared" si="102"/>
        <v>-1</v>
      </c>
      <c r="BA235" s="472">
        <f t="shared" si="103"/>
        <v>-1</v>
      </c>
      <c r="BB235" s="472">
        <f t="shared" si="104"/>
        <v>-1</v>
      </c>
      <c r="BC235" s="472">
        <f t="shared" si="105"/>
        <v>-1</v>
      </c>
      <c r="BD235" s="472">
        <f t="shared" si="106"/>
        <v>1</v>
      </c>
      <c r="BE235" s="472">
        <f t="shared" si="107"/>
        <v>1</v>
      </c>
    </row>
    <row r="236" spans="1:57" hidden="1" x14ac:dyDescent="0.35">
      <c r="A236" s="19">
        <v>45892</v>
      </c>
      <c r="B236" s="17">
        <v>71145940</v>
      </c>
      <c r="C236" s="17">
        <v>0</v>
      </c>
      <c r="D236" s="17">
        <v>4157647.0086206896</v>
      </c>
      <c r="E236" s="17">
        <v>0</v>
      </c>
      <c r="F236" s="484">
        <f t="shared" si="83"/>
        <v>3393037.9310344825</v>
      </c>
      <c r="G236" s="484">
        <f t="shared" si="84"/>
        <v>0</v>
      </c>
      <c r="H236" s="484">
        <f t="shared" si="85"/>
        <v>764609.07758620684</v>
      </c>
      <c r="I236" s="484">
        <f t="shared" si="86"/>
        <v>0</v>
      </c>
      <c r="J236" s="19">
        <v>46256</v>
      </c>
      <c r="K236" s="17">
        <v>5262495.1695219995</v>
      </c>
      <c r="L236" s="17">
        <v>4234543.1917588096</v>
      </c>
      <c r="M236" s="17">
        <v>1027951.9777631901</v>
      </c>
      <c r="N236" s="17">
        <v>3117784</v>
      </c>
      <c r="O236" s="17">
        <v>0</v>
      </c>
      <c r="P236" s="17">
        <v>47162.931034482703</v>
      </c>
      <c r="Q236" s="17">
        <v>0</v>
      </c>
      <c r="R236" s="17">
        <v>19293</v>
      </c>
      <c r="S236" s="17">
        <v>0</v>
      </c>
      <c r="T236" s="17">
        <v>5273</v>
      </c>
      <c r="U236" s="17">
        <v>0</v>
      </c>
      <c r="V236" s="17">
        <v>203525</v>
      </c>
      <c r="W236" s="17">
        <v>0</v>
      </c>
      <c r="X236" s="17">
        <v>648055</v>
      </c>
      <c r="Y236" s="17">
        <v>0</v>
      </c>
      <c r="Z236" s="17">
        <v>76037</v>
      </c>
      <c r="AA236" s="17">
        <v>0</v>
      </c>
      <c r="AB236" s="17">
        <v>28466</v>
      </c>
      <c r="AC236" s="17">
        <v>0</v>
      </c>
      <c r="AD236" s="17">
        <v>11786</v>
      </c>
      <c r="AE236" s="17">
        <v>0</v>
      </c>
      <c r="AF236" s="17">
        <v>265.07758620689702</v>
      </c>
      <c r="AG236" s="17">
        <v>0</v>
      </c>
      <c r="AH236" s="17">
        <v>0</v>
      </c>
      <c r="AI236" s="17">
        <v>0</v>
      </c>
      <c r="AJ236" s="54">
        <f t="shared" si="87"/>
        <v>724092</v>
      </c>
      <c r="AK236" s="54">
        <f t="shared" si="88"/>
        <v>0</v>
      </c>
      <c r="AL236" s="54">
        <f t="shared" si="89"/>
        <v>40252</v>
      </c>
      <c r="AM236" s="54">
        <f t="shared" si="90"/>
        <v>0</v>
      </c>
      <c r="AN236" s="19">
        <v>46256</v>
      </c>
      <c r="AO236" s="487">
        <f t="shared" si="91"/>
        <v>-1</v>
      </c>
      <c r="AP236" s="487">
        <f t="shared" si="92"/>
        <v>-1</v>
      </c>
      <c r="AQ236" s="486">
        <f t="shared" si="93"/>
        <v>-1</v>
      </c>
      <c r="AR236" s="486">
        <f t="shared" si="94"/>
        <v>-1</v>
      </c>
      <c r="AS236" s="472">
        <f t="shared" si="95"/>
        <v>-1</v>
      </c>
      <c r="AT236" s="472">
        <f t="shared" si="96"/>
        <v>-1</v>
      </c>
      <c r="AU236" s="472">
        <f t="shared" si="97"/>
        <v>-1</v>
      </c>
      <c r="AV236" s="472">
        <f t="shared" si="98"/>
        <v>-1</v>
      </c>
      <c r="AW236" s="472">
        <f t="shared" si="99"/>
        <v>-1</v>
      </c>
      <c r="AX236" s="472">
        <f t="shared" si="100"/>
        <v>-1</v>
      </c>
      <c r="AY236" s="472">
        <f t="shared" si="101"/>
        <v>-1</v>
      </c>
      <c r="AZ236" s="472">
        <f t="shared" si="102"/>
        <v>-1</v>
      </c>
      <c r="BA236" s="472">
        <f t="shared" si="103"/>
        <v>-1</v>
      </c>
      <c r="BB236" s="472">
        <f t="shared" si="104"/>
        <v>-1</v>
      </c>
      <c r="BC236" s="472">
        <f t="shared" si="105"/>
        <v>-1</v>
      </c>
      <c r="BD236" s="472">
        <f t="shared" si="106"/>
        <v>-1</v>
      </c>
      <c r="BE236" s="472">
        <f t="shared" si="107"/>
        <v>1</v>
      </c>
    </row>
    <row r="237" spans="1:57" hidden="1" x14ac:dyDescent="0.35">
      <c r="A237" s="16">
        <v>45893</v>
      </c>
      <c r="B237" s="17">
        <v>76021625</v>
      </c>
      <c r="C237" s="17">
        <v>0</v>
      </c>
      <c r="D237" s="17">
        <v>4558674.8706896557</v>
      </c>
      <c r="E237" s="17">
        <v>0</v>
      </c>
      <c r="F237" s="484">
        <f t="shared" si="83"/>
        <v>3641998.8965517241</v>
      </c>
      <c r="G237" s="484">
        <f t="shared" si="84"/>
        <v>0</v>
      </c>
      <c r="H237" s="484">
        <f t="shared" si="85"/>
        <v>916675.97413793101</v>
      </c>
      <c r="I237" s="484">
        <f t="shared" si="86"/>
        <v>0</v>
      </c>
      <c r="J237" s="19">
        <v>46257</v>
      </c>
      <c r="K237" s="17">
        <v>5490882.4495420801</v>
      </c>
      <c r="L237" s="17">
        <v>4412363.5770457499</v>
      </c>
      <c r="M237" s="17">
        <v>1078518.8724963299</v>
      </c>
      <c r="N237" s="17">
        <v>3423344</v>
      </c>
      <c r="O237" s="17">
        <v>0</v>
      </c>
      <c r="P237" s="17">
        <v>43106.896551724101</v>
      </c>
      <c r="Q237" s="17">
        <v>0</v>
      </c>
      <c r="R237" s="17">
        <v>5283</v>
      </c>
      <c r="S237" s="17">
        <v>0</v>
      </c>
      <c r="T237" s="17">
        <v>5236</v>
      </c>
      <c r="U237" s="17">
        <v>0</v>
      </c>
      <c r="V237" s="17">
        <v>165029</v>
      </c>
      <c r="W237" s="17">
        <v>0</v>
      </c>
      <c r="X237" s="17">
        <v>757892</v>
      </c>
      <c r="Y237" s="17">
        <v>0</v>
      </c>
      <c r="Z237" s="17">
        <v>97355</v>
      </c>
      <c r="AA237" s="17">
        <v>0</v>
      </c>
      <c r="AB237" s="17">
        <v>44629</v>
      </c>
      <c r="AC237" s="17">
        <v>0</v>
      </c>
      <c r="AD237" s="17">
        <v>14410</v>
      </c>
      <c r="AE237" s="17">
        <v>0</v>
      </c>
      <c r="AF237" s="17">
        <v>2389.9741379310299</v>
      </c>
      <c r="AG237" s="17">
        <v>0</v>
      </c>
      <c r="AH237" s="17">
        <v>0</v>
      </c>
      <c r="AI237" s="17">
        <v>0</v>
      </c>
      <c r="AJ237" s="54">
        <f t="shared" si="87"/>
        <v>855247</v>
      </c>
      <c r="AK237" s="54">
        <f t="shared" si="88"/>
        <v>0</v>
      </c>
      <c r="AL237" s="54">
        <f t="shared" si="89"/>
        <v>59039</v>
      </c>
      <c r="AM237" s="54">
        <f t="shared" si="90"/>
        <v>0</v>
      </c>
      <c r="AN237" s="19">
        <v>46257</v>
      </c>
      <c r="AO237" s="487">
        <f t="shared" si="91"/>
        <v>-1</v>
      </c>
      <c r="AP237" s="487">
        <f t="shared" si="92"/>
        <v>-1</v>
      </c>
      <c r="AQ237" s="486">
        <f t="shared" si="93"/>
        <v>-1</v>
      </c>
      <c r="AR237" s="486">
        <f t="shared" si="94"/>
        <v>-1</v>
      </c>
      <c r="AS237" s="472">
        <f t="shared" si="95"/>
        <v>-1</v>
      </c>
      <c r="AT237" s="472">
        <f t="shared" si="96"/>
        <v>-1</v>
      </c>
      <c r="AU237" s="472">
        <f t="shared" si="97"/>
        <v>-1</v>
      </c>
      <c r="AV237" s="472">
        <f t="shared" si="98"/>
        <v>-1</v>
      </c>
      <c r="AW237" s="472">
        <f t="shared" si="99"/>
        <v>-1</v>
      </c>
      <c r="AX237" s="472">
        <f t="shared" si="100"/>
        <v>-1</v>
      </c>
      <c r="AY237" s="472">
        <f t="shared" si="101"/>
        <v>-1</v>
      </c>
      <c r="AZ237" s="472">
        <f t="shared" si="102"/>
        <v>-1</v>
      </c>
      <c r="BA237" s="472">
        <f t="shared" si="103"/>
        <v>-1</v>
      </c>
      <c r="BB237" s="472">
        <f t="shared" si="104"/>
        <v>-1</v>
      </c>
      <c r="BC237" s="472">
        <f t="shared" si="105"/>
        <v>-1</v>
      </c>
      <c r="BD237" s="472">
        <f t="shared" si="106"/>
        <v>-1</v>
      </c>
      <c r="BE237" s="472">
        <f t="shared" si="107"/>
        <v>1</v>
      </c>
    </row>
    <row r="238" spans="1:57" hidden="1" x14ac:dyDescent="0.35">
      <c r="A238" s="19">
        <v>45894</v>
      </c>
      <c r="B238" s="17">
        <v>46309068</v>
      </c>
      <c r="C238" s="17">
        <v>0</v>
      </c>
      <c r="D238" s="17">
        <v>6388825.4741379302</v>
      </c>
      <c r="E238" s="17">
        <v>0</v>
      </c>
      <c r="F238" s="484">
        <f t="shared" si="83"/>
        <v>5441021.7931034481</v>
      </c>
      <c r="G238" s="484">
        <f t="shared" si="84"/>
        <v>0</v>
      </c>
      <c r="H238" s="484">
        <f t="shared" si="85"/>
        <v>947803.68103448278</v>
      </c>
      <c r="I238" s="484">
        <f t="shared" si="86"/>
        <v>0</v>
      </c>
      <c r="J238" s="19">
        <v>46258</v>
      </c>
      <c r="K238" s="17">
        <v>6029133.3442718405</v>
      </c>
      <c r="L238" s="17">
        <v>4736116.6027066</v>
      </c>
      <c r="M238" s="17">
        <v>1293016.7415652401</v>
      </c>
      <c r="N238" s="17">
        <v>5203886</v>
      </c>
      <c r="O238" s="17">
        <v>0</v>
      </c>
      <c r="P238" s="17">
        <v>38813.793103448297</v>
      </c>
      <c r="Q238" s="17">
        <v>0</v>
      </c>
      <c r="R238" s="17">
        <v>56753</v>
      </c>
      <c r="S238" s="17">
        <v>0</v>
      </c>
      <c r="T238" s="17">
        <v>4215</v>
      </c>
      <c r="U238" s="17">
        <v>0</v>
      </c>
      <c r="V238" s="17">
        <v>137354</v>
      </c>
      <c r="W238" s="17">
        <v>0</v>
      </c>
      <c r="X238" s="17">
        <v>801333</v>
      </c>
      <c r="Y238" s="17">
        <v>0</v>
      </c>
      <c r="Z238" s="17">
        <v>95156</v>
      </c>
      <c r="AA238" s="17">
        <v>0</v>
      </c>
      <c r="AB238" s="17">
        <v>42338</v>
      </c>
      <c r="AC238" s="17">
        <v>0</v>
      </c>
      <c r="AD238" s="17">
        <v>7580</v>
      </c>
      <c r="AE238" s="17">
        <v>0</v>
      </c>
      <c r="AF238" s="17">
        <v>1311.33620689655</v>
      </c>
      <c r="AG238" s="17">
        <v>0</v>
      </c>
      <c r="AH238" s="17">
        <v>85.344827586206904</v>
      </c>
      <c r="AI238" s="17">
        <v>0</v>
      </c>
      <c r="AJ238" s="54">
        <f t="shared" si="87"/>
        <v>896489</v>
      </c>
      <c r="AK238" s="54">
        <f t="shared" si="88"/>
        <v>0</v>
      </c>
      <c r="AL238" s="54">
        <f t="shared" si="89"/>
        <v>49918</v>
      </c>
      <c r="AM238" s="54">
        <f t="shared" si="90"/>
        <v>0</v>
      </c>
      <c r="AN238" s="19">
        <v>46258</v>
      </c>
      <c r="AO238" s="487">
        <f t="shared" si="91"/>
        <v>-1</v>
      </c>
      <c r="AP238" s="487">
        <f t="shared" si="92"/>
        <v>-1</v>
      </c>
      <c r="AQ238" s="486">
        <f t="shared" si="93"/>
        <v>-1</v>
      </c>
      <c r="AR238" s="486">
        <f t="shared" si="94"/>
        <v>-1</v>
      </c>
      <c r="AS238" s="472">
        <f t="shared" si="95"/>
        <v>-1</v>
      </c>
      <c r="AT238" s="472">
        <f t="shared" si="96"/>
        <v>-1</v>
      </c>
      <c r="AU238" s="472">
        <f t="shared" si="97"/>
        <v>-1</v>
      </c>
      <c r="AV238" s="472">
        <f t="shared" si="98"/>
        <v>-1</v>
      </c>
      <c r="AW238" s="472">
        <f t="shared" si="99"/>
        <v>-1</v>
      </c>
      <c r="AX238" s="472">
        <f t="shared" si="100"/>
        <v>-1</v>
      </c>
      <c r="AY238" s="472">
        <f t="shared" si="101"/>
        <v>-1</v>
      </c>
      <c r="AZ238" s="472">
        <f t="shared" si="102"/>
        <v>-1</v>
      </c>
      <c r="BA238" s="472">
        <f t="shared" si="103"/>
        <v>-1</v>
      </c>
      <c r="BB238" s="472">
        <f t="shared" si="104"/>
        <v>-1</v>
      </c>
      <c r="BC238" s="472">
        <f t="shared" si="105"/>
        <v>-1</v>
      </c>
      <c r="BD238" s="472">
        <f t="shared" si="106"/>
        <v>-1</v>
      </c>
      <c r="BE238" s="472">
        <f t="shared" si="107"/>
        <v>-1</v>
      </c>
    </row>
    <row r="239" spans="1:57" hidden="1" x14ac:dyDescent="0.35">
      <c r="A239" s="16">
        <v>45895</v>
      </c>
      <c r="B239" s="17">
        <v>53790769</v>
      </c>
      <c r="C239" s="17">
        <v>0</v>
      </c>
      <c r="D239" s="17">
        <v>7102112.818965517</v>
      </c>
      <c r="E239" s="17">
        <v>0</v>
      </c>
      <c r="F239" s="484">
        <f t="shared" si="83"/>
        <v>6027593.7931034481</v>
      </c>
      <c r="G239" s="484">
        <f t="shared" si="84"/>
        <v>0</v>
      </c>
      <c r="H239" s="484">
        <f t="shared" si="85"/>
        <v>1074519.0258620689</v>
      </c>
      <c r="I239" s="484">
        <f t="shared" si="86"/>
        <v>0</v>
      </c>
      <c r="J239" s="19">
        <v>46259</v>
      </c>
      <c r="K239" s="17">
        <v>8412520.1364019103</v>
      </c>
      <c r="L239" s="17">
        <v>7075596.2266776804</v>
      </c>
      <c r="M239" s="17">
        <v>1336923.9097242299</v>
      </c>
      <c r="N239" s="17">
        <v>5685559</v>
      </c>
      <c r="O239" s="17">
        <v>0</v>
      </c>
      <c r="P239" s="17">
        <v>40163.793103448297</v>
      </c>
      <c r="Q239" s="17">
        <v>0</v>
      </c>
      <c r="R239" s="17">
        <v>95169</v>
      </c>
      <c r="S239" s="17">
        <v>0</v>
      </c>
      <c r="T239" s="17">
        <v>522</v>
      </c>
      <c r="U239" s="17">
        <v>0</v>
      </c>
      <c r="V239" s="17">
        <v>206180</v>
      </c>
      <c r="W239" s="17">
        <v>0</v>
      </c>
      <c r="X239" s="17">
        <v>931011</v>
      </c>
      <c r="Y239" s="17">
        <v>0</v>
      </c>
      <c r="Z239" s="17">
        <v>80136</v>
      </c>
      <c r="AA239" s="17">
        <v>0</v>
      </c>
      <c r="AB239" s="17">
        <v>46712</v>
      </c>
      <c r="AC239" s="17">
        <v>0</v>
      </c>
      <c r="AD239" s="17">
        <v>15753</v>
      </c>
      <c r="AE239" s="17">
        <v>0</v>
      </c>
      <c r="AF239" s="17">
        <v>992.37068965517199</v>
      </c>
      <c r="AG239" s="17">
        <v>0</v>
      </c>
      <c r="AH239" s="17">
        <v>-85.344827586206904</v>
      </c>
      <c r="AI239" s="17">
        <v>0</v>
      </c>
      <c r="AJ239" s="54">
        <f t="shared" si="87"/>
        <v>1011147</v>
      </c>
      <c r="AK239" s="54">
        <f t="shared" si="88"/>
        <v>0</v>
      </c>
      <c r="AL239" s="54">
        <f t="shared" si="89"/>
        <v>62465</v>
      </c>
      <c r="AM239" s="54">
        <f t="shared" si="90"/>
        <v>0</v>
      </c>
      <c r="AN239" s="19">
        <v>46259</v>
      </c>
      <c r="AO239" s="487">
        <f t="shared" si="91"/>
        <v>-1</v>
      </c>
      <c r="AP239" s="487">
        <f t="shared" si="92"/>
        <v>-1</v>
      </c>
      <c r="AQ239" s="486">
        <f t="shared" si="93"/>
        <v>-1</v>
      </c>
      <c r="AR239" s="486">
        <f t="shared" si="94"/>
        <v>-1</v>
      </c>
      <c r="AS239" s="472">
        <f t="shared" si="95"/>
        <v>-1</v>
      </c>
      <c r="AT239" s="472">
        <f t="shared" si="96"/>
        <v>-1</v>
      </c>
      <c r="AU239" s="472">
        <f t="shared" si="97"/>
        <v>-1</v>
      </c>
      <c r="AV239" s="472">
        <f t="shared" si="98"/>
        <v>-1</v>
      </c>
      <c r="AW239" s="472">
        <f t="shared" si="99"/>
        <v>-1</v>
      </c>
      <c r="AX239" s="472">
        <f t="shared" si="100"/>
        <v>-1</v>
      </c>
      <c r="AY239" s="472">
        <f t="shared" si="101"/>
        <v>-1</v>
      </c>
      <c r="AZ239" s="472">
        <f t="shared" si="102"/>
        <v>-1</v>
      </c>
      <c r="BA239" s="472">
        <f t="shared" si="103"/>
        <v>-1</v>
      </c>
      <c r="BB239" s="472">
        <f t="shared" si="104"/>
        <v>-1</v>
      </c>
      <c r="BC239" s="472">
        <f t="shared" si="105"/>
        <v>-1</v>
      </c>
      <c r="BD239" s="472">
        <f t="shared" si="106"/>
        <v>-1</v>
      </c>
      <c r="BE239" s="472">
        <f t="shared" si="107"/>
        <v>-1</v>
      </c>
    </row>
    <row r="240" spans="1:57" hidden="1" x14ac:dyDescent="0.35">
      <c r="A240" s="19">
        <v>45896</v>
      </c>
      <c r="B240" s="17">
        <v>56826362</v>
      </c>
      <c r="C240" s="17">
        <v>0</v>
      </c>
      <c r="D240" s="17">
        <v>5768049.3017241377</v>
      </c>
      <c r="E240" s="17">
        <v>0</v>
      </c>
      <c r="F240" s="484">
        <f t="shared" si="83"/>
        <v>4752876.2758620689</v>
      </c>
      <c r="G240" s="484">
        <f t="shared" si="84"/>
        <v>0</v>
      </c>
      <c r="H240" s="484">
        <f t="shared" si="85"/>
        <v>1015173.025862069</v>
      </c>
      <c r="I240" s="484">
        <f t="shared" si="86"/>
        <v>0</v>
      </c>
      <c r="J240" s="19">
        <v>46260</v>
      </c>
      <c r="K240" s="17">
        <v>9354046.4810934905</v>
      </c>
      <c r="L240" s="17">
        <v>7838384.3182702204</v>
      </c>
      <c r="M240" s="17">
        <v>1515662.1628232701</v>
      </c>
      <c r="N240" s="17">
        <v>4516794</v>
      </c>
      <c r="O240" s="17">
        <v>0</v>
      </c>
      <c r="P240" s="17">
        <v>37898.275862069</v>
      </c>
      <c r="Q240" s="17">
        <v>0</v>
      </c>
      <c r="R240" s="17">
        <v>51151</v>
      </c>
      <c r="S240" s="17">
        <v>0</v>
      </c>
      <c r="T240" s="17">
        <v>2199</v>
      </c>
      <c r="U240" s="17">
        <v>0</v>
      </c>
      <c r="V240" s="17">
        <v>144834</v>
      </c>
      <c r="W240" s="17">
        <v>0</v>
      </c>
      <c r="X240" s="17">
        <v>864251</v>
      </c>
      <c r="Y240" s="17">
        <v>0</v>
      </c>
      <c r="Z240" s="17">
        <v>85695</v>
      </c>
      <c r="AA240" s="17">
        <v>0</v>
      </c>
      <c r="AB240" s="17">
        <v>46707</v>
      </c>
      <c r="AC240" s="17">
        <v>0</v>
      </c>
      <c r="AD240" s="17">
        <v>16838</v>
      </c>
      <c r="AE240" s="17">
        <v>0</v>
      </c>
      <c r="AF240" s="17">
        <v>1079.4396551724101</v>
      </c>
      <c r="AG240" s="17">
        <v>0</v>
      </c>
      <c r="AH240" s="17">
        <v>602.58620689655197</v>
      </c>
      <c r="AI240" s="17">
        <v>0</v>
      </c>
      <c r="AJ240" s="54">
        <f t="shared" si="87"/>
        <v>949946</v>
      </c>
      <c r="AK240" s="54">
        <f t="shared" si="88"/>
        <v>0</v>
      </c>
      <c r="AL240" s="54">
        <f t="shared" si="89"/>
        <v>63545</v>
      </c>
      <c r="AM240" s="54">
        <f t="shared" si="90"/>
        <v>0</v>
      </c>
      <c r="AN240" s="19">
        <v>46260</v>
      </c>
      <c r="AO240" s="487">
        <f t="shared" si="91"/>
        <v>-1</v>
      </c>
      <c r="AP240" s="487">
        <f t="shared" si="92"/>
        <v>-1</v>
      </c>
      <c r="AQ240" s="486">
        <f t="shared" si="93"/>
        <v>-1</v>
      </c>
      <c r="AR240" s="486">
        <f t="shared" si="94"/>
        <v>-1</v>
      </c>
      <c r="AS240" s="472">
        <f t="shared" si="95"/>
        <v>-1</v>
      </c>
      <c r="AT240" s="472">
        <f t="shared" si="96"/>
        <v>-1</v>
      </c>
      <c r="AU240" s="472">
        <f t="shared" si="97"/>
        <v>-1</v>
      </c>
      <c r="AV240" s="472">
        <f t="shared" si="98"/>
        <v>-1</v>
      </c>
      <c r="AW240" s="472">
        <f t="shared" si="99"/>
        <v>-1</v>
      </c>
      <c r="AX240" s="472">
        <f t="shared" si="100"/>
        <v>-1</v>
      </c>
      <c r="AY240" s="472">
        <f t="shared" si="101"/>
        <v>-1</v>
      </c>
      <c r="AZ240" s="472">
        <f t="shared" si="102"/>
        <v>-1</v>
      </c>
      <c r="BA240" s="472">
        <f t="shared" si="103"/>
        <v>-1</v>
      </c>
      <c r="BB240" s="472">
        <f t="shared" si="104"/>
        <v>-1</v>
      </c>
      <c r="BC240" s="472">
        <f t="shared" si="105"/>
        <v>-1</v>
      </c>
      <c r="BD240" s="472">
        <f t="shared" si="106"/>
        <v>-1</v>
      </c>
      <c r="BE240" s="472">
        <f t="shared" si="107"/>
        <v>-1</v>
      </c>
    </row>
    <row r="241" spans="1:57" hidden="1" x14ac:dyDescent="0.35">
      <c r="A241" s="16">
        <v>45897</v>
      </c>
      <c r="B241" s="17">
        <v>63734827</v>
      </c>
      <c r="C241" s="17">
        <v>0</v>
      </c>
      <c r="D241" s="17">
        <v>5054660.6293103443</v>
      </c>
      <c r="E241" s="17">
        <v>0</v>
      </c>
      <c r="F241" s="484">
        <f t="shared" si="83"/>
        <v>4175058.6896551722</v>
      </c>
      <c r="G241" s="484">
        <f t="shared" si="84"/>
        <v>0</v>
      </c>
      <c r="H241" s="484">
        <f t="shared" si="85"/>
        <v>879601.93965517241</v>
      </c>
      <c r="I241" s="484">
        <f t="shared" si="86"/>
        <v>0</v>
      </c>
      <c r="J241" s="19">
        <v>46261</v>
      </c>
      <c r="K241" s="17">
        <v>7612671.9237513505</v>
      </c>
      <c r="L241" s="17">
        <v>6180720.2253777403</v>
      </c>
      <c r="M241" s="17">
        <v>1431951.6983736099</v>
      </c>
      <c r="N241" s="17">
        <v>3868560</v>
      </c>
      <c r="O241" s="17">
        <v>0</v>
      </c>
      <c r="P241" s="17">
        <v>31270.689655172398</v>
      </c>
      <c r="Q241" s="17">
        <v>0</v>
      </c>
      <c r="R241" s="17">
        <v>38622</v>
      </c>
      <c r="S241" s="17">
        <v>0</v>
      </c>
      <c r="T241" s="17">
        <v>4537</v>
      </c>
      <c r="U241" s="17">
        <v>0</v>
      </c>
      <c r="V241" s="17">
        <v>232069</v>
      </c>
      <c r="W241" s="17">
        <v>0</v>
      </c>
      <c r="X241" s="17">
        <v>646678</v>
      </c>
      <c r="Y241" s="17">
        <v>0</v>
      </c>
      <c r="Z241" s="17">
        <v>183692</v>
      </c>
      <c r="AA241" s="17">
        <v>0</v>
      </c>
      <c r="AB241" s="17">
        <v>35183</v>
      </c>
      <c r="AC241" s="17">
        <v>0</v>
      </c>
      <c r="AD241" s="17">
        <v>12747</v>
      </c>
      <c r="AE241" s="17">
        <v>0</v>
      </c>
      <c r="AF241" s="17">
        <v>1301.9396551724101</v>
      </c>
      <c r="AG241" s="17">
        <v>0</v>
      </c>
      <c r="AH241" s="17">
        <v>0</v>
      </c>
      <c r="AI241" s="17">
        <v>0</v>
      </c>
      <c r="AJ241" s="54">
        <f t="shared" si="87"/>
        <v>830370</v>
      </c>
      <c r="AK241" s="54">
        <f t="shared" si="88"/>
        <v>0</v>
      </c>
      <c r="AL241" s="54">
        <f t="shared" si="89"/>
        <v>47930</v>
      </c>
      <c r="AM241" s="54">
        <f t="shared" si="90"/>
        <v>0</v>
      </c>
      <c r="AN241" s="19">
        <v>46261</v>
      </c>
      <c r="AO241" s="487">
        <f t="shared" si="91"/>
        <v>-1</v>
      </c>
      <c r="AP241" s="487">
        <f t="shared" si="92"/>
        <v>-1</v>
      </c>
      <c r="AQ241" s="486">
        <f t="shared" si="93"/>
        <v>-1</v>
      </c>
      <c r="AR241" s="486">
        <f t="shared" si="94"/>
        <v>-1</v>
      </c>
      <c r="AS241" s="472">
        <f t="shared" si="95"/>
        <v>-1</v>
      </c>
      <c r="AT241" s="472">
        <f t="shared" si="96"/>
        <v>-1</v>
      </c>
      <c r="AU241" s="472">
        <f t="shared" si="97"/>
        <v>-1</v>
      </c>
      <c r="AV241" s="472">
        <f t="shared" si="98"/>
        <v>-1</v>
      </c>
      <c r="AW241" s="472">
        <f t="shared" si="99"/>
        <v>-1</v>
      </c>
      <c r="AX241" s="472">
        <f t="shared" si="100"/>
        <v>-1</v>
      </c>
      <c r="AY241" s="472">
        <f t="shared" si="101"/>
        <v>-1</v>
      </c>
      <c r="AZ241" s="472">
        <f t="shared" si="102"/>
        <v>-1</v>
      </c>
      <c r="BA241" s="472">
        <f t="shared" si="103"/>
        <v>-1</v>
      </c>
      <c r="BB241" s="472">
        <f t="shared" si="104"/>
        <v>-1</v>
      </c>
      <c r="BC241" s="472">
        <f t="shared" si="105"/>
        <v>-1</v>
      </c>
      <c r="BD241" s="472">
        <f t="shared" si="106"/>
        <v>-1</v>
      </c>
      <c r="BE241" s="472">
        <f t="shared" si="107"/>
        <v>1</v>
      </c>
    </row>
    <row r="242" spans="1:57" hidden="1" x14ac:dyDescent="0.35">
      <c r="A242" s="19">
        <v>45898</v>
      </c>
      <c r="B242" s="17">
        <v>65931437</v>
      </c>
      <c r="C242" s="17">
        <v>0</v>
      </c>
      <c r="D242" s="17">
        <v>4667974.1982758613</v>
      </c>
      <c r="E242" s="17">
        <v>0</v>
      </c>
      <c r="F242" s="484">
        <f t="shared" si="83"/>
        <v>3838550.1724137929</v>
      </c>
      <c r="G242" s="484">
        <f t="shared" si="84"/>
        <v>0</v>
      </c>
      <c r="H242" s="484">
        <f t="shared" si="85"/>
        <v>829424.02586206899</v>
      </c>
      <c r="I242" s="484">
        <f t="shared" si="86"/>
        <v>0</v>
      </c>
      <c r="J242" s="19">
        <v>46262</v>
      </c>
      <c r="K242" s="17">
        <v>6670038.5053026695</v>
      </c>
      <c r="L242" s="17">
        <v>5429316.5206810199</v>
      </c>
      <c r="M242" s="17">
        <v>1240721.9846216501</v>
      </c>
      <c r="N242" s="17">
        <v>3565076</v>
      </c>
      <c r="O242" s="17">
        <v>0</v>
      </c>
      <c r="P242" s="17">
        <v>41705.172413793101</v>
      </c>
      <c r="Q242" s="17">
        <v>0</v>
      </c>
      <c r="R242" s="17">
        <v>58290</v>
      </c>
      <c r="S242" s="17">
        <v>0</v>
      </c>
      <c r="T242" s="17">
        <v>-1718</v>
      </c>
      <c r="U242" s="17">
        <v>0</v>
      </c>
      <c r="V242" s="17">
        <v>175197</v>
      </c>
      <c r="W242" s="17">
        <v>0</v>
      </c>
      <c r="X242" s="17">
        <v>594390</v>
      </c>
      <c r="Y242" s="17">
        <v>0</v>
      </c>
      <c r="Z242" s="17">
        <v>186981</v>
      </c>
      <c r="AA242" s="17">
        <v>0</v>
      </c>
      <c r="AB242" s="17">
        <v>36599</v>
      </c>
      <c r="AC242" s="17">
        <v>0</v>
      </c>
      <c r="AD242" s="17">
        <v>9709</v>
      </c>
      <c r="AE242" s="17">
        <v>0</v>
      </c>
      <c r="AF242" s="17">
        <v>711.40517241379303</v>
      </c>
      <c r="AG242" s="17">
        <v>0</v>
      </c>
      <c r="AH242" s="17">
        <v>1033.6206896551701</v>
      </c>
      <c r="AI242" s="17">
        <v>0</v>
      </c>
      <c r="AJ242" s="54">
        <f t="shared" si="87"/>
        <v>781371</v>
      </c>
      <c r="AK242" s="54">
        <f t="shared" si="88"/>
        <v>0</v>
      </c>
      <c r="AL242" s="54">
        <f t="shared" si="89"/>
        <v>46308</v>
      </c>
      <c r="AM242" s="54">
        <f t="shared" si="90"/>
        <v>0</v>
      </c>
      <c r="AN242" s="19">
        <v>46262</v>
      </c>
      <c r="AO242" s="487">
        <f t="shared" si="91"/>
        <v>-1</v>
      </c>
      <c r="AP242" s="487">
        <f t="shared" si="92"/>
        <v>-1</v>
      </c>
      <c r="AQ242" s="486">
        <f t="shared" si="93"/>
        <v>-1</v>
      </c>
      <c r="AR242" s="486">
        <f t="shared" si="94"/>
        <v>-1</v>
      </c>
      <c r="AS242" s="472">
        <f t="shared" si="95"/>
        <v>-1</v>
      </c>
      <c r="AT242" s="472">
        <f t="shared" si="96"/>
        <v>-1</v>
      </c>
      <c r="AU242" s="472">
        <f t="shared" si="97"/>
        <v>-1</v>
      </c>
      <c r="AV242" s="472">
        <f t="shared" si="98"/>
        <v>-1</v>
      </c>
      <c r="AW242" s="472">
        <f t="shared" si="99"/>
        <v>-1</v>
      </c>
      <c r="AX242" s="472">
        <f t="shared" si="100"/>
        <v>-1</v>
      </c>
      <c r="AY242" s="472">
        <f t="shared" si="101"/>
        <v>-1</v>
      </c>
      <c r="AZ242" s="472">
        <f t="shared" si="102"/>
        <v>-1</v>
      </c>
      <c r="BA242" s="472">
        <f t="shared" si="103"/>
        <v>-1</v>
      </c>
      <c r="BB242" s="472">
        <f t="shared" si="104"/>
        <v>-1</v>
      </c>
      <c r="BC242" s="472">
        <f t="shared" si="105"/>
        <v>-1</v>
      </c>
      <c r="BD242" s="472">
        <f t="shared" si="106"/>
        <v>-1</v>
      </c>
      <c r="BE242" s="472">
        <f t="shared" si="107"/>
        <v>-1</v>
      </c>
    </row>
    <row r="243" spans="1:57" hidden="1" x14ac:dyDescent="0.35">
      <c r="A243" s="16">
        <v>45899</v>
      </c>
      <c r="B243" s="17">
        <v>86172681</v>
      </c>
      <c r="C243" s="17">
        <v>0</v>
      </c>
      <c r="D243" s="17">
        <v>3821966.4482758618</v>
      </c>
      <c r="E243" s="17">
        <v>0</v>
      </c>
      <c r="F243" s="484">
        <f t="shared" si="83"/>
        <v>2743249.6896551722</v>
      </c>
      <c r="G243" s="484">
        <f t="shared" si="84"/>
        <v>0</v>
      </c>
      <c r="H243" s="484">
        <f t="shared" si="85"/>
        <v>1078716.7586206896</v>
      </c>
      <c r="I243" s="484">
        <f t="shared" si="86"/>
        <v>0</v>
      </c>
      <c r="J243" s="19">
        <v>46263</v>
      </c>
      <c r="K243" s="17">
        <v>6161658.7453408297</v>
      </c>
      <c r="L243" s="17">
        <v>4991715.1867080601</v>
      </c>
      <c r="M243" s="17">
        <v>1169943.5586327701</v>
      </c>
      <c r="N243" s="17">
        <v>2504987</v>
      </c>
      <c r="O243" s="17">
        <v>0</v>
      </c>
      <c r="P243" s="17">
        <v>48545.689655172398</v>
      </c>
      <c r="Q243" s="17">
        <v>0</v>
      </c>
      <c r="R243" s="17">
        <v>23754</v>
      </c>
      <c r="S243" s="17">
        <v>0</v>
      </c>
      <c r="T243" s="17">
        <v>1397</v>
      </c>
      <c r="U243" s="17">
        <v>0</v>
      </c>
      <c r="V243" s="17">
        <v>164566</v>
      </c>
      <c r="W243" s="17">
        <v>0</v>
      </c>
      <c r="X243" s="17">
        <v>758218</v>
      </c>
      <c r="Y243" s="17">
        <v>0</v>
      </c>
      <c r="Z243" s="17">
        <v>270836</v>
      </c>
      <c r="AA243" s="17">
        <v>0</v>
      </c>
      <c r="AB243" s="17">
        <v>35654</v>
      </c>
      <c r="AC243" s="17">
        <v>0</v>
      </c>
      <c r="AD243" s="17">
        <v>13751</v>
      </c>
      <c r="AE243" s="17">
        <v>0</v>
      </c>
      <c r="AF243" s="17">
        <v>257.758620689655</v>
      </c>
      <c r="AG243" s="17">
        <v>0</v>
      </c>
      <c r="AH243" s="17">
        <v>0</v>
      </c>
      <c r="AI243" s="17">
        <v>0</v>
      </c>
      <c r="AJ243" s="54">
        <f t="shared" si="87"/>
        <v>1029054</v>
      </c>
      <c r="AK243" s="54">
        <f t="shared" si="88"/>
        <v>0</v>
      </c>
      <c r="AL243" s="54">
        <f t="shared" si="89"/>
        <v>49405</v>
      </c>
      <c r="AM243" s="54">
        <f t="shared" si="90"/>
        <v>0</v>
      </c>
      <c r="AN243" s="19">
        <v>46263</v>
      </c>
      <c r="AO243" s="487">
        <f t="shared" si="91"/>
        <v>-1</v>
      </c>
      <c r="AP243" s="487">
        <f t="shared" si="92"/>
        <v>-1</v>
      </c>
      <c r="AQ243" s="486">
        <f t="shared" si="93"/>
        <v>-1</v>
      </c>
      <c r="AR243" s="486">
        <f t="shared" si="94"/>
        <v>-1</v>
      </c>
      <c r="AS243" s="472">
        <f t="shared" si="95"/>
        <v>-1</v>
      </c>
      <c r="AT243" s="472">
        <f t="shared" si="96"/>
        <v>-1</v>
      </c>
      <c r="AU243" s="472">
        <f t="shared" si="97"/>
        <v>-1</v>
      </c>
      <c r="AV243" s="472">
        <f t="shared" si="98"/>
        <v>-1</v>
      </c>
      <c r="AW243" s="472">
        <f t="shared" si="99"/>
        <v>-1</v>
      </c>
      <c r="AX243" s="472">
        <f t="shared" si="100"/>
        <v>-1</v>
      </c>
      <c r="AY243" s="472">
        <f t="shared" si="101"/>
        <v>-1</v>
      </c>
      <c r="AZ243" s="472">
        <f t="shared" si="102"/>
        <v>-1</v>
      </c>
      <c r="BA243" s="472">
        <f t="shared" si="103"/>
        <v>-1</v>
      </c>
      <c r="BB243" s="472">
        <f t="shared" si="104"/>
        <v>-1</v>
      </c>
      <c r="BC243" s="472">
        <f t="shared" si="105"/>
        <v>-1</v>
      </c>
      <c r="BD243" s="472">
        <f t="shared" si="106"/>
        <v>-1</v>
      </c>
      <c r="BE243" s="472">
        <f t="shared" si="107"/>
        <v>1</v>
      </c>
    </row>
    <row r="244" spans="1:57" hidden="1" x14ac:dyDescent="0.35">
      <c r="A244" s="19">
        <v>45900</v>
      </c>
      <c r="B244" s="17">
        <v>82032386</v>
      </c>
      <c r="C244" s="17">
        <v>0</v>
      </c>
      <c r="D244" s="17">
        <v>4134668.9913793104</v>
      </c>
      <c r="E244" s="17">
        <v>0</v>
      </c>
      <c r="F244" s="484">
        <f t="shared" si="83"/>
        <v>3046307.1724137929</v>
      </c>
      <c r="G244" s="484">
        <f t="shared" si="84"/>
        <v>0</v>
      </c>
      <c r="H244" s="484">
        <f t="shared" si="85"/>
        <v>1088361.8189655172</v>
      </c>
      <c r="I244" s="484">
        <f t="shared" si="86"/>
        <v>0</v>
      </c>
      <c r="J244" s="19">
        <v>46264</v>
      </c>
      <c r="K244" s="17">
        <v>5088951.2944574002</v>
      </c>
      <c r="L244" s="17">
        <v>3567368.0222272598</v>
      </c>
      <c r="M244" s="17">
        <v>1521583.2722301399</v>
      </c>
      <c r="N244" s="17">
        <v>2787596</v>
      </c>
      <c r="O244" s="17">
        <v>0</v>
      </c>
      <c r="P244" s="17">
        <v>44080.172413793101</v>
      </c>
      <c r="Q244" s="17">
        <v>0</v>
      </c>
      <c r="R244" s="17">
        <v>9613</v>
      </c>
      <c r="S244" s="17">
        <v>0</v>
      </c>
      <c r="T244" s="17">
        <v>3315</v>
      </c>
      <c r="U244" s="17">
        <v>0</v>
      </c>
      <c r="V244" s="17">
        <v>201703</v>
      </c>
      <c r="W244" s="17">
        <v>0</v>
      </c>
      <c r="X244" s="17">
        <v>650854</v>
      </c>
      <c r="Y244" s="17">
        <v>0</v>
      </c>
      <c r="Z244" s="17">
        <v>373478</v>
      </c>
      <c r="AA244" s="17">
        <v>0</v>
      </c>
      <c r="AB244" s="17">
        <v>47088</v>
      </c>
      <c r="AC244" s="17">
        <v>0</v>
      </c>
      <c r="AD244" s="17">
        <v>16121</v>
      </c>
      <c r="AE244" s="17">
        <v>0</v>
      </c>
      <c r="AF244" s="17">
        <v>820.81896551724105</v>
      </c>
      <c r="AG244" s="17">
        <v>0</v>
      </c>
      <c r="AH244" s="17">
        <v>0</v>
      </c>
      <c r="AI244" s="17">
        <v>0</v>
      </c>
      <c r="AJ244" s="54">
        <f t="shared" si="87"/>
        <v>1024332</v>
      </c>
      <c r="AK244" s="54">
        <f t="shared" si="88"/>
        <v>0</v>
      </c>
      <c r="AL244" s="54">
        <f t="shared" si="89"/>
        <v>63209</v>
      </c>
      <c r="AM244" s="54">
        <f t="shared" si="90"/>
        <v>0</v>
      </c>
      <c r="AN244" s="19">
        <v>46264</v>
      </c>
      <c r="AO244" s="487">
        <f t="shared" si="91"/>
        <v>-1</v>
      </c>
      <c r="AP244" s="487">
        <f t="shared" si="92"/>
        <v>-1</v>
      </c>
      <c r="AQ244" s="486">
        <f t="shared" si="93"/>
        <v>-1</v>
      </c>
      <c r="AR244" s="486">
        <f t="shared" si="94"/>
        <v>-1</v>
      </c>
      <c r="AS244" s="472">
        <f t="shared" si="95"/>
        <v>-1</v>
      </c>
      <c r="AT244" s="472">
        <f t="shared" si="96"/>
        <v>-1</v>
      </c>
      <c r="AU244" s="472">
        <f t="shared" si="97"/>
        <v>-1</v>
      </c>
      <c r="AV244" s="472">
        <f t="shared" si="98"/>
        <v>-1</v>
      </c>
      <c r="AW244" s="472">
        <f t="shared" si="99"/>
        <v>-1</v>
      </c>
      <c r="AX244" s="472">
        <f t="shared" si="100"/>
        <v>-1</v>
      </c>
      <c r="AY244" s="472">
        <f t="shared" si="101"/>
        <v>-1</v>
      </c>
      <c r="AZ244" s="472">
        <f t="shared" si="102"/>
        <v>-1</v>
      </c>
      <c r="BA244" s="472">
        <f t="shared" si="103"/>
        <v>-1</v>
      </c>
      <c r="BB244" s="472">
        <f t="shared" si="104"/>
        <v>-1</v>
      </c>
      <c r="BC244" s="472">
        <f t="shared" si="105"/>
        <v>-1</v>
      </c>
      <c r="BD244" s="472">
        <f t="shared" si="106"/>
        <v>-1</v>
      </c>
      <c r="BE244" s="472">
        <f t="shared" si="107"/>
        <v>1</v>
      </c>
    </row>
    <row r="245" spans="1:57" hidden="1" x14ac:dyDescent="0.35">
      <c r="A245" s="16">
        <v>45901</v>
      </c>
      <c r="B245" s="17">
        <v>31649055</v>
      </c>
      <c r="C245" s="17">
        <v>0</v>
      </c>
      <c r="D245" s="17">
        <v>4990529.0517241387</v>
      </c>
      <c r="E245" s="17">
        <v>0</v>
      </c>
      <c r="F245" s="484">
        <f t="shared" si="83"/>
        <v>4080895.8965517241</v>
      </c>
      <c r="G245" s="484">
        <f t="shared" si="84"/>
        <v>0</v>
      </c>
      <c r="H245" s="484">
        <f t="shared" si="85"/>
        <v>909633.1551724138</v>
      </c>
      <c r="I245" s="484">
        <f t="shared" si="86"/>
        <v>0</v>
      </c>
      <c r="J245" s="19">
        <v>46265</v>
      </c>
      <c r="K245" s="17">
        <v>5496657.1747764302</v>
      </c>
      <c r="L245" s="17">
        <v>3961469.0685033901</v>
      </c>
      <c r="M245" s="17">
        <v>1535188.1062730399</v>
      </c>
      <c r="N245" s="17">
        <v>3909270</v>
      </c>
      <c r="O245" s="17">
        <v>0</v>
      </c>
      <c r="P245" s="17">
        <v>26356.896551724101</v>
      </c>
      <c r="Q245" s="17">
        <v>0</v>
      </c>
      <c r="R245" s="17">
        <v>17828</v>
      </c>
      <c r="S245" s="17">
        <v>0</v>
      </c>
      <c r="T245" s="17">
        <v>10082</v>
      </c>
      <c r="U245" s="17">
        <v>0</v>
      </c>
      <c r="V245" s="17">
        <v>117359</v>
      </c>
      <c r="W245" s="17">
        <v>0</v>
      </c>
      <c r="X245" s="17">
        <v>480576</v>
      </c>
      <c r="Y245" s="17">
        <v>0</v>
      </c>
      <c r="Z245" s="17">
        <v>371920</v>
      </c>
      <c r="AA245" s="17">
        <v>0</v>
      </c>
      <c r="AB245" s="17">
        <v>38723</v>
      </c>
      <c r="AC245" s="17">
        <v>0</v>
      </c>
      <c r="AD245" s="17">
        <v>18027</v>
      </c>
      <c r="AE245" s="17">
        <v>0</v>
      </c>
      <c r="AF245" s="17">
        <v>387.15517241379303</v>
      </c>
      <c r="AG245" s="17">
        <v>0</v>
      </c>
      <c r="AH245" s="17">
        <v>0</v>
      </c>
      <c r="AI245" s="17">
        <v>0</v>
      </c>
      <c r="AJ245" s="54">
        <f t="shared" si="87"/>
        <v>852496</v>
      </c>
      <c r="AK245" s="54">
        <f t="shared" si="88"/>
        <v>0</v>
      </c>
      <c r="AL245" s="54">
        <f t="shared" si="89"/>
        <v>56750</v>
      </c>
      <c r="AM245" s="54">
        <f t="shared" si="90"/>
        <v>0</v>
      </c>
      <c r="AN245" s="19">
        <v>46265</v>
      </c>
      <c r="AO245" s="487">
        <f t="shared" si="91"/>
        <v>-1</v>
      </c>
      <c r="AP245" s="487">
        <f t="shared" si="92"/>
        <v>-1</v>
      </c>
      <c r="AQ245" s="486">
        <f t="shared" si="93"/>
        <v>-1</v>
      </c>
      <c r="AR245" s="486">
        <f t="shared" si="94"/>
        <v>-1</v>
      </c>
      <c r="AS245" s="472">
        <f t="shared" si="95"/>
        <v>-1</v>
      </c>
      <c r="AT245" s="472">
        <f t="shared" si="96"/>
        <v>-1</v>
      </c>
      <c r="AU245" s="472">
        <f t="shared" si="97"/>
        <v>-1</v>
      </c>
      <c r="AV245" s="472">
        <f t="shared" si="98"/>
        <v>-1</v>
      </c>
      <c r="AW245" s="472">
        <f t="shared" si="99"/>
        <v>-1</v>
      </c>
      <c r="AX245" s="472">
        <f t="shared" si="100"/>
        <v>-1</v>
      </c>
      <c r="AY245" s="472">
        <f t="shared" si="101"/>
        <v>-1</v>
      </c>
      <c r="AZ245" s="472">
        <f t="shared" si="102"/>
        <v>-1</v>
      </c>
      <c r="BA245" s="472">
        <f t="shared" si="103"/>
        <v>-1</v>
      </c>
      <c r="BB245" s="472">
        <f t="shared" si="104"/>
        <v>-1</v>
      </c>
      <c r="BC245" s="472">
        <f t="shared" si="105"/>
        <v>-1</v>
      </c>
      <c r="BD245" s="472">
        <f t="shared" si="106"/>
        <v>-1</v>
      </c>
      <c r="BE245" s="472">
        <f t="shared" si="107"/>
        <v>1</v>
      </c>
    </row>
  </sheetData>
  <autoFilter ref="A2:BE245" xr:uid="{C2F7E3D4-4717-4B08-9658-AA4A84FE84D2}">
    <filterColumn colId="39">
      <filters>
        <dateGroupItem year="2026" month="6" dateTimeGrouping="month"/>
        <dateGroupItem year="2026" month="7" dateTimeGrouping="month"/>
        <dateGroupItem year="2026" month="8" day="1" dateTimeGrouping="day"/>
        <dateGroupItem year="2026" month="8" day="2" dateTimeGrouping="day"/>
        <dateGroupItem year="2026" month="8" day="3" dateTimeGrouping="day"/>
        <dateGroupItem year="2026" month="8" day="4" dateTimeGrouping="day"/>
        <dateGroupItem year="2026" month="8" day="5" dateTimeGrouping="day"/>
        <dateGroupItem year="2026" month="8" day="6" dateTimeGrouping="day"/>
        <dateGroupItem year="2026" month="8" day="7" dateTimeGrouping="day"/>
        <dateGroupItem year="2026" month="8" day="8" dateTimeGrouping="day"/>
        <dateGroupItem year="2026" month="8" day="9" dateTimeGrouping="day"/>
        <dateGroupItem year="2026" month="8" day="10" dateTimeGrouping="day"/>
        <dateGroupItem year="2026" month="8" day="11" dateTimeGrouping="day"/>
        <dateGroupItem year="2026" month="8" day="12" dateTimeGrouping="day"/>
      </filters>
    </filterColumn>
  </autoFilter>
  <conditionalFormatting sqref="AO154:BE226">
    <cfRule type="cellIs" dxfId="209" priority="1" operator="greaterThan">
      <formula>0.15</formula>
    </cfRule>
    <cfRule type="cellIs" dxfId="208" priority="2" operator="between">
      <formula>0.1</formula>
      <formula>0.15</formula>
    </cfRule>
    <cfRule type="cellIs" dxfId="207" priority="3" operator="between">
      <formula>0</formula>
      <formula>0.1</formula>
    </cfRule>
    <cfRule type="cellIs" dxfId="206" priority="4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F7B4B-E9DF-4D1E-9898-B407FA10B0DE}">
  <dimension ref="A3:N13"/>
  <sheetViews>
    <sheetView zoomScale="80" zoomScaleNormal="80" workbookViewId="0">
      <selection activeCell="D4" sqref="D4"/>
    </sheetView>
  </sheetViews>
  <sheetFormatPr baseColWidth="10" defaultColWidth="11.453125" defaultRowHeight="14.5" x14ac:dyDescent="0.35"/>
  <cols>
    <col min="1" max="1" width="17.453125" bestFit="1" customWidth="1"/>
    <col min="2" max="2" width="20.81640625" bestFit="1" customWidth="1"/>
    <col min="4" max="4" width="20.81640625" bestFit="1" customWidth="1"/>
    <col min="5" max="5" width="22.453125" bestFit="1" customWidth="1"/>
    <col min="6" max="10" width="10.1796875" bestFit="1" customWidth="1"/>
    <col min="11" max="12" width="11.54296875" bestFit="1" customWidth="1"/>
    <col min="13" max="13" width="6.1796875" bestFit="1" customWidth="1"/>
    <col min="14" max="14" width="11.81640625" bestFit="1" customWidth="1"/>
  </cols>
  <sheetData>
    <row r="3" spans="1:14" x14ac:dyDescent="0.35">
      <c r="A3" s="473" t="s">
        <v>55</v>
      </c>
      <c r="B3" t="s">
        <v>56</v>
      </c>
      <c r="E3" s="473" t="s">
        <v>57</v>
      </c>
    </row>
    <row r="4" spans="1:14" x14ac:dyDescent="0.35">
      <c r="A4" s="474" t="s">
        <v>58</v>
      </c>
      <c r="B4" s="6">
        <v>735903.44827586168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67</v>
      </c>
    </row>
    <row r="5" spans="1:14" x14ac:dyDescent="0.35">
      <c r="A5" s="474" t="s">
        <v>59</v>
      </c>
      <c r="B5" s="6">
        <v>577281.03448275849</v>
      </c>
      <c r="D5" t="s">
        <v>68</v>
      </c>
      <c r="E5" s="6">
        <v>828398</v>
      </c>
      <c r="F5" s="6">
        <v>690246</v>
      </c>
      <c r="G5" s="6">
        <v>781473</v>
      </c>
      <c r="H5" s="6">
        <v>655793</v>
      </c>
      <c r="I5" s="6">
        <v>733475</v>
      </c>
      <c r="J5" s="6">
        <v>933595</v>
      </c>
      <c r="K5" s="6">
        <v>1134357</v>
      </c>
      <c r="L5" s="6">
        <v>1006487</v>
      </c>
      <c r="M5" s="6">
        <v>0</v>
      </c>
      <c r="N5" s="6">
        <v>6763824</v>
      </c>
    </row>
    <row r="6" spans="1:14" x14ac:dyDescent="0.35">
      <c r="A6" s="474" t="s">
        <v>60</v>
      </c>
      <c r="B6" s="6">
        <v>628597.4137931033</v>
      </c>
    </row>
    <row r="7" spans="1:14" x14ac:dyDescent="0.35">
      <c r="A7" s="474" t="s">
        <v>61</v>
      </c>
      <c r="B7" s="6">
        <v>537415.5172413796</v>
      </c>
    </row>
    <row r="8" spans="1:14" x14ac:dyDescent="0.35">
      <c r="A8" s="474" t="s">
        <v>62</v>
      </c>
      <c r="B8" s="6">
        <v>690044.82758620672</v>
      </c>
    </row>
    <row r="9" spans="1:14" x14ac:dyDescent="0.35">
      <c r="A9" s="474" t="s">
        <v>63</v>
      </c>
      <c r="B9" s="6">
        <v>1043100.8620689649</v>
      </c>
    </row>
    <row r="10" spans="1:14" x14ac:dyDescent="0.35">
      <c r="A10" s="474" t="s">
        <v>64</v>
      </c>
      <c r="B10" s="6">
        <v>1288231.8965517238</v>
      </c>
    </row>
    <row r="11" spans="1:14" x14ac:dyDescent="0.35">
      <c r="A11" s="474" t="s">
        <v>65</v>
      </c>
      <c r="B11" s="6">
        <v>1233300</v>
      </c>
    </row>
    <row r="12" spans="1:14" x14ac:dyDescent="0.35">
      <c r="A12" s="474" t="s">
        <v>66</v>
      </c>
      <c r="B12" s="6">
        <v>26356.896551724101</v>
      </c>
    </row>
    <row r="13" spans="1:14" x14ac:dyDescent="0.35">
      <c r="A13" s="474" t="s">
        <v>67</v>
      </c>
      <c r="B13" s="6">
        <v>6760231.8965517227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E9A92-A3CC-4504-A279-27C15D0DC240}">
  <sheetPr codeName="Hoja2"/>
  <dimension ref="A3:L32"/>
  <sheetViews>
    <sheetView topLeftCell="A16" zoomScale="80" zoomScaleNormal="80" workbookViewId="0">
      <selection activeCell="I20" sqref="I20"/>
    </sheetView>
  </sheetViews>
  <sheetFormatPr baseColWidth="10" defaultColWidth="11.453125" defaultRowHeight="14.5" x14ac:dyDescent="0.35"/>
  <cols>
    <col min="1" max="1" width="17.453125" bestFit="1" customWidth="1"/>
    <col min="2" max="2" width="20.453125" bestFit="1" customWidth="1"/>
    <col min="3" max="4" width="21.453125" bestFit="1" customWidth="1"/>
    <col min="5" max="5" width="20.453125" bestFit="1" customWidth="1"/>
    <col min="6" max="6" width="21.453125" bestFit="1" customWidth="1"/>
    <col min="7" max="7" width="20.453125" bestFit="1" customWidth="1"/>
    <col min="8" max="8" width="24.453125" bestFit="1" customWidth="1"/>
    <col min="9" max="9" width="23.54296875" bestFit="1" customWidth="1"/>
    <col min="10" max="10" width="18.54296875" bestFit="1" customWidth="1"/>
    <col min="11" max="11" width="18.1796875" bestFit="1" customWidth="1"/>
    <col min="12" max="12" width="19" bestFit="1" customWidth="1"/>
  </cols>
  <sheetData>
    <row r="3" spans="1:12" x14ac:dyDescent="0.35">
      <c r="A3" s="473" t="s">
        <v>55</v>
      </c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77</v>
      </c>
      <c r="K3" t="s">
        <v>78</v>
      </c>
      <c r="L3" t="s">
        <v>79</v>
      </c>
    </row>
    <row r="4" spans="1:12" x14ac:dyDescent="0.35">
      <c r="A4" s="474" t="s">
        <v>58</v>
      </c>
      <c r="B4" s="6">
        <v>64774122</v>
      </c>
      <c r="C4" s="6">
        <v>1448010</v>
      </c>
      <c r="D4" s="6">
        <v>110309</v>
      </c>
      <c r="E4" s="6">
        <v>1740843</v>
      </c>
      <c r="F4" s="6">
        <v>12634416</v>
      </c>
      <c r="G4" s="6">
        <v>2796767</v>
      </c>
      <c r="H4" s="6">
        <v>1549978</v>
      </c>
      <c r="I4" s="6">
        <v>337627</v>
      </c>
      <c r="J4">
        <v>0</v>
      </c>
      <c r="K4" s="6">
        <v>0</v>
      </c>
      <c r="L4" s="6">
        <v>988946355</v>
      </c>
    </row>
    <row r="5" spans="1:12" x14ac:dyDescent="0.35">
      <c r="A5" s="474" t="s">
        <v>59</v>
      </c>
      <c r="B5" s="6">
        <v>62779662</v>
      </c>
      <c r="C5" s="6">
        <v>1441236</v>
      </c>
      <c r="D5" s="6">
        <v>110248</v>
      </c>
      <c r="E5" s="6">
        <v>1727351</v>
      </c>
      <c r="F5" s="6">
        <v>8028750</v>
      </c>
      <c r="G5" s="6">
        <v>1592434</v>
      </c>
      <c r="H5" s="6">
        <v>784689</v>
      </c>
      <c r="I5" s="6">
        <v>145354</v>
      </c>
      <c r="J5">
        <v>0</v>
      </c>
      <c r="K5" s="6">
        <v>0</v>
      </c>
      <c r="L5" s="6">
        <v>962218940</v>
      </c>
    </row>
    <row r="6" spans="1:12" x14ac:dyDescent="0.35">
      <c r="A6" s="474" t="s">
        <v>60</v>
      </c>
      <c r="B6" s="6">
        <v>70846957</v>
      </c>
      <c r="C6" s="6">
        <v>1430022</v>
      </c>
      <c r="D6" s="6">
        <v>105504</v>
      </c>
      <c r="E6" s="6">
        <v>1895057</v>
      </c>
      <c r="F6" s="6">
        <v>12534250</v>
      </c>
      <c r="G6" s="6">
        <v>3477562</v>
      </c>
      <c r="H6" s="6">
        <v>516151</v>
      </c>
      <c r="I6" s="6">
        <v>262286</v>
      </c>
      <c r="J6">
        <v>0</v>
      </c>
      <c r="K6" s="6">
        <v>0</v>
      </c>
      <c r="L6" s="6">
        <v>1186617098</v>
      </c>
    </row>
    <row r="7" spans="1:12" x14ac:dyDescent="0.35">
      <c r="A7" s="474" t="s">
        <v>61</v>
      </c>
      <c r="B7" s="6">
        <v>64872371</v>
      </c>
      <c r="C7" s="6">
        <v>1319157</v>
      </c>
      <c r="D7" s="6">
        <v>228719</v>
      </c>
      <c r="E7" s="6">
        <v>1991672</v>
      </c>
      <c r="F7" s="6">
        <v>10402707</v>
      </c>
      <c r="G7" s="6">
        <v>2880496</v>
      </c>
      <c r="H7" s="6">
        <v>565896</v>
      </c>
      <c r="I7" s="6">
        <v>256773</v>
      </c>
      <c r="J7">
        <v>0</v>
      </c>
      <c r="K7" s="6">
        <v>0</v>
      </c>
      <c r="L7" s="6">
        <v>1035672463</v>
      </c>
    </row>
    <row r="8" spans="1:12" x14ac:dyDescent="0.35">
      <c r="A8" s="474" t="s">
        <v>62</v>
      </c>
      <c r="B8" s="6">
        <v>77993633</v>
      </c>
      <c r="C8" s="6">
        <v>1186894</v>
      </c>
      <c r="D8" s="6">
        <v>193949</v>
      </c>
      <c r="E8" s="6">
        <v>2807631</v>
      </c>
      <c r="F8" s="6">
        <v>17783854</v>
      </c>
      <c r="G8" s="6">
        <v>4277531</v>
      </c>
      <c r="H8" s="6">
        <v>740101</v>
      </c>
      <c r="I8" s="6">
        <v>340898</v>
      </c>
      <c r="J8">
        <v>0</v>
      </c>
      <c r="K8" s="6">
        <v>0</v>
      </c>
      <c r="L8" s="6">
        <v>1152795410</v>
      </c>
    </row>
    <row r="9" spans="1:12" x14ac:dyDescent="0.35">
      <c r="A9" s="474" t="s">
        <v>63</v>
      </c>
      <c r="B9" s="6">
        <v>81146441</v>
      </c>
      <c r="C9" s="6">
        <v>1075608</v>
      </c>
      <c r="D9" s="6">
        <v>224382</v>
      </c>
      <c r="E9" s="6">
        <v>3214064</v>
      </c>
      <c r="F9" s="6">
        <v>21666219</v>
      </c>
      <c r="G9" s="6">
        <v>4885568</v>
      </c>
      <c r="H9" s="6">
        <v>1068283</v>
      </c>
      <c r="I9" s="6">
        <v>357640</v>
      </c>
      <c r="J9">
        <v>0</v>
      </c>
      <c r="K9" s="6">
        <v>0</v>
      </c>
      <c r="L9" s="6">
        <v>1224352130</v>
      </c>
    </row>
    <row r="10" spans="1:12" x14ac:dyDescent="0.35">
      <c r="A10" s="474" t="s">
        <v>64</v>
      </c>
      <c r="B10" s="6">
        <v>85926647</v>
      </c>
      <c r="C10" s="6">
        <v>993236</v>
      </c>
      <c r="D10" s="6">
        <v>183021</v>
      </c>
      <c r="E10" s="6">
        <v>3267791</v>
      </c>
      <c r="F10" s="6">
        <v>18674810</v>
      </c>
      <c r="G10" s="6">
        <v>3524088</v>
      </c>
      <c r="H10" s="6">
        <v>1034594</v>
      </c>
      <c r="I10" s="6">
        <v>335023</v>
      </c>
      <c r="J10">
        <v>0</v>
      </c>
      <c r="K10" s="6">
        <v>0</v>
      </c>
      <c r="L10" s="6">
        <v>1257444654</v>
      </c>
    </row>
    <row r="11" spans="1:12" x14ac:dyDescent="0.35">
      <c r="A11" s="474" t="s">
        <v>65</v>
      </c>
      <c r="B11" s="6">
        <v>108478992</v>
      </c>
      <c r="C11" s="6">
        <v>1181596</v>
      </c>
      <c r="D11" s="6">
        <v>171602</v>
      </c>
      <c r="E11" s="6">
        <v>4704001</v>
      </c>
      <c r="F11" s="6">
        <v>21315555</v>
      </c>
      <c r="G11" s="6">
        <v>6687463</v>
      </c>
      <c r="H11" s="6">
        <v>1121624</v>
      </c>
      <c r="I11" s="6">
        <v>277354</v>
      </c>
      <c r="J11">
        <v>14518.137931034466</v>
      </c>
      <c r="K11" s="6">
        <v>1292.2413793103422</v>
      </c>
      <c r="L11" s="6">
        <v>1609737016</v>
      </c>
    </row>
    <row r="12" spans="1:12" x14ac:dyDescent="0.35">
      <c r="A12" s="474" t="s">
        <v>66</v>
      </c>
      <c r="B12" s="6">
        <v>87878561</v>
      </c>
      <c r="C12" s="6">
        <v>968361</v>
      </c>
      <c r="D12" s="6">
        <v>119486</v>
      </c>
      <c r="E12" s="6">
        <v>2988851</v>
      </c>
      <c r="F12" s="6">
        <v>15767135</v>
      </c>
      <c r="G12" s="6">
        <v>5457540</v>
      </c>
      <c r="H12" s="6">
        <v>948229</v>
      </c>
      <c r="I12" s="6">
        <v>215658</v>
      </c>
      <c r="J12">
        <v>38105.844827586203</v>
      </c>
      <c r="K12" s="6">
        <v>5684.4827586206893</v>
      </c>
      <c r="L12" s="6">
        <v>1126051534</v>
      </c>
    </row>
    <row r="13" spans="1:12" x14ac:dyDescent="0.35">
      <c r="A13" s="474" t="s">
        <v>80</v>
      </c>
      <c r="B13" s="6">
        <v>103771731</v>
      </c>
      <c r="C13" s="6">
        <v>1262970</v>
      </c>
      <c r="D13" s="6">
        <v>103398</v>
      </c>
      <c r="E13" s="6">
        <v>4707733</v>
      </c>
      <c r="F13" s="6">
        <v>17529528</v>
      </c>
      <c r="G13" s="6">
        <v>4813818</v>
      </c>
      <c r="H13" s="6">
        <v>1206578</v>
      </c>
      <c r="I13" s="6">
        <v>274614</v>
      </c>
      <c r="J13">
        <v>159945.12068965536</v>
      </c>
      <c r="K13" s="6">
        <v>17652.586206896543</v>
      </c>
      <c r="L13" s="6">
        <v>1287742925</v>
      </c>
    </row>
    <row r="14" spans="1:12" x14ac:dyDescent="0.35">
      <c r="A14" s="474" t="s">
        <v>81</v>
      </c>
      <c r="B14" s="6">
        <v>121922567</v>
      </c>
      <c r="C14" s="6">
        <v>1422628</v>
      </c>
      <c r="D14" s="6">
        <v>115811</v>
      </c>
      <c r="E14" s="6">
        <v>4688825</v>
      </c>
      <c r="F14" s="6">
        <v>28802133</v>
      </c>
      <c r="G14" s="6">
        <v>7493286</v>
      </c>
      <c r="H14" s="6">
        <v>1364853</v>
      </c>
      <c r="I14" s="6">
        <v>832825</v>
      </c>
      <c r="J14">
        <v>236535.44827586229</v>
      </c>
      <c r="K14" s="6">
        <v>38752.586206896565</v>
      </c>
      <c r="L14" s="6">
        <v>1645378487</v>
      </c>
    </row>
    <row r="15" spans="1:12" x14ac:dyDescent="0.35">
      <c r="A15" s="474" t="s">
        <v>82</v>
      </c>
      <c r="B15" s="6">
        <v>121938684</v>
      </c>
      <c r="C15" s="6">
        <v>1363878</v>
      </c>
      <c r="D15" s="6">
        <v>108517</v>
      </c>
      <c r="E15" s="6">
        <v>4638343</v>
      </c>
      <c r="F15" s="6">
        <v>43762583</v>
      </c>
      <c r="G15" s="6">
        <v>8916467</v>
      </c>
      <c r="H15" s="6">
        <v>2302519</v>
      </c>
      <c r="I15" s="6">
        <v>3036049</v>
      </c>
      <c r="J15">
        <v>350116.89655172429</v>
      </c>
      <c r="K15" s="6">
        <v>8956.0344827586232</v>
      </c>
      <c r="L15" s="6">
        <v>2226063308</v>
      </c>
    </row>
    <row r="16" spans="1:12" x14ac:dyDescent="0.35">
      <c r="A16" s="474" t="s">
        <v>67</v>
      </c>
      <c r="B16" s="6">
        <v>1052330368</v>
      </c>
      <c r="C16" s="6">
        <v>15093596</v>
      </c>
      <c r="D16" s="6">
        <v>1774946</v>
      </c>
      <c r="E16" s="6">
        <v>38372162</v>
      </c>
      <c r="F16" s="6">
        <v>228901940</v>
      </c>
      <c r="G16" s="6">
        <v>56803020</v>
      </c>
      <c r="H16" s="6">
        <v>13203495</v>
      </c>
      <c r="I16" s="6">
        <v>6672101</v>
      </c>
      <c r="J16">
        <v>799221.44827586261</v>
      </c>
      <c r="K16" s="6">
        <v>72337.931034482768</v>
      </c>
      <c r="L16" s="6">
        <v>15703020320</v>
      </c>
    </row>
    <row r="19" spans="1:11" x14ac:dyDescent="0.35">
      <c r="A19" s="473" t="s">
        <v>55</v>
      </c>
      <c r="B19" t="s">
        <v>74</v>
      </c>
      <c r="C19" t="s">
        <v>73</v>
      </c>
      <c r="D19" t="s">
        <v>83</v>
      </c>
      <c r="E19" t="s">
        <v>84</v>
      </c>
      <c r="G19" s="500" t="s">
        <v>34</v>
      </c>
      <c r="H19" s="500" t="s">
        <v>85</v>
      </c>
      <c r="I19" s="500" t="s">
        <v>86</v>
      </c>
    </row>
    <row r="20" spans="1:11" x14ac:dyDescent="0.35">
      <c r="A20" s="474" t="s">
        <v>58</v>
      </c>
      <c r="B20" s="6">
        <v>2796767</v>
      </c>
      <c r="C20" s="6">
        <v>12634416</v>
      </c>
      <c r="D20" s="6">
        <v>15141562</v>
      </c>
      <c r="E20" s="6">
        <v>3117450</v>
      </c>
      <c r="F20" s="501" t="s">
        <v>58</v>
      </c>
      <c r="G20" s="6">
        <f>SUM(B20:C20)</f>
        <v>15431183</v>
      </c>
      <c r="H20" s="6">
        <f t="shared" ref="H20:H31" si="0">SUM(D20:E20)</f>
        <v>18259012</v>
      </c>
      <c r="I20" s="486">
        <f>H20/G20-1</f>
        <v>0.18325419379706664</v>
      </c>
    </row>
    <row r="21" spans="1:11" x14ac:dyDescent="0.35">
      <c r="A21" s="474" t="s">
        <v>59</v>
      </c>
      <c r="B21" s="6">
        <v>1592434</v>
      </c>
      <c r="C21" s="6">
        <v>8028750</v>
      </c>
      <c r="D21" s="6">
        <v>11257443</v>
      </c>
      <c r="E21" s="6">
        <v>1820069</v>
      </c>
      <c r="F21" s="501" t="s">
        <v>59</v>
      </c>
      <c r="G21" s="6">
        <f t="shared" ref="G21:G31" si="1">SUM(B21:C21)</f>
        <v>9621184</v>
      </c>
      <c r="H21" s="6">
        <f t="shared" si="0"/>
        <v>13077512</v>
      </c>
      <c r="I21" s="486">
        <f t="shared" ref="I21:I32" si="2">H21/G21-1</f>
        <v>0.35924144055450968</v>
      </c>
    </row>
    <row r="22" spans="1:11" x14ac:dyDescent="0.35">
      <c r="A22" s="474" t="s">
        <v>60</v>
      </c>
      <c r="B22" s="6">
        <v>3477562</v>
      </c>
      <c r="C22" s="6">
        <v>12534250</v>
      </c>
      <c r="D22" s="6">
        <v>14502060</v>
      </c>
      <c r="E22" s="6">
        <v>2278267</v>
      </c>
      <c r="F22" s="501" t="s">
        <v>60</v>
      </c>
      <c r="G22" s="6">
        <f t="shared" si="1"/>
        <v>16011812</v>
      </c>
      <c r="H22" s="6">
        <f t="shared" si="0"/>
        <v>16780327</v>
      </c>
      <c r="I22" s="486">
        <f t="shared" si="2"/>
        <v>4.7996753896435873E-2</v>
      </c>
    </row>
    <row r="23" spans="1:11" x14ac:dyDescent="0.35">
      <c r="A23" s="474" t="s">
        <v>61</v>
      </c>
      <c r="B23" s="6">
        <v>2880496</v>
      </c>
      <c r="C23" s="6">
        <v>10402707</v>
      </c>
      <c r="D23" s="6">
        <v>10291831</v>
      </c>
      <c r="E23" s="6">
        <v>2417828</v>
      </c>
      <c r="F23" s="501" t="s">
        <v>61</v>
      </c>
      <c r="G23" s="6">
        <f t="shared" si="1"/>
        <v>13283203</v>
      </c>
      <c r="H23" s="6">
        <f t="shared" si="0"/>
        <v>12709659</v>
      </c>
      <c r="I23" s="486">
        <f t="shared" si="2"/>
        <v>-4.3178140091663098E-2</v>
      </c>
    </row>
    <row r="24" spans="1:11" x14ac:dyDescent="0.35">
      <c r="A24" s="474" t="s">
        <v>62</v>
      </c>
      <c r="B24" s="6">
        <v>4277531</v>
      </c>
      <c r="C24" s="6">
        <v>17783854</v>
      </c>
      <c r="D24" s="6">
        <v>15146494</v>
      </c>
      <c r="E24" s="6">
        <v>4400759</v>
      </c>
      <c r="F24" s="501" t="s">
        <v>62</v>
      </c>
      <c r="G24" s="6">
        <f t="shared" si="1"/>
        <v>22061385</v>
      </c>
      <c r="H24" s="6">
        <f t="shared" si="0"/>
        <v>19547253</v>
      </c>
      <c r="I24" s="486">
        <f t="shared" si="2"/>
        <v>-0.11396075087760804</v>
      </c>
    </row>
    <row r="25" spans="1:11" x14ac:dyDescent="0.35">
      <c r="A25" s="474" t="s">
        <v>63</v>
      </c>
      <c r="B25" s="6">
        <v>4885568</v>
      </c>
      <c r="C25" s="6">
        <v>21666219</v>
      </c>
      <c r="D25" s="6">
        <v>16071142</v>
      </c>
      <c r="E25" s="6">
        <v>5207754</v>
      </c>
      <c r="F25" s="501" t="s">
        <v>63</v>
      </c>
      <c r="G25" s="6">
        <f t="shared" si="1"/>
        <v>26551787</v>
      </c>
      <c r="H25" s="6">
        <f t="shared" si="0"/>
        <v>21278896</v>
      </c>
      <c r="I25" s="486">
        <f t="shared" si="2"/>
        <v>-0.19858893113295917</v>
      </c>
      <c r="J25" s="5">
        <f>E25/B25-1</f>
        <v>6.5946477461781283E-2</v>
      </c>
      <c r="K25" s="472">
        <f>E25/B25-1</f>
        <v>6.5946477461781283E-2</v>
      </c>
    </row>
    <row r="26" spans="1:11" x14ac:dyDescent="0.35">
      <c r="A26" s="474" t="s">
        <v>64</v>
      </c>
      <c r="B26" s="6">
        <v>3524088</v>
      </c>
      <c r="C26" s="6">
        <v>18674810</v>
      </c>
      <c r="D26" s="6">
        <v>9647154</v>
      </c>
      <c r="E26" s="6">
        <v>3148801</v>
      </c>
      <c r="F26" s="501" t="s">
        <v>64</v>
      </c>
      <c r="G26" s="6">
        <f t="shared" si="1"/>
        <v>22198898</v>
      </c>
      <c r="H26" s="6">
        <f t="shared" si="0"/>
        <v>12795955</v>
      </c>
      <c r="I26" s="486">
        <f t="shared" si="2"/>
        <v>-0.42357701720148455</v>
      </c>
      <c r="J26" s="5">
        <f>E26/B26-1</f>
        <v>-0.10649194912272342</v>
      </c>
      <c r="K26" s="472">
        <f t="shared" ref="K26:K27" si="3">E26/B26-1</f>
        <v>-0.10649194912272342</v>
      </c>
    </row>
    <row r="27" spans="1:11" x14ac:dyDescent="0.35">
      <c r="A27" s="474" t="s">
        <v>65</v>
      </c>
      <c r="B27" s="6">
        <v>6687463</v>
      </c>
      <c r="C27" s="6">
        <v>21315555</v>
      </c>
      <c r="D27" s="6">
        <v>14363472</v>
      </c>
      <c r="E27" s="6">
        <v>5950435</v>
      </c>
      <c r="F27" s="501" t="s">
        <v>65</v>
      </c>
      <c r="G27" s="6">
        <f t="shared" si="1"/>
        <v>28003018</v>
      </c>
      <c r="H27" s="6">
        <f t="shared" si="0"/>
        <v>20313907</v>
      </c>
      <c r="I27" s="486">
        <f t="shared" si="2"/>
        <v>-0.27458151117854512</v>
      </c>
      <c r="J27" s="5">
        <f>E27/B27-1</f>
        <v>-0.11021040415475947</v>
      </c>
      <c r="K27" s="472">
        <f t="shared" si="3"/>
        <v>-0.11021040415475947</v>
      </c>
    </row>
    <row r="28" spans="1:11" x14ac:dyDescent="0.35">
      <c r="A28" s="474" t="s">
        <v>66</v>
      </c>
      <c r="B28" s="6">
        <v>5457540</v>
      </c>
      <c r="C28" s="6">
        <v>15767135</v>
      </c>
      <c r="D28" s="6"/>
      <c r="E28" s="6"/>
      <c r="F28" s="501" t="s">
        <v>66</v>
      </c>
      <c r="G28" s="502">
        <f t="shared" si="1"/>
        <v>21224675</v>
      </c>
      <c r="H28" s="6">
        <f t="shared" si="0"/>
        <v>0</v>
      </c>
      <c r="I28" s="486"/>
    </row>
    <row r="29" spans="1:11" x14ac:dyDescent="0.35">
      <c r="A29" s="474" t="s">
        <v>80</v>
      </c>
      <c r="B29" s="6">
        <v>4813818</v>
      </c>
      <c r="C29" s="6">
        <v>17529528</v>
      </c>
      <c r="D29" s="6"/>
      <c r="E29" s="6"/>
      <c r="F29" s="501" t="s">
        <v>80</v>
      </c>
      <c r="G29" s="502">
        <f t="shared" si="1"/>
        <v>22343346</v>
      </c>
      <c r="H29" s="6">
        <f t="shared" si="0"/>
        <v>0</v>
      </c>
      <c r="I29" s="486"/>
    </row>
    <row r="30" spans="1:11" x14ac:dyDescent="0.35">
      <c r="A30" s="474" t="s">
        <v>81</v>
      </c>
      <c r="B30" s="6">
        <v>7493286</v>
      </c>
      <c r="C30" s="6">
        <v>28802133</v>
      </c>
      <c r="D30" s="6"/>
      <c r="E30" s="6"/>
      <c r="F30" s="501" t="s">
        <v>81</v>
      </c>
      <c r="G30" s="502">
        <f t="shared" si="1"/>
        <v>36295419</v>
      </c>
      <c r="H30" s="6">
        <f t="shared" si="0"/>
        <v>0</v>
      </c>
      <c r="I30" s="486"/>
    </row>
    <row r="31" spans="1:11" x14ac:dyDescent="0.35">
      <c r="A31" s="474" t="s">
        <v>82</v>
      </c>
      <c r="B31" s="6">
        <v>8916467</v>
      </c>
      <c r="C31" s="6">
        <v>43762583</v>
      </c>
      <c r="D31" s="6"/>
      <c r="E31" s="6"/>
      <c r="F31" s="501" t="s">
        <v>82</v>
      </c>
      <c r="G31" s="502">
        <f t="shared" si="1"/>
        <v>52679050</v>
      </c>
      <c r="H31" s="6">
        <f t="shared" si="0"/>
        <v>0</v>
      </c>
      <c r="I31" s="486"/>
    </row>
    <row r="32" spans="1:11" x14ac:dyDescent="0.35">
      <c r="A32" s="474" t="s">
        <v>67</v>
      </c>
      <c r="B32" s="6">
        <v>56803020</v>
      </c>
      <c r="C32" s="6">
        <v>228901940</v>
      </c>
      <c r="D32" s="6">
        <v>106421158</v>
      </c>
      <c r="E32" s="6">
        <v>28341363</v>
      </c>
      <c r="G32" s="6">
        <f>SUM(G20:G27)</f>
        <v>153162470</v>
      </c>
      <c r="H32" s="6">
        <f>SUM(H20:H31)</f>
        <v>134762521</v>
      </c>
      <c r="I32" s="486">
        <f t="shared" si="2"/>
        <v>-0.1201335353236338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57330-4EFC-4473-9986-4AEC9D9DC3E5}">
  <sheetPr>
    <tabColor rgb="FFFFFF00"/>
  </sheetPr>
  <dimension ref="A3:P131"/>
  <sheetViews>
    <sheetView workbookViewId="0">
      <selection activeCell="A3" sqref="A3"/>
    </sheetView>
  </sheetViews>
  <sheetFormatPr baseColWidth="10" defaultColWidth="11.453125" defaultRowHeight="14.5" x14ac:dyDescent="0.35"/>
  <cols>
    <col min="1" max="1" width="16.453125" bestFit="1" customWidth="1"/>
    <col min="2" max="13" width="11.54296875" customWidth="1"/>
  </cols>
  <sheetData>
    <row r="3" spans="1:16" ht="29" x14ac:dyDescent="0.35">
      <c r="A3" s="473" t="s">
        <v>87</v>
      </c>
      <c r="B3" s="473" t="s">
        <v>88</v>
      </c>
      <c r="C3" s="490" t="s">
        <v>89</v>
      </c>
      <c r="D3" s="490" t="s">
        <v>90</v>
      </c>
      <c r="E3" s="490" t="s">
        <v>91</v>
      </c>
      <c r="F3" s="490" t="s">
        <v>92</v>
      </c>
      <c r="G3" s="490" t="s">
        <v>93</v>
      </c>
      <c r="H3" s="489" t="s">
        <v>94</v>
      </c>
      <c r="I3" s="489" t="s">
        <v>95</v>
      </c>
      <c r="J3" s="489" t="s">
        <v>96</v>
      </c>
      <c r="K3" s="489" t="s">
        <v>97</v>
      </c>
      <c r="L3" s="489" t="s">
        <v>98</v>
      </c>
      <c r="M3" s="489" t="s">
        <v>99</v>
      </c>
      <c r="N3" s="494" t="s">
        <v>100</v>
      </c>
      <c r="O3" s="496" t="s">
        <v>101</v>
      </c>
      <c r="P3" s="491" t="s">
        <v>102</v>
      </c>
    </row>
    <row r="4" spans="1:16" x14ac:dyDescent="0.35">
      <c r="A4" t="s">
        <v>62</v>
      </c>
      <c r="B4" t="s">
        <v>103</v>
      </c>
      <c r="C4" s="488">
        <v>2069924</v>
      </c>
      <c r="D4" s="488">
        <v>31463</v>
      </c>
      <c r="E4" s="488">
        <v>2522</v>
      </c>
      <c r="F4" s="488">
        <v>0</v>
      </c>
      <c r="G4" s="488">
        <v>33966</v>
      </c>
      <c r="H4" s="488">
        <v>215596</v>
      </c>
      <c r="I4" s="488">
        <v>89389</v>
      </c>
      <c r="J4" s="488">
        <v>23623</v>
      </c>
      <c r="K4" s="488">
        <v>9448</v>
      </c>
      <c r="L4" s="488">
        <v>2225</v>
      </c>
      <c r="M4" s="488">
        <v>3134</v>
      </c>
      <c r="N4" s="495">
        <v>2481290</v>
      </c>
      <c r="O4" s="497">
        <f>SUM(C4:G4)</f>
        <v>2137875</v>
      </c>
      <c r="P4" s="488">
        <f>SUM(H4:M4)</f>
        <v>343415</v>
      </c>
    </row>
    <row r="5" spans="1:16" x14ac:dyDescent="0.35">
      <c r="B5" t="s">
        <v>104</v>
      </c>
      <c r="C5" s="488">
        <v>1930522</v>
      </c>
      <c r="D5" s="488">
        <v>20804</v>
      </c>
      <c r="E5" s="488">
        <v>-732</v>
      </c>
      <c r="F5" s="488">
        <v>1144</v>
      </c>
      <c r="G5" s="488">
        <v>87762</v>
      </c>
      <c r="H5" s="488">
        <v>178276</v>
      </c>
      <c r="I5" s="488">
        <v>69883</v>
      </c>
      <c r="J5" s="488">
        <v>10926</v>
      </c>
      <c r="K5" s="488">
        <v>4862</v>
      </c>
      <c r="L5" s="488">
        <v>447</v>
      </c>
      <c r="M5" s="488">
        <v>4607</v>
      </c>
      <c r="N5" s="495">
        <v>2308501</v>
      </c>
      <c r="O5" s="497">
        <f t="shared" ref="O5:O68" si="0">SUM(C5:G5)</f>
        <v>2039500</v>
      </c>
      <c r="P5" s="488">
        <f t="shared" ref="P5:P68" si="1">SUM(H5:M5)</f>
        <v>269001</v>
      </c>
    </row>
    <row r="6" spans="1:16" x14ac:dyDescent="0.35">
      <c r="B6" t="s">
        <v>105</v>
      </c>
      <c r="C6" s="488">
        <v>2628259</v>
      </c>
      <c r="D6" s="488">
        <v>23026</v>
      </c>
      <c r="E6" s="488">
        <v>11669</v>
      </c>
      <c r="F6" s="488">
        <v>740</v>
      </c>
      <c r="G6" s="488">
        <v>66322</v>
      </c>
      <c r="H6" s="488">
        <v>227157</v>
      </c>
      <c r="I6" s="488">
        <v>91628</v>
      </c>
      <c r="J6" s="488">
        <v>19133</v>
      </c>
      <c r="K6" s="488">
        <v>8602</v>
      </c>
      <c r="L6" s="488">
        <v>370</v>
      </c>
      <c r="M6" s="488">
        <v>5416</v>
      </c>
      <c r="N6" s="495">
        <v>3082322</v>
      </c>
      <c r="O6" s="497">
        <f t="shared" si="0"/>
        <v>2730016</v>
      </c>
      <c r="P6" s="488">
        <f t="shared" si="1"/>
        <v>352306</v>
      </c>
    </row>
    <row r="7" spans="1:16" x14ac:dyDescent="0.35">
      <c r="B7" t="s">
        <v>106</v>
      </c>
      <c r="C7" s="488">
        <v>4124173</v>
      </c>
      <c r="D7" s="488">
        <v>25420</v>
      </c>
      <c r="E7" s="488">
        <v>28207</v>
      </c>
      <c r="F7" s="488">
        <v>5623</v>
      </c>
      <c r="G7" s="488">
        <v>67376</v>
      </c>
      <c r="H7" s="488">
        <v>521359</v>
      </c>
      <c r="I7" s="488">
        <v>170941</v>
      </c>
      <c r="J7" s="488">
        <v>18893</v>
      </c>
      <c r="K7" s="488">
        <v>10593</v>
      </c>
      <c r="L7" s="488">
        <v>2031</v>
      </c>
      <c r="M7" s="488">
        <v>2109</v>
      </c>
      <c r="N7" s="495">
        <v>4976725</v>
      </c>
      <c r="O7" s="497">
        <f t="shared" si="0"/>
        <v>4250799</v>
      </c>
      <c r="P7" s="488">
        <f t="shared" si="1"/>
        <v>725926</v>
      </c>
    </row>
    <row r="8" spans="1:16" x14ac:dyDescent="0.35">
      <c r="B8" t="s">
        <v>107</v>
      </c>
      <c r="C8" s="488">
        <v>4494478</v>
      </c>
      <c r="D8" s="488">
        <v>24526</v>
      </c>
      <c r="E8" s="488">
        <v>55447</v>
      </c>
      <c r="F8" s="488">
        <v>6329</v>
      </c>
      <c r="G8" s="488">
        <v>70316</v>
      </c>
      <c r="H8" s="488">
        <v>610542</v>
      </c>
      <c r="I8" s="488">
        <v>206091</v>
      </c>
      <c r="J8" s="488">
        <v>34471</v>
      </c>
      <c r="K8" s="488">
        <v>15053</v>
      </c>
      <c r="L8" s="488">
        <v>4388</v>
      </c>
      <c r="M8" s="488">
        <v>4047</v>
      </c>
      <c r="N8" s="495">
        <v>5525688</v>
      </c>
      <c r="O8" s="497">
        <f t="shared" si="0"/>
        <v>4651096</v>
      </c>
      <c r="P8" s="488">
        <f t="shared" si="1"/>
        <v>874592</v>
      </c>
    </row>
    <row r="9" spans="1:16" x14ac:dyDescent="0.35">
      <c r="B9" t="s">
        <v>108</v>
      </c>
      <c r="C9" s="488">
        <v>4088680</v>
      </c>
      <c r="D9" s="488">
        <v>22236</v>
      </c>
      <c r="E9" s="488">
        <v>15858</v>
      </c>
      <c r="F9" s="488">
        <v>0</v>
      </c>
      <c r="G9" s="488">
        <v>103050</v>
      </c>
      <c r="H9" s="488">
        <v>584166</v>
      </c>
      <c r="I9" s="488">
        <v>168986</v>
      </c>
      <c r="J9" s="488">
        <v>21276</v>
      </c>
      <c r="K9" s="488">
        <v>9621</v>
      </c>
      <c r="L9" s="488">
        <v>4594</v>
      </c>
      <c r="M9" s="488">
        <v>0</v>
      </c>
      <c r="N9" s="495">
        <v>5018467</v>
      </c>
      <c r="O9" s="497">
        <f t="shared" si="0"/>
        <v>4229824</v>
      </c>
      <c r="P9" s="488">
        <f t="shared" si="1"/>
        <v>788643</v>
      </c>
    </row>
    <row r="10" spans="1:16" x14ac:dyDescent="0.35">
      <c r="B10" t="s">
        <v>109</v>
      </c>
      <c r="C10" s="488">
        <v>3214171</v>
      </c>
      <c r="D10" s="488">
        <v>22409</v>
      </c>
      <c r="E10" s="488">
        <v>45962</v>
      </c>
      <c r="F10" s="488">
        <v>0</v>
      </c>
      <c r="G10" s="488">
        <v>87902</v>
      </c>
      <c r="H10" s="488">
        <v>433044</v>
      </c>
      <c r="I10" s="488">
        <v>142471</v>
      </c>
      <c r="J10" s="488">
        <v>10390</v>
      </c>
      <c r="K10" s="488">
        <v>7381</v>
      </c>
      <c r="L10" s="488">
        <v>2879</v>
      </c>
      <c r="M10" s="488">
        <v>1248</v>
      </c>
      <c r="N10" s="495">
        <v>3967857</v>
      </c>
      <c r="O10" s="497">
        <f t="shared" si="0"/>
        <v>3370444</v>
      </c>
      <c r="P10" s="488">
        <f t="shared" si="1"/>
        <v>597413</v>
      </c>
    </row>
    <row r="11" spans="1:16" x14ac:dyDescent="0.35">
      <c r="B11" t="s">
        <v>110</v>
      </c>
      <c r="C11" s="488">
        <v>1615018</v>
      </c>
      <c r="D11" s="488">
        <v>19192</v>
      </c>
      <c r="E11" s="488">
        <v>7092</v>
      </c>
      <c r="F11" s="488">
        <v>1998</v>
      </c>
      <c r="G11" s="488">
        <v>52205</v>
      </c>
      <c r="H11" s="488">
        <v>453556</v>
      </c>
      <c r="I11" s="488">
        <v>262519</v>
      </c>
      <c r="J11" s="488">
        <v>32442</v>
      </c>
      <c r="K11" s="488">
        <v>12700</v>
      </c>
      <c r="L11" s="488">
        <v>3174</v>
      </c>
      <c r="M11" s="488">
        <v>1464</v>
      </c>
      <c r="N11" s="495">
        <v>2461360</v>
      </c>
      <c r="O11" s="497">
        <f t="shared" si="0"/>
        <v>1695505</v>
      </c>
      <c r="P11" s="488">
        <f t="shared" si="1"/>
        <v>765855</v>
      </c>
    </row>
    <row r="12" spans="1:16" x14ac:dyDescent="0.35">
      <c r="B12" t="s">
        <v>111</v>
      </c>
      <c r="C12" s="488">
        <v>1558074</v>
      </c>
      <c r="D12" s="488">
        <v>23729</v>
      </c>
      <c r="E12" s="488">
        <v>12190</v>
      </c>
      <c r="F12" s="488">
        <v>4102</v>
      </c>
      <c r="G12" s="488">
        <v>87416</v>
      </c>
      <c r="H12" s="488">
        <v>361074</v>
      </c>
      <c r="I12" s="488">
        <v>192329</v>
      </c>
      <c r="J12" s="488">
        <v>9552</v>
      </c>
      <c r="K12" s="488">
        <v>10260</v>
      </c>
      <c r="L12" s="488">
        <v>388</v>
      </c>
      <c r="M12" s="488">
        <v>646</v>
      </c>
      <c r="N12" s="495">
        <v>2259760</v>
      </c>
      <c r="O12" s="497">
        <f t="shared" si="0"/>
        <v>1685511</v>
      </c>
      <c r="P12" s="488">
        <f t="shared" si="1"/>
        <v>574249</v>
      </c>
    </row>
    <row r="13" spans="1:16" x14ac:dyDescent="0.35">
      <c r="B13" t="s">
        <v>112</v>
      </c>
      <c r="C13" s="488">
        <v>1920563</v>
      </c>
      <c r="D13" s="488">
        <v>20514</v>
      </c>
      <c r="E13" s="488">
        <v>-705</v>
      </c>
      <c r="F13" s="488">
        <v>2209</v>
      </c>
      <c r="G13" s="488">
        <v>48263</v>
      </c>
      <c r="H13" s="488">
        <v>395528</v>
      </c>
      <c r="I13" s="488">
        <v>141929</v>
      </c>
      <c r="J13" s="488">
        <v>24844</v>
      </c>
      <c r="K13" s="488">
        <v>7362</v>
      </c>
      <c r="L13" s="488">
        <v>256</v>
      </c>
      <c r="M13" s="488">
        <v>0</v>
      </c>
      <c r="N13" s="495">
        <v>2560763</v>
      </c>
      <c r="O13" s="497">
        <f t="shared" si="0"/>
        <v>1990844</v>
      </c>
      <c r="P13" s="488">
        <f t="shared" si="1"/>
        <v>569919</v>
      </c>
    </row>
    <row r="14" spans="1:16" x14ac:dyDescent="0.35">
      <c r="B14" t="s">
        <v>113</v>
      </c>
      <c r="C14" s="488">
        <v>2440025</v>
      </c>
      <c r="D14" s="488">
        <v>21672</v>
      </c>
      <c r="E14" s="488">
        <v>29073</v>
      </c>
      <c r="F14" s="488">
        <v>5953</v>
      </c>
      <c r="G14" s="488">
        <v>60459</v>
      </c>
      <c r="H14" s="488">
        <v>409424</v>
      </c>
      <c r="I14" s="488">
        <v>123764</v>
      </c>
      <c r="J14" s="488">
        <v>11328</v>
      </c>
      <c r="K14" s="488">
        <v>10655</v>
      </c>
      <c r="L14" s="488">
        <v>991</v>
      </c>
      <c r="M14" s="488">
        <v>2109</v>
      </c>
      <c r="N14" s="495">
        <v>3115453</v>
      </c>
      <c r="O14" s="497">
        <f t="shared" si="0"/>
        <v>2557182</v>
      </c>
      <c r="P14" s="488">
        <f t="shared" si="1"/>
        <v>558271</v>
      </c>
    </row>
    <row r="15" spans="1:16" x14ac:dyDescent="0.35">
      <c r="B15" t="s">
        <v>114</v>
      </c>
      <c r="C15" s="488">
        <v>2815317</v>
      </c>
      <c r="D15" s="488">
        <v>21451</v>
      </c>
      <c r="E15" s="488">
        <v>23262</v>
      </c>
      <c r="F15" s="488">
        <v>3933</v>
      </c>
      <c r="G15" s="488">
        <v>54841</v>
      </c>
      <c r="H15" s="488">
        <v>383123</v>
      </c>
      <c r="I15" s="488">
        <v>135469</v>
      </c>
      <c r="J15" s="488">
        <v>16632</v>
      </c>
      <c r="K15" s="488">
        <v>10371</v>
      </c>
      <c r="L15" s="488">
        <v>1022</v>
      </c>
      <c r="M15" s="488">
        <v>4650</v>
      </c>
      <c r="N15" s="495">
        <v>3470071</v>
      </c>
      <c r="O15" s="497">
        <f t="shared" si="0"/>
        <v>2918804</v>
      </c>
      <c r="P15" s="488">
        <f t="shared" si="1"/>
        <v>551267</v>
      </c>
    </row>
    <row r="16" spans="1:16" x14ac:dyDescent="0.35">
      <c r="B16" t="s">
        <v>115</v>
      </c>
      <c r="C16" s="488">
        <v>3700459</v>
      </c>
      <c r="D16" s="488">
        <v>26216</v>
      </c>
      <c r="E16" s="488">
        <v>28501</v>
      </c>
      <c r="F16" s="488">
        <v>4829</v>
      </c>
      <c r="G16" s="488">
        <v>57302</v>
      </c>
      <c r="H16" s="488">
        <v>381201</v>
      </c>
      <c r="I16" s="488">
        <v>138856</v>
      </c>
      <c r="J16" s="488">
        <v>19491</v>
      </c>
      <c r="K16" s="488">
        <v>6421</v>
      </c>
      <c r="L16" s="488">
        <v>1247</v>
      </c>
      <c r="M16" s="488">
        <v>1937</v>
      </c>
      <c r="N16" s="495">
        <v>4366460</v>
      </c>
      <c r="O16" s="497">
        <f t="shared" si="0"/>
        <v>3817307</v>
      </c>
      <c r="P16" s="488">
        <f t="shared" si="1"/>
        <v>549153</v>
      </c>
    </row>
    <row r="17" spans="2:16" x14ac:dyDescent="0.35">
      <c r="B17" t="s">
        <v>116</v>
      </c>
      <c r="C17" s="488">
        <v>2625651</v>
      </c>
      <c r="D17" s="488">
        <v>10282</v>
      </c>
      <c r="E17" s="488">
        <v>6634</v>
      </c>
      <c r="F17" s="488">
        <v>0</v>
      </c>
      <c r="G17" s="488">
        <v>62863</v>
      </c>
      <c r="H17" s="488">
        <v>360073</v>
      </c>
      <c r="I17" s="488">
        <v>105100</v>
      </c>
      <c r="J17" s="488">
        <v>12418</v>
      </c>
      <c r="K17" s="488">
        <v>4862</v>
      </c>
      <c r="L17" s="488">
        <v>5230</v>
      </c>
      <c r="M17" s="488">
        <v>2497</v>
      </c>
      <c r="N17" s="495">
        <v>3195610</v>
      </c>
      <c r="O17" s="497">
        <f t="shared" si="0"/>
        <v>2705430</v>
      </c>
      <c r="P17" s="488">
        <f t="shared" si="1"/>
        <v>490180</v>
      </c>
    </row>
    <row r="18" spans="2:16" x14ac:dyDescent="0.35">
      <c r="B18" t="s">
        <v>117</v>
      </c>
      <c r="C18" s="488">
        <v>2405121</v>
      </c>
      <c r="D18" s="488">
        <v>30006</v>
      </c>
      <c r="E18" s="488">
        <v>17955</v>
      </c>
      <c r="F18" s="488">
        <v>904</v>
      </c>
      <c r="G18" s="488">
        <v>90900</v>
      </c>
      <c r="H18" s="488">
        <v>329128</v>
      </c>
      <c r="I18" s="488">
        <v>99332</v>
      </c>
      <c r="J18" s="488">
        <v>9755</v>
      </c>
      <c r="K18" s="488">
        <v>6678</v>
      </c>
      <c r="L18" s="488">
        <v>4507</v>
      </c>
      <c r="M18" s="488">
        <v>4607</v>
      </c>
      <c r="N18" s="495">
        <v>2998893</v>
      </c>
      <c r="O18" s="497">
        <f t="shared" si="0"/>
        <v>2544886</v>
      </c>
      <c r="P18" s="488">
        <f t="shared" si="1"/>
        <v>454007</v>
      </c>
    </row>
    <row r="19" spans="2:16" x14ac:dyDescent="0.35">
      <c r="B19" t="s">
        <v>118</v>
      </c>
      <c r="C19" s="488">
        <v>2034460</v>
      </c>
      <c r="D19" s="488">
        <v>29019</v>
      </c>
      <c r="E19" s="488">
        <v>11244</v>
      </c>
      <c r="F19" s="488">
        <v>0</v>
      </c>
      <c r="G19" s="488">
        <v>59712</v>
      </c>
      <c r="H19" s="488">
        <v>310105</v>
      </c>
      <c r="I19" s="488">
        <v>110133</v>
      </c>
      <c r="J19" s="488">
        <v>19652</v>
      </c>
      <c r="K19" s="488">
        <v>5748</v>
      </c>
      <c r="L19" s="488">
        <v>1224</v>
      </c>
      <c r="M19" s="488">
        <v>1885</v>
      </c>
      <c r="N19" s="495">
        <v>2583182</v>
      </c>
      <c r="O19" s="497">
        <f t="shared" si="0"/>
        <v>2134435</v>
      </c>
      <c r="P19" s="488">
        <f t="shared" si="1"/>
        <v>448747</v>
      </c>
    </row>
    <row r="20" spans="2:16" x14ac:dyDescent="0.35">
      <c r="B20" t="s">
        <v>119</v>
      </c>
      <c r="C20" s="488">
        <v>2587277</v>
      </c>
      <c r="D20" s="488">
        <v>27932</v>
      </c>
      <c r="E20" s="488">
        <v>-6421</v>
      </c>
      <c r="F20" s="488">
        <v>2492</v>
      </c>
      <c r="G20" s="488">
        <v>88989</v>
      </c>
      <c r="H20" s="488">
        <v>391486</v>
      </c>
      <c r="I20" s="488">
        <v>132520</v>
      </c>
      <c r="J20" s="488">
        <v>15266</v>
      </c>
      <c r="K20" s="488">
        <v>6798</v>
      </c>
      <c r="L20" s="488">
        <v>658</v>
      </c>
      <c r="M20" s="488">
        <v>3402</v>
      </c>
      <c r="N20" s="495">
        <v>3250399</v>
      </c>
      <c r="O20" s="497">
        <f t="shared" si="0"/>
        <v>2700269</v>
      </c>
      <c r="P20" s="488">
        <f t="shared" si="1"/>
        <v>550130</v>
      </c>
    </row>
    <row r="21" spans="2:16" x14ac:dyDescent="0.35">
      <c r="B21" t="s">
        <v>120</v>
      </c>
      <c r="C21" s="488">
        <v>3987638</v>
      </c>
      <c r="D21" s="488">
        <v>29579</v>
      </c>
      <c r="E21" s="488">
        <v>37318</v>
      </c>
      <c r="F21" s="488">
        <v>0</v>
      </c>
      <c r="G21" s="488">
        <v>99536</v>
      </c>
      <c r="H21" s="488">
        <v>377581</v>
      </c>
      <c r="I21" s="488">
        <v>105418</v>
      </c>
      <c r="J21" s="488">
        <v>19920</v>
      </c>
      <c r="K21" s="488">
        <v>5481</v>
      </c>
      <c r="L21" s="488">
        <v>2264</v>
      </c>
      <c r="M21" s="488">
        <v>4693</v>
      </c>
      <c r="N21" s="495">
        <v>4669428</v>
      </c>
      <c r="O21" s="497">
        <f t="shared" si="0"/>
        <v>4154071</v>
      </c>
      <c r="P21" s="488">
        <f t="shared" si="1"/>
        <v>515357</v>
      </c>
    </row>
    <row r="22" spans="2:16" x14ac:dyDescent="0.35">
      <c r="B22" t="s">
        <v>121</v>
      </c>
      <c r="C22" s="488">
        <v>4181035</v>
      </c>
      <c r="D22" s="488">
        <v>24160</v>
      </c>
      <c r="E22" s="488">
        <v>29139</v>
      </c>
      <c r="F22" s="488">
        <v>3705</v>
      </c>
      <c r="G22" s="488">
        <v>77060</v>
      </c>
      <c r="H22" s="488">
        <v>350122</v>
      </c>
      <c r="I22" s="488">
        <v>81101</v>
      </c>
      <c r="J22" s="488">
        <v>24716</v>
      </c>
      <c r="K22" s="488">
        <v>9017</v>
      </c>
      <c r="L22" s="488">
        <v>4981</v>
      </c>
      <c r="M22" s="488">
        <v>2454</v>
      </c>
      <c r="N22" s="495">
        <v>4787490</v>
      </c>
      <c r="O22" s="497">
        <f t="shared" si="0"/>
        <v>4315099</v>
      </c>
      <c r="P22" s="488">
        <f t="shared" si="1"/>
        <v>472391</v>
      </c>
    </row>
    <row r="23" spans="2:16" x14ac:dyDescent="0.35">
      <c r="B23" t="s">
        <v>122</v>
      </c>
      <c r="C23" s="488">
        <v>4079378</v>
      </c>
      <c r="D23" s="488">
        <v>21174</v>
      </c>
      <c r="E23" s="488">
        <v>58712</v>
      </c>
      <c r="F23" s="488">
        <v>0</v>
      </c>
      <c r="G23" s="488">
        <v>84547</v>
      </c>
      <c r="H23" s="488">
        <v>418327</v>
      </c>
      <c r="I23" s="488">
        <v>105255</v>
      </c>
      <c r="J23" s="488">
        <v>23214</v>
      </c>
      <c r="K23" s="488">
        <v>10330</v>
      </c>
      <c r="L23" s="488">
        <v>1645</v>
      </c>
      <c r="M23" s="488">
        <v>4650</v>
      </c>
      <c r="N23" s="495">
        <v>4807232</v>
      </c>
      <c r="O23" s="497">
        <f t="shared" si="0"/>
        <v>4243811</v>
      </c>
      <c r="P23" s="488">
        <f t="shared" si="1"/>
        <v>563421</v>
      </c>
    </row>
    <row r="24" spans="2:16" x14ac:dyDescent="0.35">
      <c r="B24" t="s">
        <v>123</v>
      </c>
      <c r="C24" s="488">
        <v>3103521</v>
      </c>
      <c r="D24" s="488">
        <v>20693</v>
      </c>
      <c r="E24" s="488">
        <v>30196</v>
      </c>
      <c r="F24" s="488">
        <v>-383</v>
      </c>
      <c r="G24" s="488">
        <v>93118</v>
      </c>
      <c r="H24" s="488">
        <v>304721</v>
      </c>
      <c r="I24" s="488">
        <v>98067</v>
      </c>
      <c r="J24" s="488">
        <v>14821</v>
      </c>
      <c r="K24" s="488">
        <v>5605</v>
      </c>
      <c r="L24" s="488">
        <v>1786</v>
      </c>
      <c r="M24" s="488">
        <v>2765</v>
      </c>
      <c r="N24" s="495">
        <v>3674910</v>
      </c>
      <c r="O24" s="497">
        <f t="shared" si="0"/>
        <v>3247145</v>
      </c>
      <c r="P24" s="488">
        <f t="shared" si="1"/>
        <v>427765</v>
      </c>
    </row>
    <row r="25" spans="2:16" x14ac:dyDescent="0.35">
      <c r="B25" t="s">
        <v>124</v>
      </c>
      <c r="C25" s="488">
        <v>2880995</v>
      </c>
      <c r="D25" s="488">
        <v>17373</v>
      </c>
      <c r="E25" s="488">
        <v>7090</v>
      </c>
      <c r="F25" s="488">
        <v>1848</v>
      </c>
      <c r="G25" s="488">
        <v>133675</v>
      </c>
      <c r="H25" s="488">
        <v>287211</v>
      </c>
      <c r="I25" s="488">
        <v>103665</v>
      </c>
      <c r="J25" s="488">
        <v>17656</v>
      </c>
      <c r="K25" s="488">
        <v>10102</v>
      </c>
      <c r="L25" s="488">
        <v>0</v>
      </c>
      <c r="M25" s="488">
        <v>1120</v>
      </c>
      <c r="N25" s="495">
        <v>3460735</v>
      </c>
      <c r="O25" s="497">
        <f t="shared" si="0"/>
        <v>3040981</v>
      </c>
      <c r="P25" s="488">
        <f t="shared" si="1"/>
        <v>419754</v>
      </c>
    </row>
    <row r="26" spans="2:16" x14ac:dyDescent="0.35">
      <c r="B26" t="s">
        <v>125</v>
      </c>
      <c r="C26" s="488">
        <v>2252409</v>
      </c>
      <c r="D26" s="488">
        <v>21274</v>
      </c>
      <c r="E26" s="488">
        <v>-3235</v>
      </c>
      <c r="F26" s="488">
        <v>3525</v>
      </c>
      <c r="G26" s="488">
        <v>110170</v>
      </c>
      <c r="H26" s="488">
        <v>326147</v>
      </c>
      <c r="I26" s="488">
        <v>99899</v>
      </c>
      <c r="J26" s="488">
        <v>20856</v>
      </c>
      <c r="K26" s="488">
        <v>6566</v>
      </c>
      <c r="L26" s="488">
        <v>897</v>
      </c>
      <c r="M26" s="488">
        <v>6159</v>
      </c>
      <c r="N26" s="495">
        <v>2844667</v>
      </c>
      <c r="O26" s="497">
        <f t="shared" si="0"/>
        <v>2384143</v>
      </c>
      <c r="P26" s="488">
        <f t="shared" si="1"/>
        <v>460524</v>
      </c>
    </row>
    <row r="27" spans="2:16" x14ac:dyDescent="0.35">
      <c r="B27" t="s">
        <v>126</v>
      </c>
      <c r="C27" s="488">
        <v>2731286</v>
      </c>
      <c r="D27" s="488">
        <v>21174</v>
      </c>
      <c r="E27" s="488">
        <v>0</v>
      </c>
      <c r="F27" s="488">
        <v>4187</v>
      </c>
      <c r="G27" s="488">
        <v>63021</v>
      </c>
      <c r="H27" s="488">
        <v>343565</v>
      </c>
      <c r="I27" s="488">
        <v>92128</v>
      </c>
      <c r="J27" s="488">
        <v>20143</v>
      </c>
      <c r="K27" s="488">
        <v>11392</v>
      </c>
      <c r="L27" s="488">
        <v>4347</v>
      </c>
      <c r="M27" s="488">
        <v>6416</v>
      </c>
      <c r="N27" s="495">
        <v>3297659</v>
      </c>
      <c r="O27" s="497">
        <f t="shared" si="0"/>
        <v>2819668</v>
      </c>
      <c r="P27" s="488">
        <f t="shared" si="1"/>
        <v>477991</v>
      </c>
    </row>
    <row r="28" spans="2:16" x14ac:dyDescent="0.35">
      <c r="B28" t="s">
        <v>127</v>
      </c>
      <c r="C28" s="488">
        <v>4611370</v>
      </c>
      <c r="D28" s="488">
        <v>20489</v>
      </c>
      <c r="E28" s="488">
        <v>30700</v>
      </c>
      <c r="F28" s="488">
        <v>4699</v>
      </c>
      <c r="G28" s="488">
        <v>78900</v>
      </c>
      <c r="H28" s="488">
        <v>902125</v>
      </c>
      <c r="I28" s="488">
        <v>237474</v>
      </c>
      <c r="J28" s="488">
        <v>36431</v>
      </c>
      <c r="K28" s="488">
        <v>12811</v>
      </c>
      <c r="L28" s="488">
        <v>3362</v>
      </c>
      <c r="M28" s="488">
        <v>7492</v>
      </c>
      <c r="N28" s="495">
        <v>5945853</v>
      </c>
      <c r="O28" s="497">
        <f t="shared" si="0"/>
        <v>4746158</v>
      </c>
      <c r="P28" s="488">
        <f t="shared" si="1"/>
        <v>1199695</v>
      </c>
    </row>
    <row r="29" spans="2:16" x14ac:dyDescent="0.35">
      <c r="B29" t="s">
        <v>128</v>
      </c>
      <c r="C29" s="488">
        <v>4676609</v>
      </c>
      <c r="D29" s="488">
        <v>26116</v>
      </c>
      <c r="E29" s="488">
        <v>76532</v>
      </c>
      <c r="F29" s="488">
        <v>5544</v>
      </c>
      <c r="G29" s="488">
        <v>91220</v>
      </c>
      <c r="H29" s="488">
        <v>1074734</v>
      </c>
      <c r="I29" s="488">
        <v>170033</v>
      </c>
      <c r="J29" s="488">
        <v>28875</v>
      </c>
      <c r="K29" s="488">
        <v>10958</v>
      </c>
      <c r="L29" s="488">
        <v>3874</v>
      </c>
      <c r="M29" s="488">
        <v>3186</v>
      </c>
      <c r="N29" s="495">
        <v>6167681</v>
      </c>
      <c r="O29" s="497">
        <f t="shared" si="0"/>
        <v>4876021</v>
      </c>
      <c r="P29" s="488">
        <f t="shared" si="1"/>
        <v>1291660</v>
      </c>
    </row>
    <row r="30" spans="2:16" x14ac:dyDescent="0.35">
      <c r="B30" t="s">
        <v>129</v>
      </c>
      <c r="C30" s="488">
        <v>3970639</v>
      </c>
      <c r="D30" s="488">
        <v>29228</v>
      </c>
      <c r="E30" s="488">
        <v>26769</v>
      </c>
      <c r="F30" s="488">
        <v>11997</v>
      </c>
      <c r="G30" s="488">
        <v>83615</v>
      </c>
      <c r="H30" s="488">
        <v>850183</v>
      </c>
      <c r="I30" s="488">
        <v>220841</v>
      </c>
      <c r="J30" s="488">
        <v>23508</v>
      </c>
      <c r="K30" s="488">
        <v>11096</v>
      </c>
      <c r="L30" s="488">
        <v>6482</v>
      </c>
      <c r="M30" s="488">
        <v>4996</v>
      </c>
      <c r="N30" s="495">
        <v>5239354</v>
      </c>
      <c r="O30" s="497">
        <f t="shared" si="0"/>
        <v>4122248</v>
      </c>
      <c r="P30" s="488">
        <f t="shared" si="1"/>
        <v>1117106</v>
      </c>
    </row>
    <row r="31" spans="2:16" x14ac:dyDescent="0.35">
      <c r="B31" t="s">
        <v>130</v>
      </c>
      <c r="C31" s="488">
        <v>3618780</v>
      </c>
      <c r="D31" s="488">
        <v>31726</v>
      </c>
      <c r="E31" s="488">
        <v>13833</v>
      </c>
      <c r="F31" s="488">
        <v>1382</v>
      </c>
      <c r="G31" s="488">
        <v>98131</v>
      </c>
      <c r="H31" s="488">
        <v>756891</v>
      </c>
      <c r="I31" s="488">
        <v>201932</v>
      </c>
      <c r="J31" s="488">
        <v>33137</v>
      </c>
      <c r="K31" s="488">
        <v>11225</v>
      </c>
      <c r="L31" s="488">
        <v>4271</v>
      </c>
      <c r="M31" s="488">
        <v>2454</v>
      </c>
      <c r="N31" s="495">
        <v>4773762</v>
      </c>
      <c r="O31" s="497">
        <f t="shared" si="0"/>
        <v>3763852</v>
      </c>
      <c r="P31" s="488">
        <f t="shared" si="1"/>
        <v>1009910</v>
      </c>
    </row>
    <row r="32" spans="2:16" x14ac:dyDescent="0.35">
      <c r="B32" t="s">
        <v>131</v>
      </c>
      <c r="C32" s="488">
        <v>2759171</v>
      </c>
      <c r="D32" s="488">
        <v>25341</v>
      </c>
      <c r="E32" s="488">
        <v>29617</v>
      </c>
      <c r="F32" s="488">
        <v>4838</v>
      </c>
      <c r="G32" s="488">
        <v>97357</v>
      </c>
      <c r="H32" s="488">
        <v>753282</v>
      </c>
      <c r="I32" s="488">
        <v>172862</v>
      </c>
      <c r="J32" s="488">
        <v>24477</v>
      </c>
      <c r="K32" s="488">
        <v>13363</v>
      </c>
      <c r="L32" s="488">
        <v>6072</v>
      </c>
      <c r="M32" s="488">
        <v>1291</v>
      </c>
      <c r="N32" s="495">
        <v>3887671</v>
      </c>
      <c r="O32" s="497">
        <f t="shared" si="0"/>
        <v>2916324</v>
      </c>
      <c r="P32" s="488">
        <f t="shared" si="1"/>
        <v>971347</v>
      </c>
    </row>
    <row r="33" spans="1:16" x14ac:dyDescent="0.35">
      <c r="B33" t="s">
        <v>132</v>
      </c>
      <c r="C33" s="488">
        <v>2444647</v>
      </c>
      <c r="D33" s="488">
        <v>31667</v>
      </c>
      <c r="E33" s="488">
        <v>334</v>
      </c>
      <c r="F33" s="488">
        <v>732</v>
      </c>
      <c r="G33" s="488">
        <v>102241</v>
      </c>
      <c r="H33" s="488">
        <v>813542</v>
      </c>
      <c r="I33" s="488">
        <v>157583</v>
      </c>
      <c r="J33" s="488">
        <v>22067</v>
      </c>
      <c r="K33" s="488">
        <v>9771</v>
      </c>
      <c r="L33" s="488">
        <v>1250</v>
      </c>
      <c r="M33" s="488">
        <v>8009</v>
      </c>
      <c r="N33" s="495">
        <v>3591843</v>
      </c>
      <c r="O33" s="497">
        <f t="shared" si="0"/>
        <v>2579621</v>
      </c>
      <c r="P33" s="488">
        <f t="shared" si="1"/>
        <v>1012222</v>
      </c>
    </row>
    <row r="34" spans="1:16" x14ac:dyDescent="0.35">
      <c r="B34" t="s">
        <v>133</v>
      </c>
      <c r="C34" s="488">
        <v>2739282</v>
      </c>
      <c r="D34" s="488">
        <v>36548</v>
      </c>
      <c r="E34" s="488">
        <v>7405</v>
      </c>
      <c r="F34" s="488">
        <v>4382</v>
      </c>
      <c r="G34" s="488">
        <v>80380</v>
      </c>
      <c r="H34" s="488">
        <v>1043225</v>
      </c>
      <c r="I34" s="488">
        <v>173161</v>
      </c>
      <c r="J34" s="488">
        <v>23659</v>
      </c>
      <c r="K34" s="488">
        <v>10923</v>
      </c>
      <c r="L34" s="488">
        <v>2086</v>
      </c>
      <c r="M34" s="488">
        <v>5728</v>
      </c>
      <c r="N34" s="495">
        <v>4126779</v>
      </c>
      <c r="O34" s="497">
        <f t="shared" si="0"/>
        <v>2867997</v>
      </c>
      <c r="P34" s="488">
        <f t="shared" si="1"/>
        <v>1258782</v>
      </c>
    </row>
    <row r="35" spans="1:16" x14ac:dyDescent="0.35">
      <c r="A35" t="s">
        <v>134</v>
      </c>
      <c r="C35" s="488">
        <v>94288932</v>
      </c>
      <c r="D35" s="488">
        <v>756439</v>
      </c>
      <c r="E35" s="488">
        <v>632168</v>
      </c>
      <c r="F35" s="488">
        <v>86712</v>
      </c>
      <c r="G35" s="488">
        <v>2472615</v>
      </c>
      <c r="H35" s="488">
        <v>15146494</v>
      </c>
      <c r="I35" s="488">
        <v>4400759</v>
      </c>
      <c r="J35" s="488">
        <v>643572</v>
      </c>
      <c r="K35" s="488">
        <v>286055</v>
      </c>
      <c r="L35" s="488">
        <v>78948</v>
      </c>
      <c r="M35" s="488">
        <v>105171</v>
      </c>
      <c r="N35" s="495">
        <v>118897865</v>
      </c>
      <c r="O35" s="498">
        <f t="shared" si="0"/>
        <v>98236866</v>
      </c>
      <c r="P35" s="492">
        <f t="shared" si="1"/>
        <v>20660999</v>
      </c>
    </row>
    <row r="36" spans="1:16" x14ac:dyDescent="0.35">
      <c r="A36" t="s">
        <v>63</v>
      </c>
      <c r="B36" t="s">
        <v>135</v>
      </c>
      <c r="C36" s="488">
        <v>4064668</v>
      </c>
      <c r="D36" s="488">
        <v>29432</v>
      </c>
      <c r="E36" s="488">
        <v>26689</v>
      </c>
      <c r="F36" s="488">
        <v>10478</v>
      </c>
      <c r="G36" s="488">
        <v>92432</v>
      </c>
      <c r="H36" s="488">
        <v>904974</v>
      </c>
      <c r="I36" s="488">
        <v>135586</v>
      </c>
      <c r="J36" s="488">
        <v>29579</v>
      </c>
      <c r="K36" s="488">
        <v>10801</v>
      </c>
      <c r="L36" s="488">
        <v>8208</v>
      </c>
      <c r="M36" s="488">
        <v>8913</v>
      </c>
      <c r="N36" s="495">
        <v>5321760</v>
      </c>
      <c r="O36" s="497">
        <f t="shared" si="0"/>
        <v>4223699</v>
      </c>
      <c r="P36" s="488">
        <f t="shared" si="1"/>
        <v>1098061</v>
      </c>
    </row>
    <row r="37" spans="1:16" x14ac:dyDescent="0.35">
      <c r="B37" t="s">
        <v>136</v>
      </c>
      <c r="C37" s="488">
        <v>4572359</v>
      </c>
      <c r="D37" s="488">
        <v>23766</v>
      </c>
      <c r="E37" s="488">
        <v>47963</v>
      </c>
      <c r="F37" s="488">
        <v>15476</v>
      </c>
      <c r="G37" s="488">
        <v>108290</v>
      </c>
      <c r="H37" s="488">
        <v>930339</v>
      </c>
      <c r="I37" s="488">
        <v>178091</v>
      </c>
      <c r="J37" s="488">
        <v>32506</v>
      </c>
      <c r="K37" s="488">
        <v>12255</v>
      </c>
      <c r="L37" s="488">
        <v>4331</v>
      </c>
      <c r="M37" s="488">
        <v>4564</v>
      </c>
      <c r="N37" s="495">
        <v>5929940</v>
      </c>
      <c r="O37" s="497">
        <f t="shared" si="0"/>
        <v>4767854</v>
      </c>
      <c r="P37" s="488">
        <f t="shared" si="1"/>
        <v>1162086</v>
      </c>
    </row>
    <row r="38" spans="1:16" x14ac:dyDescent="0.35">
      <c r="B38" t="s">
        <v>137</v>
      </c>
      <c r="C38" s="488">
        <v>3552563</v>
      </c>
      <c r="D38" s="488">
        <v>26173</v>
      </c>
      <c r="E38" s="488">
        <v>32530</v>
      </c>
      <c r="F38" s="488">
        <v>6406</v>
      </c>
      <c r="G38" s="488">
        <v>121708</v>
      </c>
      <c r="H38" s="488">
        <v>539970</v>
      </c>
      <c r="I38" s="488">
        <v>136278</v>
      </c>
      <c r="J38" s="488">
        <v>35037</v>
      </c>
      <c r="K38" s="488">
        <v>7759</v>
      </c>
      <c r="L38" s="488">
        <v>4912</v>
      </c>
      <c r="M38" s="488">
        <v>1334</v>
      </c>
      <c r="N38" s="495">
        <v>4464670</v>
      </c>
      <c r="O38" s="497">
        <f t="shared" si="0"/>
        <v>3739380</v>
      </c>
      <c r="P38" s="488">
        <f t="shared" si="1"/>
        <v>725290</v>
      </c>
    </row>
    <row r="39" spans="1:16" x14ac:dyDescent="0.35">
      <c r="B39" t="s">
        <v>138</v>
      </c>
      <c r="C39" s="488">
        <v>2797805</v>
      </c>
      <c r="D39" s="488">
        <v>20815</v>
      </c>
      <c r="E39" s="488">
        <v>73509</v>
      </c>
      <c r="F39" s="488">
        <v>4322</v>
      </c>
      <c r="G39" s="488">
        <v>88544</v>
      </c>
      <c r="H39" s="488">
        <v>330252</v>
      </c>
      <c r="I39" s="488">
        <v>176072</v>
      </c>
      <c r="J39" s="488">
        <v>20525</v>
      </c>
      <c r="K39" s="488">
        <v>5500</v>
      </c>
      <c r="L39" s="488">
        <v>5098</v>
      </c>
      <c r="M39" s="488">
        <v>5081</v>
      </c>
      <c r="N39" s="495">
        <v>3527523</v>
      </c>
      <c r="O39" s="497">
        <f t="shared" si="0"/>
        <v>2984995</v>
      </c>
      <c r="P39" s="488">
        <f t="shared" si="1"/>
        <v>542528</v>
      </c>
    </row>
    <row r="40" spans="1:16" x14ac:dyDescent="0.35">
      <c r="B40" t="s">
        <v>139</v>
      </c>
      <c r="C40" s="488">
        <v>2265727</v>
      </c>
      <c r="D40" s="488">
        <v>32888</v>
      </c>
      <c r="E40" s="488">
        <v>13246</v>
      </c>
      <c r="F40" s="488">
        <v>5193</v>
      </c>
      <c r="G40" s="488">
        <v>99255</v>
      </c>
      <c r="H40" s="488">
        <v>351624</v>
      </c>
      <c r="I40" s="488">
        <v>180239</v>
      </c>
      <c r="J40" s="488">
        <v>11727</v>
      </c>
      <c r="K40" s="488">
        <v>6281</v>
      </c>
      <c r="L40" s="488">
        <v>4449</v>
      </c>
      <c r="M40" s="488">
        <v>1291</v>
      </c>
      <c r="N40" s="495">
        <v>2971920</v>
      </c>
      <c r="O40" s="497">
        <f t="shared" si="0"/>
        <v>2416309</v>
      </c>
      <c r="P40" s="488">
        <f t="shared" si="1"/>
        <v>555611</v>
      </c>
    </row>
    <row r="41" spans="1:16" x14ac:dyDescent="0.35">
      <c r="B41" t="s">
        <v>140</v>
      </c>
      <c r="C41" s="488">
        <v>2159116</v>
      </c>
      <c r="D41" s="488">
        <v>34578</v>
      </c>
      <c r="E41" s="488">
        <v>22387</v>
      </c>
      <c r="F41" s="488">
        <v>1996</v>
      </c>
      <c r="G41" s="488">
        <v>97775</v>
      </c>
      <c r="H41" s="488">
        <v>344708</v>
      </c>
      <c r="I41" s="488">
        <v>188671</v>
      </c>
      <c r="J41" s="488">
        <v>9093</v>
      </c>
      <c r="K41" s="488">
        <v>3824</v>
      </c>
      <c r="L41" s="488">
        <v>5418</v>
      </c>
      <c r="M41" s="488">
        <v>3100</v>
      </c>
      <c r="N41" s="495">
        <v>2870666</v>
      </c>
      <c r="O41" s="497">
        <f t="shared" si="0"/>
        <v>2315852</v>
      </c>
      <c r="P41" s="488">
        <f t="shared" si="1"/>
        <v>554814</v>
      </c>
    </row>
    <row r="42" spans="1:16" x14ac:dyDescent="0.35">
      <c r="B42" t="s">
        <v>141</v>
      </c>
      <c r="C42" s="488">
        <v>2835754</v>
      </c>
      <c r="D42" s="488">
        <v>33462</v>
      </c>
      <c r="E42" s="488">
        <v>1717</v>
      </c>
      <c r="F42" s="488">
        <v>3121</v>
      </c>
      <c r="G42" s="488">
        <v>82366</v>
      </c>
      <c r="H42" s="488">
        <v>526670</v>
      </c>
      <c r="I42" s="488">
        <v>201401</v>
      </c>
      <c r="J42" s="488">
        <v>12585</v>
      </c>
      <c r="K42" s="488">
        <v>6574</v>
      </c>
      <c r="L42" s="488">
        <v>2075</v>
      </c>
      <c r="M42" s="488">
        <v>3057</v>
      </c>
      <c r="N42" s="495">
        <v>3708782</v>
      </c>
      <c r="O42" s="497">
        <f t="shared" si="0"/>
        <v>2956420</v>
      </c>
      <c r="P42" s="488">
        <f t="shared" si="1"/>
        <v>752362</v>
      </c>
    </row>
    <row r="43" spans="1:16" x14ac:dyDescent="0.35">
      <c r="B43" t="s">
        <v>142</v>
      </c>
      <c r="C43" s="488">
        <v>4038776</v>
      </c>
      <c r="D43" s="488">
        <v>28413</v>
      </c>
      <c r="E43" s="488">
        <v>38880</v>
      </c>
      <c r="F43" s="488">
        <v>7184</v>
      </c>
      <c r="G43" s="488">
        <v>129134</v>
      </c>
      <c r="H43" s="488">
        <v>693965</v>
      </c>
      <c r="I43" s="488">
        <v>192882</v>
      </c>
      <c r="J43" s="488">
        <v>27190</v>
      </c>
      <c r="K43" s="488">
        <v>4960</v>
      </c>
      <c r="L43" s="488">
        <v>8849</v>
      </c>
      <c r="M43" s="488">
        <v>3057</v>
      </c>
      <c r="N43" s="495">
        <v>5173290</v>
      </c>
      <c r="O43" s="497">
        <f t="shared" si="0"/>
        <v>4242387</v>
      </c>
      <c r="P43" s="488">
        <f t="shared" si="1"/>
        <v>930903</v>
      </c>
    </row>
    <row r="44" spans="1:16" x14ac:dyDescent="0.35">
      <c r="B44" t="s">
        <v>143</v>
      </c>
      <c r="C44" s="488">
        <v>4305103</v>
      </c>
      <c r="D44" s="488">
        <v>32400</v>
      </c>
      <c r="E44" s="488">
        <v>65678</v>
      </c>
      <c r="F44" s="488">
        <v>1844</v>
      </c>
      <c r="G44" s="488">
        <v>114553</v>
      </c>
      <c r="H44" s="488">
        <v>480602</v>
      </c>
      <c r="I44" s="488">
        <v>174897</v>
      </c>
      <c r="J44" s="488">
        <v>13800</v>
      </c>
      <c r="K44" s="488">
        <v>7381</v>
      </c>
      <c r="L44" s="488">
        <v>11271</v>
      </c>
      <c r="M44" s="488">
        <v>1636</v>
      </c>
      <c r="N44" s="495">
        <v>5209165</v>
      </c>
      <c r="O44" s="497">
        <f t="shared" si="0"/>
        <v>4519578</v>
      </c>
      <c r="P44" s="488">
        <f t="shared" si="1"/>
        <v>689587</v>
      </c>
    </row>
    <row r="45" spans="1:16" x14ac:dyDescent="0.35">
      <c r="B45" t="s">
        <v>144</v>
      </c>
      <c r="C45" s="488">
        <v>4123039</v>
      </c>
      <c r="D45" s="488">
        <v>28567</v>
      </c>
      <c r="E45" s="488">
        <v>28987</v>
      </c>
      <c r="F45" s="488">
        <v>6055</v>
      </c>
      <c r="G45" s="488">
        <v>132557</v>
      </c>
      <c r="H45" s="488">
        <v>415988</v>
      </c>
      <c r="I45" s="488">
        <v>141262</v>
      </c>
      <c r="J45" s="488">
        <v>21700</v>
      </c>
      <c r="K45" s="488">
        <v>2811</v>
      </c>
      <c r="L45" s="488">
        <v>4259</v>
      </c>
      <c r="M45" s="488">
        <v>0</v>
      </c>
      <c r="N45" s="495">
        <v>4905225</v>
      </c>
      <c r="O45" s="497">
        <f t="shared" si="0"/>
        <v>4319205</v>
      </c>
      <c r="P45" s="488">
        <f t="shared" si="1"/>
        <v>586020</v>
      </c>
    </row>
    <row r="46" spans="1:16" x14ac:dyDescent="0.35">
      <c r="B46" t="s">
        <v>145</v>
      </c>
      <c r="C46" s="488">
        <v>2993082</v>
      </c>
      <c r="D46" s="488">
        <v>24347</v>
      </c>
      <c r="E46" s="488">
        <v>18478</v>
      </c>
      <c r="F46" s="488">
        <v>2267</v>
      </c>
      <c r="G46" s="488">
        <v>140034</v>
      </c>
      <c r="H46" s="488">
        <v>412479</v>
      </c>
      <c r="I46" s="488">
        <v>215146</v>
      </c>
      <c r="J46" s="488">
        <v>12955</v>
      </c>
      <c r="K46" s="488">
        <v>214</v>
      </c>
      <c r="L46" s="488">
        <v>4069</v>
      </c>
      <c r="M46" s="488">
        <v>1076</v>
      </c>
      <c r="N46" s="495">
        <v>3824147</v>
      </c>
      <c r="O46" s="497">
        <f t="shared" si="0"/>
        <v>3178208</v>
      </c>
      <c r="P46" s="488">
        <f t="shared" si="1"/>
        <v>645939</v>
      </c>
    </row>
    <row r="47" spans="1:16" x14ac:dyDescent="0.35">
      <c r="B47" t="s">
        <v>146</v>
      </c>
      <c r="C47" s="488">
        <v>2651227</v>
      </c>
      <c r="D47" s="488">
        <v>30709</v>
      </c>
      <c r="E47" s="488">
        <v>11629</v>
      </c>
      <c r="F47" s="488">
        <v>3889</v>
      </c>
      <c r="G47" s="488">
        <v>97304</v>
      </c>
      <c r="H47" s="488">
        <v>566709</v>
      </c>
      <c r="I47" s="488">
        <v>221811</v>
      </c>
      <c r="J47" s="488">
        <v>20101</v>
      </c>
      <c r="K47" s="488">
        <v>2802</v>
      </c>
      <c r="L47" s="488">
        <v>6123</v>
      </c>
      <c r="M47" s="488">
        <v>2627</v>
      </c>
      <c r="N47" s="495">
        <v>3614931</v>
      </c>
      <c r="O47" s="497">
        <f t="shared" si="0"/>
        <v>2794758</v>
      </c>
      <c r="P47" s="488">
        <f t="shared" si="1"/>
        <v>820173</v>
      </c>
    </row>
    <row r="48" spans="1:16" x14ac:dyDescent="0.35">
      <c r="B48" t="s">
        <v>147</v>
      </c>
      <c r="C48" s="488">
        <v>2172069</v>
      </c>
      <c r="D48" s="488">
        <v>41533</v>
      </c>
      <c r="E48" s="488">
        <v>29771</v>
      </c>
      <c r="F48" s="488">
        <v>2610</v>
      </c>
      <c r="G48" s="488">
        <v>43950</v>
      </c>
      <c r="H48" s="488">
        <v>427855</v>
      </c>
      <c r="I48" s="488">
        <v>215157</v>
      </c>
      <c r="J48" s="488">
        <v>16395</v>
      </c>
      <c r="K48" s="488">
        <v>3162</v>
      </c>
      <c r="L48" s="488">
        <v>-34</v>
      </c>
      <c r="M48" s="488">
        <v>3272</v>
      </c>
      <c r="N48" s="495">
        <v>2955740</v>
      </c>
      <c r="O48" s="497">
        <f t="shared" si="0"/>
        <v>2289933</v>
      </c>
      <c r="P48" s="488">
        <f t="shared" si="1"/>
        <v>665807</v>
      </c>
    </row>
    <row r="49" spans="2:16" x14ac:dyDescent="0.35">
      <c r="B49" t="s">
        <v>148</v>
      </c>
      <c r="C49" s="488">
        <v>2966244</v>
      </c>
      <c r="D49" s="488">
        <v>39097</v>
      </c>
      <c r="E49" s="488">
        <v>-880</v>
      </c>
      <c r="F49" s="488">
        <v>939</v>
      </c>
      <c r="G49" s="488">
        <v>55568</v>
      </c>
      <c r="H49" s="488">
        <v>506926</v>
      </c>
      <c r="I49" s="488">
        <v>228812</v>
      </c>
      <c r="J49" s="488">
        <v>16003</v>
      </c>
      <c r="K49" s="488">
        <v>2578</v>
      </c>
      <c r="L49" s="488">
        <v>3300</v>
      </c>
      <c r="M49" s="488">
        <v>3617</v>
      </c>
      <c r="N49" s="495">
        <v>3822204</v>
      </c>
      <c r="O49" s="497">
        <f t="shared" si="0"/>
        <v>3060968</v>
      </c>
      <c r="P49" s="488">
        <f t="shared" si="1"/>
        <v>761236</v>
      </c>
    </row>
    <row r="50" spans="2:16" x14ac:dyDescent="0.35">
      <c r="B50" t="s">
        <v>149</v>
      </c>
      <c r="C50" s="488">
        <v>4649825</v>
      </c>
      <c r="D50" s="488">
        <v>37739</v>
      </c>
      <c r="E50" s="488">
        <v>23981</v>
      </c>
      <c r="F50" s="488">
        <v>1678</v>
      </c>
      <c r="G50" s="488">
        <v>112677</v>
      </c>
      <c r="H50" s="488">
        <v>633681</v>
      </c>
      <c r="I50" s="488">
        <v>215869</v>
      </c>
      <c r="J50" s="488">
        <v>20071</v>
      </c>
      <c r="K50" s="488">
        <v>5767</v>
      </c>
      <c r="L50" s="488">
        <v>8348</v>
      </c>
      <c r="M50" s="488">
        <v>1550</v>
      </c>
      <c r="N50" s="495">
        <v>5711186</v>
      </c>
      <c r="O50" s="497">
        <f t="shared" si="0"/>
        <v>4825900</v>
      </c>
      <c r="P50" s="488">
        <f t="shared" si="1"/>
        <v>885286</v>
      </c>
    </row>
    <row r="51" spans="2:16" x14ac:dyDescent="0.35">
      <c r="B51" t="s">
        <v>150</v>
      </c>
      <c r="C51" s="488">
        <v>5160916</v>
      </c>
      <c r="D51" s="488">
        <v>18791</v>
      </c>
      <c r="E51" s="488">
        <v>35886</v>
      </c>
      <c r="F51" s="488">
        <v>3238</v>
      </c>
      <c r="G51" s="488">
        <v>89042</v>
      </c>
      <c r="H51" s="488">
        <v>748300</v>
      </c>
      <c r="I51" s="488">
        <v>179203</v>
      </c>
      <c r="J51" s="488">
        <v>14440</v>
      </c>
      <c r="K51" s="488">
        <v>6266</v>
      </c>
      <c r="L51" s="488">
        <v>8389</v>
      </c>
      <c r="M51" s="488">
        <v>2884</v>
      </c>
      <c r="N51" s="495">
        <v>6267355</v>
      </c>
      <c r="O51" s="497">
        <f t="shared" si="0"/>
        <v>5307873</v>
      </c>
      <c r="P51" s="488">
        <f t="shared" si="1"/>
        <v>959482</v>
      </c>
    </row>
    <row r="52" spans="2:16" x14ac:dyDescent="0.35">
      <c r="B52" t="s">
        <v>151</v>
      </c>
      <c r="C52" s="488">
        <v>4780003</v>
      </c>
      <c r="D52" s="488">
        <v>32856</v>
      </c>
      <c r="E52" s="488">
        <v>23592</v>
      </c>
      <c r="F52" s="488">
        <v>4187</v>
      </c>
      <c r="G52" s="488">
        <v>135945</v>
      </c>
      <c r="H52" s="488">
        <v>805827</v>
      </c>
      <c r="I52" s="488">
        <v>161698</v>
      </c>
      <c r="J52" s="488">
        <v>17717</v>
      </c>
      <c r="K52" s="488">
        <v>6926</v>
      </c>
      <c r="L52" s="488">
        <v>7283</v>
      </c>
      <c r="M52" s="488">
        <v>2368</v>
      </c>
      <c r="N52" s="495">
        <v>5978402</v>
      </c>
      <c r="O52" s="497">
        <f t="shared" si="0"/>
        <v>4976583</v>
      </c>
      <c r="P52" s="488">
        <f t="shared" si="1"/>
        <v>1001819</v>
      </c>
    </row>
    <row r="53" spans="2:16" x14ac:dyDescent="0.35">
      <c r="B53" t="s">
        <v>152</v>
      </c>
      <c r="C53" s="488">
        <v>3694508</v>
      </c>
      <c r="D53" s="488">
        <v>30523</v>
      </c>
      <c r="E53" s="488">
        <v>39366</v>
      </c>
      <c r="F53" s="488">
        <v>4372</v>
      </c>
      <c r="G53" s="488">
        <v>104558</v>
      </c>
      <c r="H53" s="488">
        <v>564730</v>
      </c>
      <c r="I53" s="488">
        <v>163685</v>
      </c>
      <c r="J53" s="488">
        <v>12267</v>
      </c>
      <c r="K53" s="488">
        <v>5509</v>
      </c>
      <c r="L53" s="488">
        <v>8214</v>
      </c>
      <c r="M53" s="488">
        <v>5684</v>
      </c>
      <c r="N53" s="495">
        <v>4633416</v>
      </c>
      <c r="O53" s="497">
        <f t="shared" si="0"/>
        <v>3873327</v>
      </c>
      <c r="P53" s="488">
        <f t="shared" si="1"/>
        <v>760089</v>
      </c>
    </row>
    <row r="54" spans="2:16" x14ac:dyDescent="0.35">
      <c r="B54" t="s">
        <v>153</v>
      </c>
      <c r="C54" s="488">
        <v>2520466</v>
      </c>
      <c r="D54" s="488">
        <v>27134</v>
      </c>
      <c r="E54" s="488">
        <v>6920</v>
      </c>
      <c r="F54" s="488">
        <v>610</v>
      </c>
      <c r="G54" s="488">
        <v>82905</v>
      </c>
      <c r="H54" s="488">
        <v>507387</v>
      </c>
      <c r="I54" s="488">
        <v>155281</v>
      </c>
      <c r="J54" s="488">
        <v>7714</v>
      </c>
      <c r="K54" s="488">
        <v>7124</v>
      </c>
      <c r="L54" s="488">
        <v>10528</v>
      </c>
      <c r="M54" s="488">
        <v>5426</v>
      </c>
      <c r="N54" s="495">
        <v>3331495</v>
      </c>
      <c r="O54" s="497">
        <f t="shared" si="0"/>
        <v>2638035</v>
      </c>
      <c r="P54" s="488">
        <f t="shared" si="1"/>
        <v>693460</v>
      </c>
    </row>
    <row r="55" spans="2:16" x14ac:dyDescent="0.35">
      <c r="B55" t="s">
        <v>154</v>
      </c>
      <c r="C55" s="488">
        <v>1707778</v>
      </c>
      <c r="D55" s="488">
        <v>37861</v>
      </c>
      <c r="E55" s="488">
        <v>195</v>
      </c>
      <c r="F55" s="488">
        <v>4940</v>
      </c>
      <c r="G55" s="488">
        <v>125997</v>
      </c>
      <c r="H55" s="488">
        <v>378080</v>
      </c>
      <c r="I55" s="488">
        <v>153733</v>
      </c>
      <c r="J55" s="488">
        <v>14491</v>
      </c>
      <c r="K55" s="488">
        <v>5329</v>
      </c>
      <c r="L55" s="488">
        <v>5725</v>
      </c>
      <c r="M55" s="488">
        <v>603</v>
      </c>
      <c r="N55" s="495">
        <v>2434732</v>
      </c>
      <c r="O55" s="497">
        <f t="shared" si="0"/>
        <v>1876771</v>
      </c>
      <c r="P55" s="488">
        <f t="shared" si="1"/>
        <v>557961</v>
      </c>
    </row>
    <row r="56" spans="2:16" x14ac:dyDescent="0.35">
      <c r="B56" t="s">
        <v>155</v>
      </c>
      <c r="C56" s="488">
        <v>2286106</v>
      </c>
      <c r="D56" s="488">
        <v>30081</v>
      </c>
      <c r="E56" s="488">
        <v>-4507</v>
      </c>
      <c r="F56" s="488">
        <v>-62</v>
      </c>
      <c r="G56" s="488">
        <v>66122</v>
      </c>
      <c r="H56" s="488">
        <v>434484</v>
      </c>
      <c r="I56" s="488">
        <v>171572</v>
      </c>
      <c r="J56" s="488">
        <v>16085</v>
      </c>
      <c r="K56" s="488">
        <v>6203</v>
      </c>
      <c r="L56" s="488">
        <v>5780</v>
      </c>
      <c r="M56" s="488">
        <v>2584</v>
      </c>
      <c r="N56" s="495">
        <v>3014448</v>
      </c>
      <c r="O56" s="497">
        <f t="shared" si="0"/>
        <v>2377740</v>
      </c>
      <c r="P56" s="488">
        <f t="shared" si="1"/>
        <v>636708</v>
      </c>
    </row>
    <row r="57" spans="2:16" x14ac:dyDescent="0.35">
      <c r="B57" t="s">
        <v>156</v>
      </c>
      <c r="C57" s="488">
        <v>3449372</v>
      </c>
      <c r="D57" s="488">
        <v>32572</v>
      </c>
      <c r="E57" s="488">
        <v>60642</v>
      </c>
      <c r="F57" s="488">
        <v>0</v>
      </c>
      <c r="G57" s="488">
        <v>81822</v>
      </c>
      <c r="H57" s="488">
        <v>607813</v>
      </c>
      <c r="I57" s="488">
        <v>170679</v>
      </c>
      <c r="J57" s="488">
        <v>25030</v>
      </c>
      <c r="K57" s="488">
        <v>4734</v>
      </c>
      <c r="L57" s="488">
        <v>5983</v>
      </c>
      <c r="M57" s="488">
        <v>1464</v>
      </c>
      <c r="N57" s="495">
        <v>4440111</v>
      </c>
      <c r="O57" s="497">
        <f t="shared" si="0"/>
        <v>3624408</v>
      </c>
      <c r="P57" s="488">
        <f t="shared" si="1"/>
        <v>815703</v>
      </c>
    </row>
    <row r="58" spans="2:16" x14ac:dyDescent="0.35">
      <c r="B58" t="s">
        <v>157</v>
      </c>
      <c r="C58" s="488">
        <v>3607578</v>
      </c>
      <c r="D58" s="488">
        <v>31603</v>
      </c>
      <c r="E58" s="488">
        <v>41336</v>
      </c>
      <c r="F58" s="488">
        <v>0</v>
      </c>
      <c r="G58" s="488">
        <v>47149</v>
      </c>
      <c r="H58" s="488">
        <v>522266</v>
      </c>
      <c r="I58" s="488">
        <v>166620</v>
      </c>
      <c r="J58" s="488">
        <v>35881</v>
      </c>
      <c r="K58" s="488">
        <v>14026</v>
      </c>
      <c r="L58" s="488">
        <v>6322</v>
      </c>
      <c r="M58" s="488">
        <v>5038</v>
      </c>
      <c r="N58" s="495">
        <v>4477819</v>
      </c>
      <c r="O58" s="497">
        <f t="shared" si="0"/>
        <v>3727666</v>
      </c>
      <c r="P58" s="488">
        <f t="shared" si="1"/>
        <v>750153</v>
      </c>
    </row>
    <row r="59" spans="2:16" x14ac:dyDescent="0.35">
      <c r="B59" t="s">
        <v>158</v>
      </c>
      <c r="C59" s="488">
        <v>3156183</v>
      </c>
      <c r="D59" s="488">
        <v>27167</v>
      </c>
      <c r="E59" s="488">
        <v>47227</v>
      </c>
      <c r="F59" s="488">
        <v>1614</v>
      </c>
      <c r="G59" s="488">
        <v>62691</v>
      </c>
      <c r="H59" s="488">
        <v>486332</v>
      </c>
      <c r="I59" s="488">
        <v>165559</v>
      </c>
      <c r="J59" s="488">
        <v>26707</v>
      </c>
      <c r="K59" s="488">
        <v>18093</v>
      </c>
      <c r="L59" s="488">
        <v>15844</v>
      </c>
      <c r="M59" s="488">
        <v>5384</v>
      </c>
      <c r="N59" s="495">
        <v>4012801</v>
      </c>
      <c r="O59" s="497">
        <f t="shared" si="0"/>
        <v>3294882</v>
      </c>
      <c r="P59" s="488">
        <f t="shared" si="1"/>
        <v>717919</v>
      </c>
    </row>
    <row r="60" spans="2:16" x14ac:dyDescent="0.35">
      <c r="B60" t="s">
        <v>159</v>
      </c>
      <c r="C60" s="488">
        <v>2694753</v>
      </c>
      <c r="D60" s="488">
        <v>29216</v>
      </c>
      <c r="E60" s="488">
        <v>16753</v>
      </c>
      <c r="F60" s="488">
        <v>1713</v>
      </c>
      <c r="G60" s="488">
        <v>63932</v>
      </c>
      <c r="H60" s="488">
        <v>505290</v>
      </c>
      <c r="I60" s="488">
        <v>132920</v>
      </c>
      <c r="J60" s="488">
        <v>47371</v>
      </c>
      <c r="K60" s="488">
        <v>14247</v>
      </c>
      <c r="L60" s="488">
        <v>19034</v>
      </c>
      <c r="M60" s="488">
        <v>861</v>
      </c>
      <c r="N60" s="495">
        <v>3526090</v>
      </c>
      <c r="O60" s="497">
        <f t="shared" si="0"/>
        <v>2806367</v>
      </c>
      <c r="P60" s="488">
        <f t="shared" si="1"/>
        <v>719723</v>
      </c>
    </row>
    <row r="61" spans="2:16" x14ac:dyDescent="0.35">
      <c r="B61" t="s">
        <v>160</v>
      </c>
      <c r="C61" s="488">
        <v>2205478</v>
      </c>
      <c r="D61" s="488">
        <v>28000</v>
      </c>
      <c r="E61" s="488">
        <v>16158</v>
      </c>
      <c r="F61" s="488">
        <v>1136</v>
      </c>
      <c r="G61" s="488">
        <v>81003</v>
      </c>
      <c r="H61" s="488">
        <v>416030</v>
      </c>
      <c r="I61" s="488">
        <v>171947</v>
      </c>
      <c r="J61" s="488">
        <v>42864</v>
      </c>
      <c r="K61" s="488">
        <v>12244</v>
      </c>
      <c r="L61" s="488">
        <v>7750</v>
      </c>
      <c r="M61" s="488">
        <v>689</v>
      </c>
      <c r="N61" s="495">
        <v>2983299</v>
      </c>
      <c r="O61" s="497">
        <f t="shared" si="0"/>
        <v>2331775</v>
      </c>
      <c r="P61" s="488">
        <f t="shared" si="1"/>
        <v>651524</v>
      </c>
    </row>
    <row r="62" spans="2:16" x14ac:dyDescent="0.35">
      <c r="B62" t="s">
        <v>161</v>
      </c>
      <c r="C62" s="488">
        <v>1773131</v>
      </c>
      <c r="D62" s="488">
        <v>37159</v>
      </c>
      <c r="E62" s="488">
        <v>7338</v>
      </c>
      <c r="F62" s="488">
        <v>0</v>
      </c>
      <c r="G62" s="488">
        <v>67734</v>
      </c>
      <c r="H62" s="488">
        <v>419596</v>
      </c>
      <c r="I62" s="488">
        <v>154349</v>
      </c>
      <c r="J62" s="488">
        <v>36632</v>
      </c>
      <c r="K62" s="488">
        <v>11823</v>
      </c>
      <c r="L62" s="488">
        <v>4627</v>
      </c>
      <c r="M62" s="488">
        <v>1463</v>
      </c>
      <c r="N62" s="495">
        <v>2513852</v>
      </c>
      <c r="O62" s="497">
        <f t="shared" si="0"/>
        <v>1885362</v>
      </c>
      <c r="P62" s="488">
        <f t="shared" si="1"/>
        <v>628490</v>
      </c>
    </row>
    <row r="63" spans="2:16" x14ac:dyDescent="0.35">
      <c r="B63" t="s">
        <v>162</v>
      </c>
      <c r="C63" s="488">
        <v>2401141</v>
      </c>
      <c r="D63" s="488">
        <v>36721</v>
      </c>
      <c r="E63" s="488">
        <v>0</v>
      </c>
      <c r="F63" s="488">
        <v>3416</v>
      </c>
      <c r="G63" s="488">
        <v>51033</v>
      </c>
      <c r="H63" s="488">
        <v>338340</v>
      </c>
      <c r="I63" s="488">
        <v>156455</v>
      </c>
      <c r="J63" s="488">
        <v>51224</v>
      </c>
      <c r="K63" s="488">
        <v>16905</v>
      </c>
      <c r="L63" s="488">
        <v>2570</v>
      </c>
      <c r="M63" s="488">
        <v>5469</v>
      </c>
      <c r="N63" s="495">
        <v>3063274</v>
      </c>
      <c r="O63" s="497">
        <f t="shared" si="0"/>
        <v>2492311</v>
      </c>
      <c r="P63" s="488">
        <f t="shared" si="1"/>
        <v>570963</v>
      </c>
    </row>
    <row r="64" spans="2:16" x14ac:dyDescent="0.35">
      <c r="B64" t="s">
        <v>163</v>
      </c>
      <c r="C64" s="488">
        <v>3662040</v>
      </c>
      <c r="D64" s="488">
        <v>33444</v>
      </c>
      <c r="E64" s="488">
        <v>20991</v>
      </c>
      <c r="F64" s="488">
        <v>963</v>
      </c>
      <c r="G64" s="488">
        <v>80828</v>
      </c>
      <c r="H64" s="488">
        <v>498148</v>
      </c>
      <c r="I64" s="488">
        <v>146434</v>
      </c>
      <c r="J64" s="488">
        <v>52303</v>
      </c>
      <c r="K64" s="488">
        <v>17845</v>
      </c>
      <c r="L64" s="488">
        <v>3624</v>
      </c>
      <c r="M64" s="488">
        <v>4004</v>
      </c>
      <c r="N64" s="495">
        <v>4520624</v>
      </c>
      <c r="O64" s="497">
        <f t="shared" si="0"/>
        <v>3798266</v>
      </c>
      <c r="P64" s="488">
        <f t="shared" si="1"/>
        <v>722358</v>
      </c>
    </row>
    <row r="65" spans="1:16" x14ac:dyDescent="0.35">
      <c r="B65" t="s">
        <v>164</v>
      </c>
      <c r="C65" s="488">
        <v>4003008</v>
      </c>
      <c r="D65" s="488">
        <v>33147</v>
      </c>
      <c r="E65" s="488">
        <v>7770</v>
      </c>
      <c r="F65" s="488">
        <v>4521</v>
      </c>
      <c r="G65" s="488">
        <v>83644</v>
      </c>
      <c r="H65" s="488">
        <v>771777</v>
      </c>
      <c r="I65" s="488">
        <v>155445</v>
      </c>
      <c r="J65" s="488">
        <v>49773</v>
      </c>
      <c r="K65" s="488">
        <v>13299</v>
      </c>
      <c r="L65" s="488">
        <v>4538</v>
      </c>
      <c r="M65" s="488">
        <v>1937</v>
      </c>
      <c r="N65" s="495">
        <v>5128859</v>
      </c>
      <c r="O65" s="497">
        <f t="shared" si="0"/>
        <v>4132090</v>
      </c>
      <c r="P65" s="488">
        <f t="shared" si="1"/>
        <v>996769</v>
      </c>
    </row>
    <row r="66" spans="1:16" x14ac:dyDescent="0.35">
      <c r="A66" t="s">
        <v>165</v>
      </c>
      <c r="C66" s="488">
        <v>97249818</v>
      </c>
      <c r="D66" s="488">
        <v>930194</v>
      </c>
      <c r="E66" s="488">
        <v>754232</v>
      </c>
      <c r="F66" s="488">
        <v>104106</v>
      </c>
      <c r="G66" s="488">
        <v>2740552</v>
      </c>
      <c r="H66" s="488">
        <v>16071142</v>
      </c>
      <c r="I66" s="488">
        <v>5207754</v>
      </c>
      <c r="J66" s="488">
        <v>749766</v>
      </c>
      <c r="K66" s="488">
        <v>243242</v>
      </c>
      <c r="L66" s="488">
        <v>196887</v>
      </c>
      <c r="M66" s="488">
        <v>90033</v>
      </c>
      <c r="N66" s="495">
        <v>124337726</v>
      </c>
      <c r="O66" s="498">
        <f t="shared" si="0"/>
        <v>101778902</v>
      </c>
      <c r="P66" s="492">
        <f t="shared" si="1"/>
        <v>22558824</v>
      </c>
    </row>
    <row r="67" spans="1:16" x14ac:dyDescent="0.35">
      <c r="A67" t="s">
        <v>64</v>
      </c>
      <c r="B67" t="s">
        <v>166</v>
      </c>
      <c r="C67" s="488">
        <v>3854991</v>
      </c>
      <c r="D67" s="488">
        <v>33555</v>
      </c>
      <c r="E67" s="488">
        <v>37725</v>
      </c>
      <c r="F67" s="488">
        <v>3591</v>
      </c>
      <c r="G67" s="488">
        <v>72458</v>
      </c>
      <c r="H67" s="488">
        <v>625555</v>
      </c>
      <c r="I67" s="488">
        <v>147936</v>
      </c>
      <c r="J67" s="488">
        <v>54054</v>
      </c>
      <c r="K67" s="488">
        <v>17511</v>
      </c>
      <c r="L67" s="488">
        <v>6232</v>
      </c>
      <c r="M67" s="488">
        <v>1455</v>
      </c>
      <c r="N67" s="495">
        <v>4855063</v>
      </c>
      <c r="O67" s="497">
        <f t="shared" si="0"/>
        <v>4002320</v>
      </c>
      <c r="P67" s="488">
        <f t="shared" si="1"/>
        <v>852743</v>
      </c>
    </row>
    <row r="68" spans="1:16" x14ac:dyDescent="0.35">
      <c r="B68" t="s">
        <v>167</v>
      </c>
      <c r="C68" s="488">
        <v>2923874</v>
      </c>
      <c r="D68" s="488">
        <v>33721</v>
      </c>
      <c r="E68" s="488">
        <v>11767</v>
      </c>
      <c r="F68" s="488">
        <v>4184</v>
      </c>
      <c r="G68" s="488">
        <v>86120</v>
      </c>
      <c r="H68" s="488">
        <v>529374</v>
      </c>
      <c r="I68" s="488">
        <v>154761</v>
      </c>
      <c r="J68" s="488">
        <v>37080</v>
      </c>
      <c r="K68" s="488">
        <v>17915</v>
      </c>
      <c r="L68" s="488">
        <v>9869</v>
      </c>
      <c r="M68" s="488">
        <v>6287</v>
      </c>
      <c r="N68" s="495">
        <v>3814952</v>
      </c>
      <c r="O68" s="497">
        <f t="shared" si="0"/>
        <v>3059666</v>
      </c>
      <c r="P68" s="488">
        <f t="shared" si="1"/>
        <v>755286</v>
      </c>
    </row>
    <row r="69" spans="1:16" x14ac:dyDescent="0.35">
      <c r="B69" t="s">
        <v>168</v>
      </c>
      <c r="C69" s="488">
        <v>2705057</v>
      </c>
      <c r="D69" s="488">
        <v>43805</v>
      </c>
      <c r="E69" s="488">
        <v>17931</v>
      </c>
      <c r="F69" s="488">
        <v>1013</v>
      </c>
      <c r="G69" s="488">
        <v>84930</v>
      </c>
      <c r="H69" s="488">
        <v>337385</v>
      </c>
      <c r="I69" s="488">
        <v>118065</v>
      </c>
      <c r="J69" s="488">
        <v>42831</v>
      </c>
      <c r="K69" s="488">
        <v>10140</v>
      </c>
      <c r="L69" s="488">
        <v>10620</v>
      </c>
      <c r="M69" s="488">
        <v>1894</v>
      </c>
      <c r="N69" s="495">
        <v>3373671</v>
      </c>
      <c r="O69" s="497">
        <f t="shared" ref="O69:O131" si="2">SUM(C69:G69)</f>
        <v>2852736</v>
      </c>
      <c r="P69" s="488">
        <f t="shared" ref="P69:P131" si="3">SUM(H69:M69)</f>
        <v>520935</v>
      </c>
    </row>
    <row r="70" spans="1:16" x14ac:dyDescent="0.35">
      <c r="B70" t="s">
        <v>169</v>
      </c>
      <c r="C70" s="488">
        <v>2175054</v>
      </c>
      <c r="D70" s="488">
        <v>41461</v>
      </c>
      <c r="E70" s="488">
        <v>4234</v>
      </c>
      <c r="F70" s="488">
        <v>345</v>
      </c>
      <c r="G70" s="488">
        <v>73695</v>
      </c>
      <c r="H70" s="488">
        <v>476598</v>
      </c>
      <c r="I70" s="488">
        <v>108307</v>
      </c>
      <c r="J70" s="488">
        <v>37222</v>
      </c>
      <c r="K70" s="488">
        <v>7925</v>
      </c>
      <c r="L70" s="488">
        <v>56771</v>
      </c>
      <c r="M70" s="488">
        <v>2583</v>
      </c>
      <c r="N70" s="495">
        <v>2984195</v>
      </c>
      <c r="O70" s="497">
        <f t="shared" si="2"/>
        <v>2294789</v>
      </c>
      <c r="P70" s="488">
        <f t="shared" si="3"/>
        <v>689406</v>
      </c>
    </row>
    <row r="71" spans="1:16" x14ac:dyDescent="0.35">
      <c r="B71" t="s">
        <v>170</v>
      </c>
      <c r="C71" s="488">
        <v>2221020</v>
      </c>
      <c r="D71" s="488">
        <v>34456</v>
      </c>
      <c r="E71" s="488">
        <v>-5691</v>
      </c>
      <c r="F71" s="488">
        <v>2342</v>
      </c>
      <c r="G71" s="488">
        <v>40115</v>
      </c>
      <c r="H71" s="488">
        <v>421919</v>
      </c>
      <c r="I71" s="488">
        <v>88467</v>
      </c>
      <c r="J71" s="488">
        <v>39269</v>
      </c>
      <c r="K71" s="488">
        <v>5114</v>
      </c>
      <c r="L71" s="488">
        <v>13798</v>
      </c>
      <c r="M71" s="488">
        <v>3488</v>
      </c>
      <c r="N71" s="495">
        <v>2864297</v>
      </c>
      <c r="O71" s="497">
        <f t="shared" si="2"/>
        <v>2292242</v>
      </c>
      <c r="P71" s="488">
        <f t="shared" si="3"/>
        <v>572055</v>
      </c>
    </row>
    <row r="72" spans="1:16" x14ac:dyDescent="0.35">
      <c r="B72" t="s">
        <v>171</v>
      </c>
      <c r="C72" s="488">
        <v>3592240</v>
      </c>
      <c r="D72" s="488">
        <v>37084</v>
      </c>
      <c r="E72" s="488">
        <v>13165</v>
      </c>
      <c r="F72" s="488">
        <v>3678</v>
      </c>
      <c r="G72" s="488">
        <v>43263</v>
      </c>
      <c r="H72" s="488">
        <v>516899</v>
      </c>
      <c r="I72" s="488">
        <v>122255</v>
      </c>
      <c r="J72" s="488">
        <v>22297</v>
      </c>
      <c r="K72" s="488">
        <v>3480</v>
      </c>
      <c r="L72" s="488">
        <v>17060</v>
      </c>
      <c r="M72" s="488">
        <v>3660</v>
      </c>
      <c r="N72" s="495">
        <v>4375081</v>
      </c>
      <c r="O72" s="497">
        <f t="shared" si="2"/>
        <v>3689430</v>
      </c>
      <c r="P72" s="488">
        <f t="shared" si="3"/>
        <v>685651</v>
      </c>
    </row>
    <row r="73" spans="1:16" x14ac:dyDescent="0.35">
      <c r="B73" t="s">
        <v>172</v>
      </c>
      <c r="C73" s="488">
        <v>3881350</v>
      </c>
      <c r="D73" s="488">
        <v>42546</v>
      </c>
      <c r="E73" s="488">
        <v>27712</v>
      </c>
      <c r="F73" s="488">
        <v>2534</v>
      </c>
      <c r="G73" s="488">
        <v>61051</v>
      </c>
      <c r="H73" s="488">
        <v>691715</v>
      </c>
      <c r="I73" s="488">
        <v>150430</v>
      </c>
      <c r="J73" s="488">
        <v>17456</v>
      </c>
      <c r="K73" s="488">
        <v>2549</v>
      </c>
      <c r="L73" s="488">
        <v>8033</v>
      </c>
      <c r="M73" s="488">
        <v>6201</v>
      </c>
      <c r="N73" s="495">
        <v>4891577</v>
      </c>
      <c r="O73" s="497">
        <f t="shared" si="2"/>
        <v>4015193</v>
      </c>
      <c r="P73" s="488">
        <f t="shared" si="3"/>
        <v>876384</v>
      </c>
    </row>
    <row r="74" spans="1:16" x14ac:dyDescent="0.35">
      <c r="B74" t="s">
        <v>173</v>
      </c>
      <c r="C74" s="488">
        <v>3404528</v>
      </c>
      <c r="D74" s="488">
        <v>36707</v>
      </c>
      <c r="E74" s="488">
        <v>48817</v>
      </c>
      <c r="F74" s="488">
        <v>4184</v>
      </c>
      <c r="G74" s="488">
        <v>89941</v>
      </c>
      <c r="H74" s="488">
        <v>628785</v>
      </c>
      <c r="I74" s="488">
        <v>147851</v>
      </c>
      <c r="J74" s="488">
        <v>25750</v>
      </c>
      <c r="K74" s="488">
        <v>5197</v>
      </c>
      <c r="L74" s="488">
        <v>8617</v>
      </c>
      <c r="M74" s="488">
        <v>1205</v>
      </c>
      <c r="N74" s="495">
        <v>4401582</v>
      </c>
      <c r="O74" s="497">
        <f t="shared" si="2"/>
        <v>3584177</v>
      </c>
      <c r="P74" s="488">
        <f t="shared" si="3"/>
        <v>817405</v>
      </c>
    </row>
    <row r="75" spans="1:16" x14ac:dyDescent="0.35">
      <c r="B75" t="s">
        <v>174</v>
      </c>
      <c r="C75" s="488">
        <v>3166533</v>
      </c>
      <c r="D75" s="488">
        <v>41275</v>
      </c>
      <c r="E75" s="488">
        <v>14603</v>
      </c>
      <c r="F75" s="488">
        <v>4141</v>
      </c>
      <c r="G75" s="488">
        <v>38529</v>
      </c>
      <c r="H75" s="488">
        <v>318377</v>
      </c>
      <c r="I75" s="488">
        <v>87484</v>
      </c>
      <c r="J75" s="488">
        <v>14199</v>
      </c>
      <c r="K75" s="488">
        <v>6363</v>
      </c>
      <c r="L75" s="488">
        <v>6495</v>
      </c>
      <c r="M75" s="488">
        <v>1248</v>
      </c>
      <c r="N75" s="495">
        <v>3699247</v>
      </c>
      <c r="O75" s="497">
        <f t="shared" si="2"/>
        <v>3265081</v>
      </c>
      <c r="P75" s="488">
        <f t="shared" si="3"/>
        <v>434166</v>
      </c>
    </row>
    <row r="76" spans="1:16" x14ac:dyDescent="0.35">
      <c r="B76" t="s">
        <v>175</v>
      </c>
      <c r="C76" s="488">
        <v>2597860</v>
      </c>
      <c r="D76" s="488">
        <v>41411</v>
      </c>
      <c r="E76" s="488">
        <v>28875</v>
      </c>
      <c r="F76" s="488">
        <v>5451</v>
      </c>
      <c r="G76" s="488">
        <v>161497</v>
      </c>
      <c r="H76" s="488">
        <v>363067</v>
      </c>
      <c r="I76" s="488">
        <v>95870</v>
      </c>
      <c r="J76" s="488">
        <v>14517</v>
      </c>
      <c r="K76" s="488">
        <v>6109</v>
      </c>
      <c r="L76" s="488">
        <v>5021</v>
      </c>
      <c r="M76" s="488">
        <v>2326</v>
      </c>
      <c r="N76" s="495">
        <v>3322004</v>
      </c>
      <c r="O76" s="497">
        <f t="shared" si="2"/>
        <v>2835094</v>
      </c>
      <c r="P76" s="488">
        <f t="shared" si="3"/>
        <v>486910</v>
      </c>
    </row>
    <row r="77" spans="1:16" x14ac:dyDescent="0.35">
      <c r="B77" t="s">
        <v>176</v>
      </c>
      <c r="C77" s="488">
        <v>1964012</v>
      </c>
      <c r="D77" s="488">
        <v>40374</v>
      </c>
      <c r="E77" s="488">
        <v>270</v>
      </c>
      <c r="F77" s="488">
        <v>-18</v>
      </c>
      <c r="G77" s="488">
        <v>105814</v>
      </c>
      <c r="H77" s="488">
        <v>233528</v>
      </c>
      <c r="I77" s="488">
        <v>72542</v>
      </c>
      <c r="J77" s="488">
        <v>18682</v>
      </c>
      <c r="K77" s="488">
        <v>9069</v>
      </c>
      <c r="L77" s="488">
        <v>7197</v>
      </c>
      <c r="M77" s="488">
        <v>0</v>
      </c>
      <c r="N77" s="495">
        <v>2451470</v>
      </c>
      <c r="O77" s="497">
        <f t="shared" si="2"/>
        <v>2110452</v>
      </c>
      <c r="P77" s="488">
        <f t="shared" si="3"/>
        <v>341018</v>
      </c>
    </row>
    <row r="78" spans="1:16" x14ac:dyDescent="0.35">
      <c r="B78" t="s">
        <v>177</v>
      </c>
      <c r="C78" s="488">
        <v>20069</v>
      </c>
      <c r="D78" s="488">
        <v>1278</v>
      </c>
      <c r="E78" s="488">
        <v>0</v>
      </c>
      <c r="F78" s="488">
        <v>0</v>
      </c>
      <c r="G78" s="488">
        <v>33609</v>
      </c>
      <c r="H78" s="488">
        <v>38750</v>
      </c>
      <c r="I78" s="488">
        <v>6662</v>
      </c>
      <c r="J78" s="488">
        <v>1861</v>
      </c>
      <c r="K78" s="488">
        <v>794</v>
      </c>
      <c r="L78" s="488">
        <v>1636</v>
      </c>
      <c r="M78" s="488">
        <v>861</v>
      </c>
      <c r="N78" s="495">
        <v>105520</v>
      </c>
      <c r="O78" s="497">
        <f t="shared" si="2"/>
        <v>54956</v>
      </c>
      <c r="P78" s="488">
        <f t="shared" si="3"/>
        <v>50564</v>
      </c>
    </row>
    <row r="79" spans="1:16" x14ac:dyDescent="0.35">
      <c r="B79" t="s">
        <v>178</v>
      </c>
      <c r="C79" s="488">
        <v>-4439</v>
      </c>
      <c r="D79" s="488">
        <v>0</v>
      </c>
      <c r="E79" s="488">
        <v>0</v>
      </c>
      <c r="F79" s="488">
        <v>0</v>
      </c>
      <c r="G79" s="488">
        <v>-9316</v>
      </c>
      <c r="H79" s="488">
        <v>0</v>
      </c>
      <c r="I79" s="488">
        <v>154243</v>
      </c>
      <c r="J79" s="488">
        <v>0</v>
      </c>
      <c r="K79" s="488">
        <v>21040</v>
      </c>
      <c r="L79" s="488">
        <v>0</v>
      </c>
      <c r="M79" s="488">
        <v>0</v>
      </c>
      <c r="N79" s="495">
        <v>161528</v>
      </c>
      <c r="O79" s="497">
        <f t="shared" si="2"/>
        <v>-13755</v>
      </c>
      <c r="P79" s="488">
        <f t="shared" si="3"/>
        <v>175283</v>
      </c>
    </row>
    <row r="80" spans="1:16" x14ac:dyDescent="0.35">
      <c r="B80" t="s">
        <v>179</v>
      </c>
      <c r="C80" s="488">
        <v>0</v>
      </c>
      <c r="D80" s="488">
        <v>0</v>
      </c>
      <c r="E80" s="488">
        <v>0</v>
      </c>
      <c r="F80" s="488">
        <v>0</v>
      </c>
      <c r="G80" s="488">
        <v>284</v>
      </c>
      <c r="H80" s="488">
        <v>0</v>
      </c>
      <c r="I80" s="488">
        <v>70218</v>
      </c>
      <c r="J80" s="488">
        <v>0</v>
      </c>
      <c r="K80" s="488">
        <v>7454</v>
      </c>
      <c r="L80" s="488">
        <v>0</v>
      </c>
      <c r="M80" s="488">
        <v>0</v>
      </c>
      <c r="N80" s="495">
        <v>77956</v>
      </c>
      <c r="O80" s="497">
        <f t="shared" si="2"/>
        <v>284</v>
      </c>
      <c r="P80" s="488">
        <f t="shared" si="3"/>
        <v>77672</v>
      </c>
    </row>
    <row r="81" spans="2:16" x14ac:dyDescent="0.35">
      <c r="B81" t="s">
        <v>180</v>
      </c>
      <c r="C81" s="488">
        <v>0</v>
      </c>
      <c r="D81" s="488">
        <v>0</v>
      </c>
      <c r="E81" s="488">
        <v>0</v>
      </c>
      <c r="F81" s="488">
        <v>0</v>
      </c>
      <c r="G81" s="488">
        <v>-2878</v>
      </c>
      <c r="H81" s="488">
        <v>821406</v>
      </c>
      <c r="I81" s="488">
        <v>136915</v>
      </c>
      <c r="J81" s="488">
        <v>83688</v>
      </c>
      <c r="K81" s="488">
        <v>11645</v>
      </c>
      <c r="L81" s="488">
        <v>11673</v>
      </c>
      <c r="M81" s="488">
        <v>8697</v>
      </c>
      <c r="N81" s="495">
        <v>1071146</v>
      </c>
      <c r="O81" s="497">
        <f t="shared" si="2"/>
        <v>-2878</v>
      </c>
      <c r="P81" s="488">
        <f t="shared" si="3"/>
        <v>1074024</v>
      </c>
    </row>
    <row r="82" spans="2:16" x14ac:dyDescent="0.35">
      <c r="B82" t="s">
        <v>181</v>
      </c>
      <c r="C82" s="488">
        <v>-239835</v>
      </c>
      <c r="D82" s="488">
        <v>0</v>
      </c>
      <c r="E82" s="488">
        <v>0</v>
      </c>
      <c r="F82" s="488">
        <v>0</v>
      </c>
      <c r="G82" s="488">
        <v>8753</v>
      </c>
      <c r="H82" s="488">
        <v>87233</v>
      </c>
      <c r="I82" s="488">
        <v>97345</v>
      </c>
      <c r="J82" s="488">
        <v>0</v>
      </c>
      <c r="K82" s="488">
        <v>10653</v>
      </c>
      <c r="L82" s="488">
        <v>0</v>
      </c>
      <c r="M82" s="488">
        <v>0</v>
      </c>
      <c r="N82" s="495">
        <v>-35851</v>
      </c>
      <c r="O82" s="497">
        <f t="shared" si="2"/>
        <v>-231082</v>
      </c>
      <c r="P82" s="488">
        <f t="shared" si="3"/>
        <v>195231</v>
      </c>
    </row>
    <row r="83" spans="2:16" x14ac:dyDescent="0.35">
      <c r="B83" t="s">
        <v>182</v>
      </c>
      <c r="C83" s="488">
        <v>4729379</v>
      </c>
      <c r="D83" s="488">
        <v>83907</v>
      </c>
      <c r="E83" s="488">
        <v>0</v>
      </c>
      <c r="F83" s="488">
        <v>4938</v>
      </c>
      <c r="G83" s="488">
        <v>-929</v>
      </c>
      <c r="H83" s="488">
        <v>148708</v>
      </c>
      <c r="I83" s="488">
        <v>89719</v>
      </c>
      <c r="J83" s="488">
        <v>5039</v>
      </c>
      <c r="K83" s="488">
        <v>9778</v>
      </c>
      <c r="L83" s="488">
        <v>1649</v>
      </c>
      <c r="M83" s="488">
        <v>0</v>
      </c>
      <c r="N83" s="495">
        <v>5072188</v>
      </c>
      <c r="O83" s="497">
        <f t="shared" si="2"/>
        <v>4817295</v>
      </c>
      <c r="P83" s="488">
        <f t="shared" si="3"/>
        <v>254893</v>
      </c>
    </row>
    <row r="84" spans="2:16" x14ac:dyDescent="0.35">
      <c r="B84" t="s">
        <v>183</v>
      </c>
      <c r="C84" s="488">
        <v>4211778</v>
      </c>
      <c r="D84" s="488">
        <v>61308</v>
      </c>
      <c r="E84" s="488">
        <v>0</v>
      </c>
      <c r="F84" s="488">
        <v>7997</v>
      </c>
      <c r="G84" s="488">
        <v>-3153</v>
      </c>
      <c r="H84" s="488">
        <v>7881</v>
      </c>
      <c r="I84" s="488">
        <v>89442</v>
      </c>
      <c r="J84" s="488">
        <v>12372</v>
      </c>
      <c r="K84" s="488">
        <v>5327</v>
      </c>
      <c r="L84" s="488">
        <v>7154</v>
      </c>
      <c r="M84" s="488">
        <v>0</v>
      </c>
      <c r="N84" s="495">
        <v>4400106</v>
      </c>
      <c r="O84" s="497">
        <f t="shared" si="2"/>
        <v>4277930</v>
      </c>
      <c r="P84" s="488">
        <f t="shared" si="3"/>
        <v>122176</v>
      </c>
    </row>
    <row r="85" spans="2:16" x14ac:dyDescent="0.35">
      <c r="B85" t="s">
        <v>184</v>
      </c>
      <c r="C85" s="488">
        <v>3287464</v>
      </c>
      <c r="D85" s="488">
        <v>42596</v>
      </c>
      <c r="E85" s="488">
        <v>0</v>
      </c>
      <c r="F85" s="488">
        <v>7508</v>
      </c>
      <c r="G85" s="488">
        <v>-7157</v>
      </c>
      <c r="H85" s="488">
        <v>91612</v>
      </c>
      <c r="I85" s="488">
        <v>75633</v>
      </c>
      <c r="J85" s="488">
        <v>32156</v>
      </c>
      <c r="K85" s="488">
        <v>2714</v>
      </c>
      <c r="L85" s="488">
        <v>8746</v>
      </c>
      <c r="M85" s="488">
        <v>0</v>
      </c>
      <c r="N85" s="495">
        <v>3541272</v>
      </c>
      <c r="O85" s="497">
        <f t="shared" si="2"/>
        <v>3330411</v>
      </c>
      <c r="P85" s="488">
        <f t="shared" si="3"/>
        <v>210861</v>
      </c>
    </row>
    <row r="86" spans="2:16" x14ac:dyDescent="0.35">
      <c r="B86" t="s">
        <v>185</v>
      </c>
      <c r="C86" s="488">
        <v>4166837</v>
      </c>
      <c r="D86" s="488">
        <v>43873</v>
      </c>
      <c r="E86" s="488">
        <v>0</v>
      </c>
      <c r="F86" s="488">
        <v>13564</v>
      </c>
      <c r="G86" s="488">
        <v>4700</v>
      </c>
      <c r="H86" s="488">
        <v>382320</v>
      </c>
      <c r="I86" s="488">
        <v>67710</v>
      </c>
      <c r="J86" s="488">
        <v>22398</v>
      </c>
      <c r="K86" s="488">
        <v>5837</v>
      </c>
      <c r="L86" s="488">
        <v>4939</v>
      </c>
      <c r="M86" s="488">
        <v>0</v>
      </c>
      <c r="N86" s="495">
        <v>4712178</v>
      </c>
      <c r="O86" s="497">
        <f t="shared" si="2"/>
        <v>4228974</v>
      </c>
      <c r="P86" s="488">
        <f t="shared" si="3"/>
        <v>483204</v>
      </c>
    </row>
    <row r="87" spans="2:16" x14ac:dyDescent="0.35">
      <c r="B87" t="s">
        <v>186</v>
      </c>
      <c r="C87" s="488">
        <v>4405412</v>
      </c>
      <c r="D87" s="488">
        <v>48043</v>
      </c>
      <c r="E87" s="488">
        <v>-5352</v>
      </c>
      <c r="F87" s="488">
        <v>29247</v>
      </c>
      <c r="G87" s="488">
        <v>3125</v>
      </c>
      <c r="H87" s="488">
        <v>384714</v>
      </c>
      <c r="I87" s="488">
        <v>72953</v>
      </c>
      <c r="J87" s="488">
        <v>26680</v>
      </c>
      <c r="K87" s="488">
        <v>6091</v>
      </c>
      <c r="L87" s="488">
        <v>5410</v>
      </c>
      <c r="M87" s="488">
        <v>861</v>
      </c>
      <c r="N87" s="495">
        <v>4977184</v>
      </c>
      <c r="O87" s="497">
        <f t="shared" si="2"/>
        <v>4480475</v>
      </c>
      <c r="P87" s="488">
        <f t="shared" si="3"/>
        <v>496709</v>
      </c>
    </row>
    <row r="88" spans="2:16" x14ac:dyDescent="0.35">
      <c r="B88" t="s">
        <v>187</v>
      </c>
      <c r="C88" s="488">
        <v>2355041</v>
      </c>
      <c r="D88" s="488">
        <v>44422</v>
      </c>
      <c r="E88" s="488">
        <v>-4595</v>
      </c>
      <c r="F88" s="488">
        <v>8901</v>
      </c>
      <c r="G88" s="488">
        <v>87466</v>
      </c>
      <c r="H88" s="488">
        <v>-140136</v>
      </c>
      <c r="I88" s="488">
        <v>59192</v>
      </c>
      <c r="J88" s="488">
        <v>24678</v>
      </c>
      <c r="K88" s="488">
        <v>2622</v>
      </c>
      <c r="L88" s="488">
        <v>4318</v>
      </c>
      <c r="M88" s="488">
        <v>-44</v>
      </c>
      <c r="N88" s="495">
        <v>2441865</v>
      </c>
      <c r="O88" s="497">
        <f t="shared" si="2"/>
        <v>2491235</v>
      </c>
      <c r="P88" s="488">
        <f t="shared" si="3"/>
        <v>-49370</v>
      </c>
    </row>
    <row r="89" spans="2:16" x14ac:dyDescent="0.35">
      <c r="B89" t="s">
        <v>188</v>
      </c>
      <c r="C89" s="488">
        <v>3083278</v>
      </c>
      <c r="D89" s="488">
        <v>42541</v>
      </c>
      <c r="E89" s="488">
        <v>32416</v>
      </c>
      <c r="F89" s="488">
        <v>5616</v>
      </c>
      <c r="G89" s="488">
        <v>120117</v>
      </c>
      <c r="H89" s="488">
        <v>231502</v>
      </c>
      <c r="I89" s="488">
        <v>72242</v>
      </c>
      <c r="J89" s="488">
        <v>8011</v>
      </c>
      <c r="K89" s="488">
        <v>4728</v>
      </c>
      <c r="L89" s="488">
        <v>2732</v>
      </c>
      <c r="M89" s="488">
        <v>2454</v>
      </c>
      <c r="N89" s="495">
        <v>3605637</v>
      </c>
      <c r="O89" s="497">
        <f t="shared" si="2"/>
        <v>3283968</v>
      </c>
      <c r="P89" s="488">
        <f t="shared" si="3"/>
        <v>321669</v>
      </c>
    </row>
    <row r="90" spans="2:16" x14ac:dyDescent="0.35">
      <c r="B90" t="s">
        <v>189</v>
      </c>
      <c r="C90" s="488">
        <v>2278603</v>
      </c>
      <c r="D90" s="488">
        <v>42639</v>
      </c>
      <c r="E90" s="488">
        <v>39758</v>
      </c>
      <c r="F90" s="488">
        <v>9405</v>
      </c>
      <c r="G90" s="488">
        <v>125561</v>
      </c>
      <c r="H90" s="488">
        <v>-79945</v>
      </c>
      <c r="I90" s="488">
        <v>65983</v>
      </c>
      <c r="J90" s="488">
        <v>21720</v>
      </c>
      <c r="K90" s="488">
        <v>1719</v>
      </c>
      <c r="L90" s="488">
        <v>4659</v>
      </c>
      <c r="M90" s="488">
        <v>689</v>
      </c>
      <c r="N90" s="495">
        <v>2510791</v>
      </c>
      <c r="O90" s="497">
        <f t="shared" si="2"/>
        <v>2495966</v>
      </c>
      <c r="P90" s="488">
        <f t="shared" si="3"/>
        <v>14825</v>
      </c>
    </row>
    <row r="91" spans="2:16" x14ac:dyDescent="0.35">
      <c r="B91" t="s">
        <v>190</v>
      </c>
      <c r="C91" s="488">
        <v>2296703</v>
      </c>
      <c r="D91" s="488">
        <v>40406</v>
      </c>
      <c r="E91" s="488">
        <v>-1119</v>
      </c>
      <c r="F91" s="488">
        <v>2696</v>
      </c>
      <c r="G91" s="488">
        <v>111534</v>
      </c>
      <c r="H91" s="488">
        <v>213421</v>
      </c>
      <c r="I91" s="488">
        <v>59424</v>
      </c>
      <c r="J91" s="488">
        <v>16459</v>
      </c>
      <c r="K91" s="488">
        <v>2879</v>
      </c>
      <c r="L91" s="488">
        <v>4612</v>
      </c>
      <c r="M91" s="488">
        <v>689</v>
      </c>
      <c r="N91" s="495">
        <v>2747704</v>
      </c>
      <c r="O91" s="497">
        <f t="shared" si="2"/>
        <v>2450220</v>
      </c>
      <c r="P91" s="488">
        <f t="shared" si="3"/>
        <v>297484</v>
      </c>
    </row>
    <row r="92" spans="2:16" x14ac:dyDescent="0.35">
      <c r="B92" t="s">
        <v>191</v>
      </c>
      <c r="C92" s="488">
        <v>3026716</v>
      </c>
      <c r="D92" s="488">
        <v>41577</v>
      </c>
      <c r="E92" s="488">
        <v>-2437</v>
      </c>
      <c r="F92" s="488">
        <v>-2118</v>
      </c>
      <c r="G92" s="488">
        <v>77488</v>
      </c>
      <c r="H92" s="488">
        <v>286083</v>
      </c>
      <c r="I92" s="488">
        <v>100894</v>
      </c>
      <c r="J92" s="488">
        <v>1340</v>
      </c>
      <c r="K92" s="488">
        <v>3747</v>
      </c>
      <c r="L92" s="488">
        <v>7694</v>
      </c>
      <c r="M92" s="488">
        <v>0</v>
      </c>
      <c r="N92" s="495">
        <v>3540984</v>
      </c>
      <c r="O92" s="497">
        <f t="shared" si="2"/>
        <v>3141226</v>
      </c>
      <c r="P92" s="488">
        <f t="shared" si="3"/>
        <v>399758</v>
      </c>
    </row>
    <row r="93" spans="2:16" x14ac:dyDescent="0.35">
      <c r="B93" t="s">
        <v>192</v>
      </c>
      <c r="C93" s="488">
        <v>4417927</v>
      </c>
      <c r="D93" s="488">
        <v>45240</v>
      </c>
      <c r="E93" s="488">
        <v>73371</v>
      </c>
      <c r="F93" s="488">
        <v>3507</v>
      </c>
      <c r="G93" s="488">
        <v>87576</v>
      </c>
      <c r="H93" s="488">
        <v>340627</v>
      </c>
      <c r="I93" s="488">
        <v>129532</v>
      </c>
      <c r="J93" s="488">
        <v>9756</v>
      </c>
      <c r="K93" s="488">
        <v>10295</v>
      </c>
      <c r="L93" s="488">
        <v>6328</v>
      </c>
      <c r="M93" s="488">
        <v>3358</v>
      </c>
      <c r="N93" s="495">
        <v>5127517</v>
      </c>
      <c r="O93" s="497">
        <f t="shared" si="2"/>
        <v>4627621</v>
      </c>
      <c r="P93" s="488">
        <f t="shared" si="3"/>
        <v>499896</v>
      </c>
    </row>
    <row r="94" spans="2:16" x14ac:dyDescent="0.35">
      <c r="B94" t="s">
        <v>193</v>
      </c>
      <c r="C94" s="488">
        <v>3634734</v>
      </c>
      <c r="D94" s="488">
        <v>42976</v>
      </c>
      <c r="E94" s="488">
        <v>19778</v>
      </c>
      <c r="F94" s="488">
        <v>1549</v>
      </c>
      <c r="G94" s="488">
        <v>119572</v>
      </c>
      <c r="H94" s="488">
        <v>359776</v>
      </c>
      <c r="I94" s="488">
        <v>124232</v>
      </c>
      <c r="J94" s="488">
        <v>3776</v>
      </c>
      <c r="K94" s="488">
        <v>12332</v>
      </c>
      <c r="L94" s="488">
        <v>4861</v>
      </c>
      <c r="M94" s="488">
        <v>1636</v>
      </c>
      <c r="N94" s="495">
        <v>4325222</v>
      </c>
      <c r="O94" s="497">
        <f t="shared" si="2"/>
        <v>3818609</v>
      </c>
      <c r="P94" s="488">
        <f t="shared" si="3"/>
        <v>506613</v>
      </c>
    </row>
    <row r="95" spans="2:16" x14ac:dyDescent="0.35">
      <c r="B95" t="s">
        <v>194</v>
      </c>
      <c r="C95" s="488">
        <v>3823589</v>
      </c>
      <c r="D95" s="488">
        <v>45162</v>
      </c>
      <c r="E95" s="488">
        <v>9832</v>
      </c>
      <c r="F95" s="488">
        <v>6476</v>
      </c>
      <c r="G95" s="488">
        <v>73400</v>
      </c>
      <c r="H95" s="488">
        <v>422769</v>
      </c>
      <c r="I95" s="488">
        <v>119136</v>
      </c>
      <c r="J95" s="488">
        <v>13325</v>
      </c>
      <c r="K95" s="488">
        <v>8955</v>
      </c>
      <c r="L95" s="488">
        <v>9537</v>
      </c>
      <c r="M95" s="488">
        <v>689</v>
      </c>
      <c r="N95" s="495">
        <v>4532870</v>
      </c>
      <c r="O95" s="497">
        <f t="shared" si="2"/>
        <v>3958459</v>
      </c>
      <c r="P95" s="488">
        <f t="shared" si="3"/>
        <v>574411</v>
      </c>
    </row>
    <row r="96" spans="2:16" x14ac:dyDescent="0.35">
      <c r="B96" t="s">
        <v>195</v>
      </c>
      <c r="C96" s="488">
        <v>3050571</v>
      </c>
      <c r="D96" s="488">
        <v>48847</v>
      </c>
      <c r="E96" s="488">
        <v>5466</v>
      </c>
      <c r="F96" s="488">
        <v>0</v>
      </c>
      <c r="G96" s="488">
        <v>119208</v>
      </c>
      <c r="H96" s="488">
        <v>525363</v>
      </c>
      <c r="I96" s="488">
        <v>148304</v>
      </c>
      <c r="J96" s="488">
        <v>15409</v>
      </c>
      <c r="K96" s="488">
        <v>8317</v>
      </c>
      <c r="L96" s="488">
        <v>9625</v>
      </c>
      <c r="M96" s="488">
        <v>3832</v>
      </c>
      <c r="N96" s="495">
        <v>3934942</v>
      </c>
      <c r="O96" s="497">
        <f t="shared" si="2"/>
        <v>3224092</v>
      </c>
      <c r="P96" s="488">
        <f t="shared" si="3"/>
        <v>710850</v>
      </c>
    </row>
    <row r="97" spans="1:16" x14ac:dyDescent="0.35">
      <c r="B97" t="s">
        <v>196</v>
      </c>
      <c r="C97" s="488">
        <v>2903566</v>
      </c>
      <c r="D97" s="488">
        <v>49697</v>
      </c>
      <c r="E97" s="488">
        <v>28578</v>
      </c>
      <c r="F97" s="488">
        <v>11071</v>
      </c>
      <c r="G97" s="488">
        <v>72428</v>
      </c>
      <c r="H97" s="488">
        <v>381868</v>
      </c>
      <c r="I97" s="488">
        <v>115054</v>
      </c>
      <c r="J97" s="488">
        <v>16287</v>
      </c>
      <c r="K97" s="488">
        <v>8524</v>
      </c>
      <c r="L97" s="488">
        <v>12321</v>
      </c>
      <c r="M97" s="488">
        <v>3617</v>
      </c>
      <c r="N97" s="495">
        <v>3603011</v>
      </c>
      <c r="O97" s="497">
        <f t="shared" si="2"/>
        <v>3065340</v>
      </c>
      <c r="P97" s="488">
        <f t="shared" si="3"/>
        <v>537671</v>
      </c>
    </row>
    <row r="98" spans="1:16" x14ac:dyDescent="0.35">
      <c r="A98" t="s">
        <v>197</v>
      </c>
      <c r="C98" s="488">
        <v>83933912</v>
      </c>
      <c r="D98" s="488">
        <v>1150907</v>
      </c>
      <c r="E98" s="488">
        <v>395104</v>
      </c>
      <c r="F98" s="488">
        <v>141802</v>
      </c>
      <c r="G98" s="488">
        <v>1878801</v>
      </c>
      <c r="H98" s="488">
        <v>9647154</v>
      </c>
      <c r="I98" s="488">
        <v>3148801</v>
      </c>
      <c r="J98" s="488">
        <v>638312</v>
      </c>
      <c r="K98" s="488">
        <v>236823</v>
      </c>
      <c r="L98" s="488">
        <v>257607</v>
      </c>
      <c r="M98" s="488">
        <v>57686</v>
      </c>
      <c r="N98" s="495">
        <v>101486909</v>
      </c>
      <c r="O98" s="498">
        <f t="shared" si="2"/>
        <v>87500526</v>
      </c>
      <c r="P98" s="492">
        <f t="shared" si="3"/>
        <v>13986383</v>
      </c>
    </row>
    <row r="99" spans="1:16" x14ac:dyDescent="0.35">
      <c r="A99" t="s">
        <v>65</v>
      </c>
      <c r="B99" t="s">
        <v>198</v>
      </c>
      <c r="C99" s="488">
        <v>2446126</v>
      </c>
      <c r="D99" s="488">
        <v>48403</v>
      </c>
      <c r="E99" s="488">
        <v>6004</v>
      </c>
      <c r="F99" s="488">
        <v>1786</v>
      </c>
      <c r="G99" s="488">
        <v>85521</v>
      </c>
      <c r="H99" s="488">
        <v>329279</v>
      </c>
      <c r="I99" s="488">
        <v>108433</v>
      </c>
      <c r="J99" s="488">
        <v>26082</v>
      </c>
      <c r="K99" s="488">
        <v>12102</v>
      </c>
      <c r="L99" s="488">
        <v>5795</v>
      </c>
      <c r="M99" s="488">
        <v>2041</v>
      </c>
      <c r="N99" s="495">
        <v>3071572</v>
      </c>
      <c r="O99" s="497">
        <f t="shared" si="2"/>
        <v>2587840</v>
      </c>
      <c r="P99" s="488">
        <f t="shared" si="3"/>
        <v>483732</v>
      </c>
    </row>
    <row r="100" spans="1:16" x14ac:dyDescent="0.35">
      <c r="B100" t="s">
        <v>199</v>
      </c>
      <c r="C100" s="488">
        <v>2980176</v>
      </c>
      <c r="D100" s="488">
        <v>54927</v>
      </c>
      <c r="E100" s="488">
        <v>0</v>
      </c>
      <c r="F100" s="488">
        <v>2470</v>
      </c>
      <c r="G100" s="488">
        <v>72324</v>
      </c>
      <c r="H100" s="488">
        <v>378023</v>
      </c>
      <c r="I100" s="488">
        <v>109603</v>
      </c>
      <c r="J100" s="488">
        <v>27620</v>
      </c>
      <c r="K100" s="488">
        <v>16588</v>
      </c>
      <c r="L100" s="488">
        <v>6225</v>
      </c>
      <c r="M100" s="488">
        <v>861</v>
      </c>
      <c r="N100" s="495">
        <v>3648817</v>
      </c>
      <c r="O100" s="497">
        <f t="shared" si="2"/>
        <v>3109897</v>
      </c>
      <c r="P100" s="488">
        <f t="shared" si="3"/>
        <v>538920</v>
      </c>
    </row>
    <row r="101" spans="1:16" x14ac:dyDescent="0.35">
      <c r="B101" t="s">
        <v>200</v>
      </c>
      <c r="C101" s="488">
        <v>4221939</v>
      </c>
      <c r="D101" s="488">
        <v>46928</v>
      </c>
      <c r="E101" s="488">
        <v>52670</v>
      </c>
      <c r="F101" s="488">
        <v>2247</v>
      </c>
      <c r="G101" s="488">
        <v>65922</v>
      </c>
      <c r="H101" s="488">
        <v>437544</v>
      </c>
      <c r="I101" s="488">
        <v>118991</v>
      </c>
      <c r="J101" s="488">
        <v>35120</v>
      </c>
      <c r="K101" s="488">
        <v>9760</v>
      </c>
      <c r="L101" s="488">
        <v>11524</v>
      </c>
      <c r="M101" s="488">
        <v>1378</v>
      </c>
      <c r="N101" s="495">
        <v>5004023</v>
      </c>
      <c r="O101" s="497">
        <f t="shared" si="2"/>
        <v>4389706</v>
      </c>
      <c r="P101" s="488">
        <f t="shared" si="3"/>
        <v>614317</v>
      </c>
    </row>
    <row r="102" spans="1:16" x14ac:dyDescent="0.35">
      <c r="B102" t="s">
        <v>201</v>
      </c>
      <c r="C102" s="488">
        <v>4338817</v>
      </c>
      <c r="D102" s="488">
        <v>52837</v>
      </c>
      <c r="E102" s="488">
        <v>38712</v>
      </c>
      <c r="F102" s="488">
        <v>7853</v>
      </c>
      <c r="G102" s="488">
        <v>80292</v>
      </c>
      <c r="H102" s="488">
        <v>401548</v>
      </c>
      <c r="I102" s="488">
        <v>100971</v>
      </c>
      <c r="J102" s="488">
        <v>28918</v>
      </c>
      <c r="K102" s="488">
        <v>15532</v>
      </c>
      <c r="L102" s="488">
        <v>6075</v>
      </c>
      <c r="M102" s="488">
        <v>1809</v>
      </c>
      <c r="N102" s="495">
        <v>5073364</v>
      </c>
      <c r="O102" s="497">
        <f t="shared" si="2"/>
        <v>4518511</v>
      </c>
      <c r="P102" s="488">
        <f t="shared" si="3"/>
        <v>554853</v>
      </c>
    </row>
    <row r="103" spans="1:16" x14ac:dyDescent="0.35">
      <c r="B103" t="s">
        <v>202</v>
      </c>
      <c r="C103" s="488">
        <v>3961812</v>
      </c>
      <c r="D103" s="488">
        <v>50879</v>
      </c>
      <c r="E103" s="488">
        <v>36417</v>
      </c>
      <c r="F103" s="488">
        <v>15109</v>
      </c>
      <c r="G103" s="488">
        <v>79655</v>
      </c>
      <c r="H103" s="488">
        <v>395590</v>
      </c>
      <c r="I103" s="488">
        <v>91725</v>
      </c>
      <c r="J103" s="488">
        <v>30739</v>
      </c>
      <c r="K103" s="488">
        <v>8694</v>
      </c>
      <c r="L103" s="488">
        <v>8108</v>
      </c>
      <c r="M103" s="488">
        <v>904</v>
      </c>
      <c r="N103" s="495">
        <v>4679632</v>
      </c>
      <c r="O103" s="497">
        <f t="shared" si="2"/>
        <v>4143872</v>
      </c>
      <c r="P103" s="488">
        <f t="shared" si="3"/>
        <v>535760</v>
      </c>
    </row>
    <row r="104" spans="1:16" x14ac:dyDescent="0.35">
      <c r="B104" t="s">
        <v>203</v>
      </c>
      <c r="C104" s="488">
        <v>3534572</v>
      </c>
      <c r="D104" s="488">
        <v>51525</v>
      </c>
      <c r="E104" s="488">
        <v>41165</v>
      </c>
      <c r="F104" s="488">
        <v>14122</v>
      </c>
      <c r="G104" s="488">
        <v>85303</v>
      </c>
      <c r="H104" s="488">
        <v>451607</v>
      </c>
      <c r="I104" s="488">
        <v>155591</v>
      </c>
      <c r="J104" s="488">
        <v>25766</v>
      </c>
      <c r="K104" s="488">
        <v>15513</v>
      </c>
      <c r="L104" s="488">
        <v>6476</v>
      </c>
      <c r="M104" s="488">
        <v>2153</v>
      </c>
      <c r="N104" s="495">
        <v>4383793</v>
      </c>
      <c r="O104" s="497">
        <f t="shared" si="2"/>
        <v>3726687</v>
      </c>
      <c r="P104" s="488">
        <f t="shared" si="3"/>
        <v>657106</v>
      </c>
    </row>
    <row r="105" spans="1:16" x14ac:dyDescent="0.35">
      <c r="B105" t="s">
        <v>204</v>
      </c>
      <c r="C105" s="488">
        <v>3007032</v>
      </c>
      <c r="D105" s="488">
        <v>49458</v>
      </c>
      <c r="E105" s="488">
        <v>15410</v>
      </c>
      <c r="F105" s="488">
        <v>753</v>
      </c>
      <c r="G105" s="488">
        <v>96092</v>
      </c>
      <c r="H105" s="488">
        <v>376897</v>
      </c>
      <c r="I105" s="488">
        <v>182901</v>
      </c>
      <c r="J105" s="488">
        <v>15451</v>
      </c>
      <c r="K105" s="488">
        <v>10998</v>
      </c>
      <c r="L105" s="488">
        <v>6179</v>
      </c>
      <c r="M105" s="488">
        <v>4565</v>
      </c>
      <c r="N105" s="495">
        <v>3765736</v>
      </c>
      <c r="O105" s="497">
        <f t="shared" si="2"/>
        <v>3168745</v>
      </c>
      <c r="P105" s="488">
        <f t="shared" si="3"/>
        <v>596991</v>
      </c>
    </row>
    <row r="106" spans="1:16" x14ac:dyDescent="0.35">
      <c r="B106" t="s">
        <v>205</v>
      </c>
      <c r="C106" s="488">
        <v>3117315</v>
      </c>
      <c r="D106" s="488">
        <v>49755</v>
      </c>
      <c r="E106" s="488">
        <v>-2143</v>
      </c>
      <c r="F106" s="488">
        <v>16358</v>
      </c>
      <c r="G106" s="488">
        <v>107597</v>
      </c>
      <c r="H106" s="488">
        <v>405849</v>
      </c>
      <c r="I106" s="488">
        <v>220499</v>
      </c>
      <c r="J106" s="488">
        <v>32535</v>
      </c>
      <c r="K106" s="488">
        <v>11591</v>
      </c>
      <c r="L106" s="488">
        <v>10109</v>
      </c>
      <c r="M106" s="488">
        <v>2067</v>
      </c>
      <c r="N106" s="495">
        <v>3971532</v>
      </c>
      <c r="O106" s="497">
        <f t="shared" si="2"/>
        <v>3288882</v>
      </c>
      <c r="P106" s="488">
        <f t="shared" si="3"/>
        <v>682650</v>
      </c>
    </row>
    <row r="107" spans="1:16" x14ac:dyDescent="0.35">
      <c r="B107" t="s">
        <v>206</v>
      </c>
      <c r="C107" s="488">
        <v>3596880</v>
      </c>
      <c r="D107" s="488">
        <v>57414</v>
      </c>
      <c r="E107" s="488">
        <v>14662</v>
      </c>
      <c r="F107" s="488">
        <v>6852</v>
      </c>
      <c r="G107" s="488">
        <v>58728</v>
      </c>
      <c r="H107" s="488">
        <v>433070</v>
      </c>
      <c r="I107" s="488">
        <v>212540</v>
      </c>
      <c r="J107" s="488">
        <v>26298</v>
      </c>
      <c r="K107" s="488">
        <v>11364</v>
      </c>
      <c r="L107" s="488">
        <v>5631</v>
      </c>
      <c r="M107" s="488">
        <v>2540</v>
      </c>
      <c r="N107" s="495">
        <v>4425979</v>
      </c>
      <c r="O107" s="497">
        <f t="shared" si="2"/>
        <v>3734536</v>
      </c>
      <c r="P107" s="488">
        <f t="shared" si="3"/>
        <v>691443</v>
      </c>
    </row>
    <row r="108" spans="1:16" x14ac:dyDescent="0.35">
      <c r="B108" t="s">
        <v>207</v>
      </c>
      <c r="C108" s="488">
        <v>4582140</v>
      </c>
      <c r="D108" s="488">
        <v>47910</v>
      </c>
      <c r="E108" s="488">
        <v>22732</v>
      </c>
      <c r="F108" s="488">
        <v>9417</v>
      </c>
      <c r="G108" s="488">
        <v>120697</v>
      </c>
      <c r="H108" s="488">
        <v>489155</v>
      </c>
      <c r="I108" s="488">
        <v>205946</v>
      </c>
      <c r="J108" s="488">
        <v>44324</v>
      </c>
      <c r="K108" s="488">
        <v>9798</v>
      </c>
      <c r="L108" s="488">
        <v>7778</v>
      </c>
      <c r="M108" s="488">
        <v>1464</v>
      </c>
      <c r="N108" s="495">
        <v>5541361</v>
      </c>
      <c r="O108" s="497">
        <f t="shared" si="2"/>
        <v>4782896</v>
      </c>
      <c r="P108" s="488">
        <f t="shared" si="3"/>
        <v>758465</v>
      </c>
    </row>
    <row r="109" spans="1:16" x14ac:dyDescent="0.35">
      <c r="B109" t="s">
        <v>208</v>
      </c>
      <c r="C109" s="488">
        <v>4741330</v>
      </c>
      <c r="D109" s="488">
        <v>54809</v>
      </c>
      <c r="E109" s="488">
        <v>44133</v>
      </c>
      <c r="F109" s="488">
        <v>4828</v>
      </c>
      <c r="G109" s="488">
        <v>136695</v>
      </c>
      <c r="H109" s="488">
        <v>425261</v>
      </c>
      <c r="I109" s="488">
        <v>184068</v>
      </c>
      <c r="J109" s="488">
        <v>28255</v>
      </c>
      <c r="K109" s="488">
        <v>12530</v>
      </c>
      <c r="L109" s="488">
        <v>14828</v>
      </c>
      <c r="M109" s="488">
        <v>6805</v>
      </c>
      <c r="N109" s="495">
        <v>5653542</v>
      </c>
      <c r="O109" s="497">
        <f t="shared" si="2"/>
        <v>4981795</v>
      </c>
      <c r="P109" s="488">
        <f t="shared" si="3"/>
        <v>671747</v>
      </c>
    </row>
    <row r="110" spans="1:16" x14ac:dyDescent="0.35">
      <c r="B110" t="s">
        <v>209</v>
      </c>
      <c r="C110" s="488">
        <v>4494722</v>
      </c>
      <c r="D110" s="488">
        <v>58059</v>
      </c>
      <c r="E110" s="488">
        <v>50719</v>
      </c>
      <c r="F110" s="488">
        <v>6868</v>
      </c>
      <c r="G110" s="488">
        <v>135678</v>
      </c>
      <c r="H110" s="488">
        <v>452304</v>
      </c>
      <c r="I110" s="488">
        <v>214357</v>
      </c>
      <c r="J110" s="488">
        <v>33975</v>
      </c>
      <c r="K110" s="488">
        <v>9612</v>
      </c>
      <c r="L110" s="488">
        <v>10923</v>
      </c>
      <c r="M110" s="488">
        <v>3591</v>
      </c>
      <c r="N110" s="495">
        <v>5470808</v>
      </c>
      <c r="O110" s="497">
        <f t="shared" si="2"/>
        <v>4746046</v>
      </c>
      <c r="P110" s="488">
        <f t="shared" si="3"/>
        <v>724762</v>
      </c>
    </row>
    <row r="111" spans="1:16" x14ac:dyDescent="0.35">
      <c r="B111" t="s">
        <v>210</v>
      </c>
      <c r="C111" s="488">
        <v>3681443</v>
      </c>
      <c r="D111" s="488">
        <v>51171</v>
      </c>
      <c r="E111" s="488">
        <v>38856</v>
      </c>
      <c r="F111" s="488">
        <v>15603</v>
      </c>
      <c r="G111" s="488">
        <v>100446</v>
      </c>
      <c r="H111" s="488">
        <v>469013</v>
      </c>
      <c r="I111" s="488">
        <v>191108</v>
      </c>
      <c r="J111" s="488">
        <v>37897</v>
      </c>
      <c r="K111" s="488">
        <v>13748</v>
      </c>
      <c r="L111" s="488">
        <v>6868</v>
      </c>
      <c r="M111" s="488">
        <v>2756</v>
      </c>
      <c r="N111" s="495">
        <v>4608909</v>
      </c>
      <c r="O111" s="497">
        <f t="shared" si="2"/>
        <v>3887519</v>
      </c>
      <c r="P111" s="488">
        <f t="shared" si="3"/>
        <v>721390</v>
      </c>
    </row>
    <row r="112" spans="1:16" x14ac:dyDescent="0.35">
      <c r="B112" t="s">
        <v>211</v>
      </c>
      <c r="C112" s="488">
        <v>3263047</v>
      </c>
      <c r="D112" s="488">
        <v>53656</v>
      </c>
      <c r="E112" s="488">
        <v>30164</v>
      </c>
      <c r="F112" s="488">
        <v>15984</v>
      </c>
      <c r="G112" s="488">
        <v>120703</v>
      </c>
      <c r="H112" s="488">
        <v>516985</v>
      </c>
      <c r="I112" s="488">
        <v>216650</v>
      </c>
      <c r="J112" s="488">
        <v>33945</v>
      </c>
      <c r="K112" s="488">
        <v>10550</v>
      </c>
      <c r="L112" s="488">
        <v>10464</v>
      </c>
      <c r="M112" s="488">
        <v>1903</v>
      </c>
      <c r="N112" s="495">
        <v>4274051</v>
      </c>
      <c r="O112" s="497">
        <f t="shared" si="2"/>
        <v>3483554</v>
      </c>
      <c r="P112" s="488">
        <f t="shared" si="3"/>
        <v>790497</v>
      </c>
    </row>
    <row r="113" spans="2:16" x14ac:dyDescent="0.35">
      <c r="B113" t="s">
        <v>212</v>
      </c>
      <c r="C113" s="488">
        <v>3131893</v>
      </c>
      <c r="D113" s="488">
        <v>62359</v>
      </c>
      <c r="E113" s="488">
        <v>-4461</v>
      </c>
      <c r="F113" s="488">
        <v>3375</v>
      </c>
      <c r="G113" s="488">
        <v>200572</v>
      </c>
      <c r="H113" s="488">
        <v>493567</v>
      </c>
      <c r="I113" s="488">
        <v>253687</v>
      </c>
      <c r="J113" s="488">
        <v>29680</v>
      </c>
      <c r="K113" s="488">
        <v>7085</v>
      </c>
      <c r="L113" s="488">
        <v>10393</v>
      </c>
      <c r="M113" s="488">
        <v>6245</v>
      </c>
      <c r="N113" s="495">
        <v>4194395</v>
      </c>
      <c r="O113" s="497">
        <f t="shared" si="2"/>
        <v>3393738</v>
      </c>
      <c r="P113" s="488">
        <f t="shared" si="3"/>
        <v>800657</v>
      </c>
    </row>
    <row r="114" spans="2:16" x14ac:dyDescent="0.35">
      <c r="B114" t="s">
        <v>213</v>
      </c>
      <c r="C114" s="488">
        <v>3769446</v>
      </c>
      <c r="D114" s="488">
        <v>60816</v>
      </c>
      <c r="E114" s="488">
        <v>12907</v>
      </c>
      <c r="F114" s="488">
        <v>1416</v>
      </c>
      <c r="G114" s="488">
        <v>121507</v>
      </c>
      <c r="H114" s="488">
        <v>480467</v>
      </c>
      <c r="I114" s="488">
        <v>261280</v>
      </c>
      <c r="J114" s="488">
        <v>34538</v>
      </c>
      <c r="K114" s="488">
        <v>2595</v>
      </c>
      <c r="L114" s="488">
        <v>6215</v>
      </c>
      <c r="M114" s="488">
        <v>2842</v>
      </c>
      <c r="N114" s="495">
        <v>4754029</v>
      </c>
      <c r="O114" s="497">
        <f t="shared" si="2"/>
        <v>3966092</v>
      </c>
      <c r="P114" s="488">
        <f t="shared" si="3"/>
        <v>787937</v>
      </c>
    </row>
    <row r="115" spans="2:16" x14ac:dyDescent="0.35">
      <c r="B115" t="s">
        <v>214</v>
      </c>
      <c r="C115" s="488">
        <v>5336867</v>
      </c>
      <c r="D115" s="488">
        <v>56728</v>
      </c>
      <c r="E115" s="488">
        <v>55656</v>
      </c>
      <c r="F115" s="488">
        <v>16254</v>
      </c>
      <c r="G115" s="488">
        <v>166309</v>
      </c>
      <c r="H115" s="488">
        <v>260464</v>
      </c>
      <c r="I115" s="488">
        <v>286210</v>
      </c>
      <c r="J115" s="488">
        <v>20932</v>
      </c>
      <c r="K115" s="488">
        <v>2353</v>
      </c>
      <c r="L115" s="488">
        <v>7205</v>
      </c>
      <c r="M115" s="488">
        <v>3101</v>
      </c>
      <c r="N115" s="495">
        <v>6212079</v>
      </c>
      <c r="O115" s="497">
        <f t="shared" si="2"/>
        <v>5631814</v>
      </c>
      <c r="P115" s="488">
        <f t="shared" si="3"/>
        <v>580265</v>
      </c>
    </row>
    <row r="116" spans="2:16" x14ac:dyDescent="0.35">
      <c r="B116" t="s">
        <v>215</v>
      </c>
      <c r="C116" s="488">
        <v>5655220</v>
      </c>
      <c r="D116" s="488">
        <v>49156</v>
      </c>
      <c r="E116" s="488">
        <v>49650</v>
      </c>
      <c r="F116" s="488">
        <v>13529</v>
      </c>
      <c r="G116" s="488">
        <v>131515</v>
      </c>
      <c r="H116" s="488">
        <v>874101</v>
      </c>
      <c r="I116" s="488">
        <v>238455</v>
      </c>
      <c r="J116" s="488">
        <v>52443</v>
      </c>
      <c r="K116" s="488">
        <v>8603</v>
      </c>
      <c r="L116" s="488">
        <v>14092</v>
      </c>
      <c r="M116" s="488">
        <v>8931</v>
      </c>
      <c r="N116" s="495">
        <v>7095695</v>
      </c>
      <c r="O116" s="497">
        <f t="shared" si="2"/>
        <v>5899070</v>
      </c>
      <c r="P116" s="488">
        <f t="shared" si="3"/>
        <v>1196625</v>
      </c>
    </row>
    <row r="117" spans="2:16" x14ac:dyDescent="0.35">
      <c r="B117" t="s">
        <v>216</v>
      </c>
      <c r="C117" s="488">
        <v>5265416</v>
      </c>
      <c r="D117" s="488">
        <v>58356</v>
      </c>
      <c r="E117" s="488">
        <v>21927</v>
      </c>
      <c r="F117" s="488">
        <v>11760</v>
      </c>
      <c r="G117" s="488">
        <v>132555</v>
      </c>
      <c r="H117" s="488">
        <v>482072</v>
      </c>
      <c r="I117" s="488">
        <v>231761</v>
      </c>
      <c r="J117" s="488">
        <v>38192</v>
      </c>
      <c r="K117" s="488">
        <v>5870</v>
      </c>
      <c r="L117" s="488">
        <v>7522</v>
      </c>
      <c r="M117" s="488">
        <v>4435</v>
      </c>
      <c r="N117" s="495">
        <v>6259866</v>
      </c>
      <c r="O117" s="497">
        <f t="shared" si="2"/>
        <v>5490014</v>
      </c>
      <c r="P117" s="488">
        <f t="shared" si="3"/>
        <v>769852</v>
      </c>
    </row>
    <row r="118" spans="2:16" x14ac:dyDescent="0.35">
      <c r="B118" t="s">
        <v>217</v>
      </c>
      <c r="C118" s="488">
        <v>4304572</v>
      </c>
      <c r="D118" s="488">
        <v>50878</v>
      </c>
      <c r="E118" s="488">
        <v>64872</v>
      </c>
      <c r="F118" s="488">
        <v>7444</v>
      </c>
      <c r="G118" s="488">
        <v>156605</v>
      </c>
      <c r="H118" s="488">
        <v>453882</v>
      </c>
      <c r="I118" s="488">
        <v>217643</v>
      </c>
      <c r="J118" s="488">
        <v>42319</v>
      </c>
      <c r="K118" s="488">
        <v>5284</v>
      </c>
      <c r="L118" s="488">
        <v>8130</v>
      </c>
      <c r="M118" s="488">
        <v>603</v>
      </c>
      <c r="N118" s="495">
        <v>5312232</v>
      </c>
      <c r="O118" s="497">
        <f t="shared" si="2"/>
        <v>4584371</v>
      </c>
      <c r="P118" s="488">
        <f t="shared" si="3"/>
        <v>727861</v>
      </c>
    </row>
    <row r="119" spans="2:16" x14ac:dyDescent="0.35">
      <c r="B119" t="s">
        <v>218</v>
      </c>
      <c r="C119" s="488">
        <v>3937861</v>
      </c>
      <c r="D119" s="488">
        <v>53958</v>
      </c>
      <c r="E119" s="488">
        <v>9844</v>
      </c>
      <c r="F119" s="488">
        <v>10484</v>
      </c>
      <c r="G119" s="488">
        <v>110885</v>
      </c>
      <c r="H119" s="488">
        <v>398065</v>
      </c>
      <c r="I119" s="488">
        <v>190143</v>
      </c>
      <c r="J119" s="488">
        <v>25340</v>
      </c>
      <c r="K119" s="488">
        <v>10331</v>
      </c>
      <c r="L119" s="488">
        <v>13946</v>
      </c>
      <c r="M119" s="488">
        <v>2903</v>
      </c>
      <c r="N119" s="495">
        <v>4763760</v>
      </c>
      <c r="O119" s="497">
        <f t="shared" si="2"/>
        <v>4123032</v>
      </c>
      <c r="P119" s="488">
        <f t="shared" si="3"/>
        <v>640728</v>
      </c>
    </row>
    <row r="120" spans="2:16" x14ac:dyDescent="0.35">
      <c r="B120" t="s">
        <v>219</v>
      </c>
      <c r="C120" s="488">
        <v>3369224</v>
      </c>
      <c r="D120" s="488">
        <v>59039</v>
      </c>
      <c r="E120" s="488">
        <v>-1601</v>
      </c>
      <c r="F120" s="488">
        <v>4870</v>
      </c>
      <c r="G120" s="488">
        <v>139900</v>
      </c>
      <c r="H120" s="488">
        <v>387183</v>
      </c>
      <c r="I120" s="488">
        <v>152415</v>
      </c>
      <c r="J120" s="488">
        <v>32485</v>
      </c>
      <c r="K120" s="488">
        <v>5859</v>
      </c>
      <c r="L120" s="488">
        <v>10215</v>
      </c>
      <c r="M120" s="488">
        <v>2454</v>
      </c>
      <c r="N120" s="495">
        <v>4162043</v>
      </c>
      <c r="O120" s="497">
        <f t="shared" si="2"/>
        <v>3571432</v>
      </c>
      <c r="P120" s="488">
        <f t="shared" si="3"/>
        <v>590611</v>
      </c>
    </row>
    <row r="121" spans="2:16" x14ac:dyDescent="0.35">
      <c r="B121" t="s">
        <v>220</v>
      </c>
      <c r="C121" s="488">
        <v>3958103</v>
      </c>
      <c r="D121" s="488">
        <v>68578</v>
      </c>
      <c r="E121" s="488">
        <v>43857</v>
      </c>
      <c r="F121" s="488">
        <v>7918</v>
      </c>
      <c r="G121" s="488">
        <v>150805</v>
      </c>
      <c r="H121" s="488">
        <v>508203</v>
      </c>
      <c r="I121" s="488">
        <v>121705</v>
      </c>
      <c r="J121" s="488">
        <v>47502</v>
      </c>
      <c r="K121" s="488">
        <v>7251</v>
      </c>
      <c r="L121" s="488">
        <v>7580</v>
      </c>
      <c r="M121" s="488">
        <v>9302</v>
      </c>
      <c r="N121" s="495">
        <v>4930804</v>
      </c>
      <c r="O121" s="497">
        <f t="shared" si="2"/>
        <v>4229261</v>
      </c>
      <c r="P121" s="488">
        <f t="shared" si="3"/>
        <v>701543</v>
      </c>
    </row>
    <row r="122" spans="2:16" x14ac:dyDescent="0.35">
      <c r="B122" t="s">
        <v>221</v>
      </c>
      <c r="C122" s="488">
        <v>6131578</v>
      </c>
      <c r="D122" s="488">
        <v>58667</v>
      </c>
      <c r="E122" s="488">
        <v>32753</v>
      </c>
      <c r="F122" s="488">
        <v>15416</v>
      </c>
      <c r="G122" s="488">
        <v>133228</v>
      </c>
      <c r="H122" s="488">
        <v>636618</v>
      </c>
      <c r="I122" s="488">
        <v>135260</v>
      </c>
      <c r="J122" s="488">
        <v>52222</v>
      </c>
      <c r="K122" s="488">
        <v>6960</v>
      </c>
      <c r="L122" s="488">
        <v>13168</v>
      </c>
      <c r="M122" s="488">
        <v>4349</v>
      </c>
      <c r="N122" s="495">
        <v>7220219</v>
      </c>
      <c r="O122" s="497">
        <f t="shared" si="2"/>
        <v>6371642</v>
      </c>
      <c r="P122" s="488">
        <f t="shared" si="3"/>
        <v>848577</v>
      </c>
    </row>
    <row r="123" spans="2:16" x14ac:dyDescent="0.35">
      <c r="B123" t="s">
        <v>222</v>
      </c>
      <c r="C123" s="488">
        <v>6380671</v>
      </c>
      <c r="D123" s="488">
        <v>61333</v>
      </c>
      <c r="E123" s="488">
        <v>74046</v>
      </c>
      <c r="F123" s="488">
        <v>-197</v>
      </c>
      <c r="G123" s="488">
        <v>119701</v>
      </c>
      <c r="H123" s="488">
        <v>614316</v>
      </c>
      <c r="I123" s="488">
        <v>116509</v>
      </c>
      <c r="J123" s="488">
        <v>54496</v>
      </c>
      <c r="K123" s="488">
        <v>2681</v>
      </c>
      <c r="L123" s="488">
        <v>9207</v>
      </c>
      <c r="M123" s="488">
        <v>4952</v>
      </c>
      <c r="N123" s="495">
        <v>7437715</v>
      </c>
      <c r="O123" s="497">
        <f t="shared" si="2"/>
        <v>6635554</v>
      </c>
      <c r="P123" s="488">
        <f t="shared" si="3"/>
        <v>802161</v>
      </c>
    </row>
    <row r="124" spans="2:16" x14ac:dyDescent="0.35">
      <c r="B124" t="s">
        <v>223</v>
      </c>
      <c r="C124" s="488">
        <v>5466857</v>
      </c>
      <c r="D124" s="488">
        <v>70041</v>
      </c>
      <c r="E124" s="488">
        <v>52851</v>
      </c>
      <c r="F124" s="488">
        <v>8568</v>
      </c>
      <c r="G124" s="488">
        <v>157094</v>
      </c>
      <c r="H124" s="488">
        <v>775906</v>
      </c>
      <c r="I124" s="488">
        <v>249538</v>
      </c>
      <c r="J124" s="488">
        <v>51355</v>
      </c>
      <c r="K124" s="488">
        <v>5672</v>
      </c>
      <c r="L124" s="488">
        <v>9556</v>
      </c>
      <c r="M124" s="488">
        <v>5254</v>
      </c>
      <c r="N124" s="495">
        <v>6852692</v>
      </c>
      <c r="O124" s="497">
        <f t="shared" si="2"/>
        <v>5755411</v>
      </c>
      <c r="P124" s="488">
        <f t="shared" si="3"/>
        <v>1097281</v>
      </c>
    </row>
    <row r="125" spans="2:16" x14ac:dyDescent="0.35">
      <c r="B125" t="s">
        <v>224</v>
      </c>
      <c r="C125" s="488">
        <v>3927126</v>
      </c>
      <c r="D125" s="488">
        <v>60647</v>
      </c>
      <c r="E125" s="488">
        <v>52706</v>
      </c>
      <c r="F125" s="488">
        <v>5466</v>
      </c>
      <c r="G125" s="488">
        <v>156592</v>
      </c>
      <c r="H125" s="488">
        <v>626922</v>
      </c>
      <c r="I125" s="488">
        <v>258753</v>
      </c>
      <c r="J125" s="488">
        <v>52309</v>
      </c>
      <c r="K125" s="488">
        <v>7041</v>
      </c>
      <c r="L125" s="488">
        <v>8479</v>
      </c>
      <c r="M125" s="488">
        <v>4392</v>
      </c>
      <c r="N125" s="495">
        <v>5160433</v>
      </c>
      <c r="O125" s="497">
        <f t="shared" si="2"/>
        <v>4202537</v>
      </c>
      <c r="P125" s="488">
        <f t="shared" si="3"/>
        <v>957896</v>
      </c>
    </row>
    <row r="126" spans="2:16" x14ac:dyDescent="0.35">
      <c r="B126" t="s">
        <v>225</v>
      </c>
      <c r="C126" s="488">
        <v>2812166</v>
      </c>
      <c r="D126" s="488">
        <v>61210</v>
      </c>
      <c r="E126" s="488">
        <v>22420</v>
      </c>
      <c r="F126" s="488">
        <v>3648</v>
      </c>
      <c r="G126" s="488">
        <v>190048</v>
      </c>
      <c r="H126" s="488">
        <v>477252</v>
      </c>
      <c r="I126" s="488">
        <v>316767</v>
      </c>
      <c r="J126" s="488">
        <v>43552</v>
      </c>
      <c r="K126" s="488">
        <v>6081</v>
      </c>
      <c r="L126" s="488">
        <v>8857</v>
      </c>
      <c r="M126" s="488">
        <v>5442</v>
      </c>
      <c r="N126" s="495">
        <v>3947443</v>
      </c>
      <c r="O126" s="497">
        <f t="shared" si="2"/>
        <v>3089492</v>
      </c>
      <c r="P126" s="488">
        <f t="shared" si="3"/>
        <v>857951</v>
      </c>
    </row>
    <row r="127" spans="2:16" x14ac:dyDescent="0.35">
      <c r="B127" t="s">
        <v>226</v>
      </c>
      <c r="C127" s="488">
        <v>2274844</v>
      </c>
      <c r="D127" s="488">
        <v>80338</v>
      </c>
      <c r="E127" s="488">
        <v>603</v>
      </c>
      <c r="F127" s="488">
        <v>4423</v>
      </c>
      <c r="G127" s="488">
        <v>202862</v>
      </c>
      <c r="H127" s="488">
        <v>439794</v>
      </c>
      <c r="I127" s="488">
        <v>319856</v>
      </c>
      <c r="J127" s="488">
        <v>40578</v>
      </c>
      <c r="K127" s="488">
        <v>3124</v>
      </c>
      <c r="L127" s="488">
        <v>6457</v>
      </c>
      <c r="M127" s="488">
        <v>5141</v>
      </c>
      <c r="N127" s="495">
        <v>3378020</v>
      </c>
      <c r="O127" s="497">
        <f t="shared" si="2"/>
        <v>2563070</v>
      </c>
      <c r="P127" s="488">
        <f t="shared" si="3"/>
        <v>814950</v>
      </c>
    </row>
    <row r="128" spans="2:16" x14ac:dyDescent="0.35">
      <c r="B128" t="s">
        <v>227</v>
      </c>
      <c r="C128" s="488">
        <v>2783669</v>
      </c>
      <c r="D128" s="488">
        <v>75806</v>
      </c>
      <c r="E128" s="488">
        <v>3831</v>
      </c>
      <c r="F128" s="488">
        <v>2613</v>
      </c>
      <c r="G128" s="488">
        <v>101774</v>
      </c>
      <c r="H128" s="488">
        <v>492535</v>
      </c>
      <c r="I128" s="488">
        <v>287070</v>
      </c>
      <c r="J128" s="488">
        <v>38815</v>
      </c>
      <c r="K128" s="488">
        <v>6059</v>
      </c>
      <c r="L128" s="488">
        <v>10962</v>
      </c>
      <c r="M128" s="488">
        <v>2627</v>
      </c>
      <c r="N128" s="495">
        <v>3805761</v>
      </c>
      <c r="O128" s="497">
        <f t="shared" si="2"/>
        <v>2967693</v>
      </c>
      <c r="P128" s="488">
        <f t="shared" si="3"/>
        <v>838068</v>
      </c>
    </row>
    <row r="129" spans="1:16" x14ac:dyDescent="0.35">
      <c r="B129" t="s">
        <v>228</v>
      </c>
      <c r="C129" s="488">
        <v>3584257</v>
      </c>
      <c r="D129" s="488">
        <v>46953</v>
      </c>
      <c r="E129" s="488">
        <v>32425</v>
      </c>
      <c r="F129" s="488">
        <v>14272</v>
      </c>
      <c r="G129" s="488">
        <v>94850</v>
      </c>
      <c r="H129" s="488">
        <v>402779</v>
      </c>
      <c r="I129" s="488">
        <v>219040</v>
      </c>
      <c r="J129" s="488">
        <v>49968</v>
      </c>
      <c r="K129" s="488">
        <v>4422</v>
      </c>
      <c r="L129" s="488">
        <v>11214</v>
      </c>
      <c r="M129" s="488">
        <v>17191</v>
      </c>
      <c r="N129" s="495">
        <v>4477371</v>
      </c>
      <c r="O129" s="497">
        <f t="shared" si="2"/>
        <v>3772757</v>
      </c>
      <c r="P129" s="488">
        <f t="shared" si="3"/>
        <v>704614</v>
      </c>
    </row>
    <row r="130" spans="1:16" x14ac:dyDescent="0.35">
      <c r="A130" t="s">
        <v>229</v>
      </c>
      <c r="C130" s="488">
        <v>124057121</v>
      </c>
      <c r="D130" s="488">
        <v>1762594</v>
      </c>
      <c r="E130" s="488">
        <v>913787</v>
      </c>
      <c r="F130" s="488">
        <v>251509</v>
      </c>
      <c r="G130" s="488">
        <v>3812455</v>
      </c>
      <c r="H130" s="488">
        <v>14766251</v>
      </c>
      <c r="I130" s="488">
        <v>6169475</v>
      </c>
      <c r="J130" s="488">
        <v>1133651</v>
      </c>
      <c r="K130" s="488">
        <v>265651</v>
      </c>
      <c r="L130" s="488">
        <v>280181</v>
      </c>
      <c r="M130" s="488">
        <v>125001</v>
      </c>
      <c r="N130" s="495">
        <v>153537676</v>
      </c>
      <c r="O130" s="498">
        <f t="shared" si="2"/>
        <v>130797466</v>
      </c>
      <c r="P130" s="492">
        <f t="shared" si="3"/>
        <v>22740210</v>
      </c>
    </row>
    <row r="131" spans="1:16" x14ac:dyDescent="0.35">
      <c r="A131" t="s">
        <v>67</v>
      </c>
      <c r="C131" s="488">
        <v>399529783</v>
      </c>
      <c r="D131" s="488">
        <v>4600134</v>
      </c>
      <c r="E131" s="488">
        <v>2695291</v>
      </c>
      <c r="F131" s="488">
        <v>584129</v>
      </c>
      <c r="G131" s="488">
        <v>10904423</v>
      </c>
      <c r="H131" s="488">
        <v>55631041</v>
      </c>
      <c r="I131" s="488">
        <v>18926789</v>
      </c>
      <c r="J131" s="488">
        <v>3165301</v>
      </c>
      <c r="K131" s="488">
        <v>1031771</v>
      </c>
      <c r="L131" s="488">
        <v>813623</v>
      </c>
      <c r="M131" s="488">
        <v>377891</v>
      </c>
      <c r="N131" s="495">
        <v>498260176</v>
      </c>
      <c r="O131" s="499">
        <f t="shared" si="2"/>
        <v>418313760</v>
      </c>
      <c r="P131" s="493">
        <f t="shared" si="3"/>
        <v>79946416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E2841"/>
  </sheetPr>
  <dimension ref="A1:BF404"/>
  <sheetViews>
    <sheetView zoomScale="50" zoomScaleNormal="50" workbookViewId="0">
      <selection activeCell="F3" sqref="F3"/>
    </sheetView>
  </sheetViews>
  <sheetFormatPr baseColWidth="10" defaultColWidth="11.453125" defaultRowHeight="14.5" x14ac:dyDescent="0.35"/>
  <cols>
    <col min="1" max="1" width="31.453125" customWidth="1"/>
    <col min="2" max="2" width="17.453125" customWidth="1"/>
    <col min="3" max="3" width="16" customWidth="1"/>
    <col min="4" max="5" width="17.453125" customWidth="1"/>
    <col min="6" max="6" width="31.453125" customWidth="1"/>
    <col min="7" max="7" width="21.453125" customWidth="1"/>
    <col min="8" max="8" width="17.453125" customWidth="1"/>
    <col min="9" max="9" width="19.453125" customWidth="1"/>
    <col min="10" max="11" width="21.453125" customWidth="1"/>
    <col min="12" max="12" width="19.453125" customWidth="1"/>
    <col min="13" max="13" width="19.453125" style="3" customWidth="1"/>
    <col min="14" max="15" width="15.453125" customWidth="1"/>
    <col min="16" max="17" width="15" customWidth="1"/>
    <col min="18" max="19" width="24.453125" customWidth="1"/>
    <col min="20" max="21" width="20.453125" customWidth="1"/>
    <col min="22" max="23" width="19.453125" customWidth="1"/>
    <col min="24" max="25" width="23.453125" customWidth="1"/>
    <col min="26" max="27" width="22.453125" customWidth="1"/>
    <col min="28" max="31" width="17.453125" customWidth="1"/>
    <col min="32" max="33" width="21.453125" customWidth="1"/>
    <col min="34" max="34" width="15.453125" bestFit="1" customWidth="1"/>
    <col min="35" max="35" width="17.453125" customWidth="1"/>
    <col min="36" max="37" width="25.453125" customWidth="1"/>
    <col min="38" max="38" width="16.453125" customWidth="1"/>
    <col min="41" max="41" width="31.453125" bestFit="1" customWidth="1"/>
    <col min="42" max="42" width="16.453125" customWidth="1"/>
    <col min="43" max="43" width="13.1796875" bestFit="1" customWidth="1"/>
    <col min="44" max="44" width="16.453125" bestFit="1" customWidth="1"/>
    <col min="45" max="45" width="13.453125" customWidth="1"/>
    <col min="46" max="46" width="10.453125" bestFit="1" customWidth="1"/>
    <col min="47" max="47" width="9" bestFit="1" customWidth="1"/>
    <col min="48" max="48" width="14.453125" bestFit="1" customWidth="1"/>
    <col min="49" max="49" width="13.1796875" bestFit="1" customWidth="1"/>
    <col min="50" max="50" width="12.1796875" bestFit="1" customWidth="1"/>
    <col min="51" max="52" width="10.81640625" bestFit="1" customWidth="1"/>
    <col min="53" max="53" width="10.453125" bestFit="1" customWidth="1"/>
    <col min="54" max="54" width="9" bestFit="1" customWidth="1"/>
    <col min="55" max="56" width="13.1796875" bestFit="1" customWidth="1"/>
    <col min="57" max="57" width="24.81640625" bestFit="1" customWidth="1"/>
    <col min="58" max="58" width="13.1796875" bestFit="1" customWidth="1"/>
  </cols>
  <sheetData>
    <row r="1" spans="1:58" ht="14.25" customHeight="1" thickBot="1" x14ac:dyDescent="0.4">
      <c r="C1" s="4">
        <f>+SUM(C3:C389)</f>
        <v>1428874789.527458</v>
      </c>
      <c r="E1" s="5"/>
      <c r="F1" s="5"/>
      <c r="G1" s="6">
        <f>+H1-H2</f>
        <v>-103265914.0722605</v>
      </c>
      <c r="H1" s="6">
        <f>+K2+O2+Q2+S2</f>
        <v>856993833</v>
      </c>
      <c r="I1" s="6"/>
      <c r="J1" s="4">
        <f>+SUM(J3:J389)</f>
        <v>1054900164</v>
      </c>
      <c r="K1" s="7"/>
      <c r="L1" s="4">
        <f>+SUM(L3:L389)</f>
        <v>11651867.148148138</v>
      </c>
      <c r="N1" s="4">
        <f>+SUM(N3:N389)</f>
        <v>15094810</v>
      </c>
      <c r="P1" s="4">
        <f>+SUM(P3:P389)</f>
        <v>1776830</v>
      </c>
      <c r="R1" s="4">
        <f>+SUM(R3:R389)</f>
        <v>38370811</v>
      </c>
      <c r="T1" s="4">
        <f>+SUM(T3:T389)</f>
        <v>229449233</v>
      </c>
      <c r="U1" s="6"/>
      <c r="V1" s="4">
        <f>+SUM(V3:V389)</f>
        <v>56838215</v>
      </c>
      <c r="X1" s="4">
        <f>+SUM(X3:X389)</f>
        <v>13236238</v>
      </c>
      <c r="Y1" s="6"/>
      <c r="Z1" s="4">
        <f>+SUM(Z3:Z389)</f>
        <v>6683046</v>
      </c>
      <c r="AB1" s="4">
        <f>+SUM(AB3:AB389)</f>
        <v>801237.44827586273</v>
      </c>
      <c r="AD1" s="4">
        <f>+SUM(AD3:AD389)</f>
        <v>72337.931034482783</v>
      </c>
      <c r="AE1" s="6">
        <f>+AD1+AB1+Z1+X1+V1+T1</f>
        <v>307080307.37931037</v>
      </c>
      <c r="AF1" s="6">
        <f>+AC2+AA2+Y2+W2+U2</f>
        <v>165066124</v>
      </c>
      <c r="AO1" s="6"/>
      <c r="AP1" s="24">
        <f>AP2+AQ2</f>
        <v>930862029.75000012</v>
      </c>
      <c r="AR1" s="25">
        <f>AR2+AS2</f>
        <v>1031500327</v>
      </c>
      <c r="AS1" s="5"/>
      <c r="AT1" s="26">
        <f>+AR1/AP1-1</f>
        <v>0.10811301141698526</v>
      </c>
      <c r="AV1" s="25">
        <f>+AW2+AV2</f>
        <v>1204791975.7417059</v>
      </c>
      <c r="AW1" s="26">
        <f>+AR1/AV1-1</f>
        <v>-0.14383532778347263</v>
      </c>
      <c r="AZ1" s="27"/>
      <c r="BA1" s="6"/>
      <c r="BC1" s="25">
        <f>BC2+BD2</f>
        <v>-173291648.74170625</v>
      </c>
      <c r="BE1" s="28">
        <f>BE2+BF2</f>
        <v>155375451.03829262</v>
      </c>
    </row>
    <row r="2" spans="1:58" ht="14.25" customHeight="1" x14ac:dyDescent="0.35">
      <c r="B2" s="4">
        <f>+SUBTOTAL(9,B4:B274)</f>
        <v>10512401494</v>
      </c>
      <c r="C2" s="4">
        <f>+SUBTOTAL(9,C4:C274)</f>
        <v>930862029.75</v>
      </c>
      <c r="E2" s="4">
        <f>+SUBTOTAL(9,E4:E274)</f>
        <v>10345159441</v>
      </c>
      <c r="F2" s="4"/>
      <c r="G2" s="4">
        <f t="shared" ref="G2:AF2" si="0">+SUBTOTAL(9,G4:G274)</f>
        <v>1204791975.7417068</v>
      </c>
      <c r="H2" s="4">
        <f t="shared" si="0"/>
        <v>960259747.0722605</v>
      </c>
      <c r="I2" s="4">
        <f t="shared" si="0"/>
        <v>244532228.66944548</v>
      </c>
      <c r="J2" s="4">
        <f t="shared" si="0"/>
        <v>702116637</v>
      </c>
      <c r="K2" s="4">
        <f t="shared" si="0"/>
        <v>826123931</v>
      </c>
      <c r="L2" s="4">
        <f t="shared" si="0"/>
        <v>7600937.9310344821</v>
      </c>
      <c r="M2" s="4">
        <f t="shared" si="0"/>
        <v>8859591</v>
      </c>
      <c r="N2" s="4">
        <f t="shared" si="0"/>
        <v>11013015</v>
      </c>
      <c r="O2" s="4">
        <f t="shared" si="0"/>
        <v>6585863</v>
      </c>
      <c r="P2" s="4">
        <f t="shared" si="0"/>
        <v>1441689</v>
      </c>
      <c r="Q2" s="4">
        <f t="shared" si="0"/>
        <v>1074755</v>
      </c>
      <c r="R2" s="4">
        <f t="shared" si="0"/>
        <v>24243221</v>
      </c>
      <c r="S2" s="4">
        <f t="shared" si="0"/>
        <v>23209284</v>
      </c>
      <c r="T2" s="4">
        <f t="shared" si="0"/>
        <v>138132396</v>
      </c>
      <c r="U2" s="4">
        <f t="shared" si="0"/>
        <v>118907713</v>
      </c>
      <c r="V2" s="4">
        <f t="shared" si="0"/>
        <v>35434193</v>
      </c>
      <c r="W2" s="4">
        <f t="shared" si="0"/>
        <v>35564141</v>
      </c>
      <c r="X2" s="4">
        <f t="shared" si="0"/>
        <v>8294724</v>
      </c>
      <c r="Y2" s="4">
        <f t="shared" si="0"/>
        <v>6825075</v>
      </c>
      <c r="Z2" s="4">
        <f t="shared" si="0"/>
        <v>2526684</v>
      </c>
      <c r="AA2" s="4">
        <f t="shared" si="0"/>
        <v>1984477</v>
      </c>
      <c r="AB2" s="4">
        <f t="shared" si="0"/>
        <v>51556.094827586181</v>
      </c>
      <c r="AC2" s="4">
        <f t="shared" si="0"/>
        <v>1784718</v>
      </c>
      <c r="AD2" s="4">
        <f t="shared" si="0"/>
        <v>6976.7241379310317</v>
      </c>
      <c r="AE2" s="4">
        <f t="shared" si="0"/>
        <v>580779</v>
      </c>
      <c r="AF2" s="4">
        <f t="shared" si="0"/>
        <v>1031500327</v>
      </c>
      <c r="AG2" s="8">
        <f>+AF2/G2</f>
        <v>0.8561646722165267</v>
      </c>
      <c r="AH2" s="4">
        <f>+SUBTOTAL(9,AH4:AH274)</f>
        <v>-173291648.74170619</v>
      </c>
      <c r="AI2" s="9">
        <f>+AF2/C2-1</f>
        <v>0.10811301141698548</v>
      </c>
      <c r="AJ2" s="9">
        <f>+C2/B2</f>
        <v>8.8548941959769478E-2</v>
      </c>
      <c r="AK2" s="10">
        <f>+AF2/E2</f>
        <v>9.9708499698124661E-2</v>
      </c>
      <c r="AL2" s="9">
        <f>+E2/B2-1</f>
        <v>-1.5909024507430924E-2</v>
      </c>
      <c r="AO2" s="4"/>
      <c r="AP2" s="4">
        <f t="shared" ref="AP2:AS2" si="1">+SUBTOTAL(9,AP4:AP274)</f>
        <v>746415499.93103468</v>
      </c>
      <c r="AQ2" s="4">
        <f t="shared" si="1"/>
        <v>184446529.81896546</v>
      </c>
      <c r="AR2" s="4">
        <f t="shared" si="1"/>
        <v>865853424</v>
      </c>
      <c r="AS2" s="4">
        <f t="shared" si="1"/>
        <v>165646903</v>
      </c>
      <c r="AT2" s="30"/>
      <c r="AU2" s="30"/>
      <c r="AV2" s="4">
        <f t="shared" ref="AV2:AW2" si="2">+SUBTOTAL(9,AV4:AV274)</f>
        <v>960259747.0722605</v>
      </c>
      <c r="AW2" s="4">
        <f t="shared" si="2"/>
        <v>244532228.66944548</v>
      </c>
      <c r="AX2" s="31"/>
      <c r="AY2" s="31"/>
      <c r="AZ2" s="5"/>
      <c r="BA2" s="6"/>
      <c r="BC2" s="4">
        <f>+SUBTOTAL(9,BC4:BC274)</f>
        <v>-94406323.072260574</v>
      </c>
      <c r="BD2" s="4">
        <f t="shared" ref="BD2:BF2" si="3">+SUBTOTAL(9,BD4:BD274)</f>
        <v>-78885325.669445679</v>
      </c>
      <c r="BE2" s="4">
        <f t="shared" si="3"/>
        <v>136360481.04956585</v>
      </c>
      <c r="BF2" s="4">
        <f t="shared" si="3"/>
        <v>19014969.988726772</v>
      </c>
    </row>
    <row r="3" spans="1:58" ht="14.25" customHeight="1" x14ac:dyDescent="0.35">
      <c r="A3" s="11">
        <v>2025</v>
      </c>
      <c r="B3" s="12" t="s">
        <v>0</v>
      </c>
      <c r="C3" s="13" t="s">
        <v>230</v>
      </c>
      <c r="D3" s="471" t="s">
        <v>231</v>
      </c>
      <c r="E3" s="470" t="s">
        <v>1</v>
      </c>
      <c r="F3" s="470" t="s">
        <v>8</v>
      </c>
      <c r="G3" s="471" t="s">
        <v>9</v>
      </c>
      <c r="H3" s="471" t="s">
        <v>10</v>
      </c>
      <c r="I3" s="471" t="s">
        <v>11</v>
      </c>
      <c r="J3" s="13" t="s">
        <v>12</v>
      </c>
      <c r="K3" s="13" t="s">
        <v>13</v>
      </c>
      <c r="L3" s="13" t="s">
        <v>14</v>
      </c>
      <c r="M3" s="13" t="s">
        <v>15</v>
      </c>
      <c r="N3" s="13" t="s">
        <v>16</v>
      </c>
      <c r="O3" s="13" t="s">
        <v>17</v>
      </c>
      <c r="P3" s="13" t="s">
        <v>18</v>
      </c>
      <c r="Q3" s="13" t="s">
        <v>19</v>
      </c>
      <c r="R3" s="13" t="s">
        <v>20</v>
      </c>
      <c r="S3" s="13" t="s">
        <v>21</v>
      </c>
      <c r="T3" s="13" t="s">
        <v>22</v>
      </c>
      <c r="U3" s="13" t="s">
        <v>23</v>
      </c>
      <c r="V3" s="13" t="s">
        <v>24</v>
      </c>
      <c r="W3" s="13" t="s">
        <v>25</v>
      </c>
      <c r="X3" s="13" t="s">
        <v>26</v>
      </c>
      <c r="Y3" s="13" t="s">
        <v>27</v>
      </c>
      <c r="Z3" s="13" t="s">
        <v>28</v>
      </c>
      <c r="AA3" s="13" t="s">
        <v>29</v>
      </c>
      <c r="AB3" s="13" t="s">
        <v>30</v>
      </c>
      <c r="AC3" s="13" t="s">
        <v>31</v>
      </c>
      <c r="AD3" s="13" t="s">
        <v>32</v>
      </c>
      <c r="AE3" s="13" t="s">
        <v>33</v>
      </c>
      <c r="AF3" s="14" t="s">
        <v>232</v>
      </c>
      <c r="AG3" s="14" t="s">
        <v>233</v>
      </c>
      <c r="AH3" s="14" t="s">
        <v>234</v>
      </c>
      <c r="AI3" s="15" t="s">
        <v>235</v>
      </c>
      <c r="AJ3" s="13" t="s">
        <v>236</v>
      </c>
      <c r="AK3" s="13" t="s">
        <v>237</v>
      </c>
      <c r="AL3" s="13" t="s">
        <v>238</v>
      </c>
      <c r="AO3" s="33" t="s">
        <v>239</v>
      </c>
      <c r="AP3" s="34" t="s">
        <v>4</v>
      </c>
      <c r="AQ3" s="34" t="s">
        <v>6</v>
      </c>
      <c r="AR3" s="35" t="s">
        <v>240</v>
      </c>
      <c r="AS3" s="35" t="s">
        <v>241</v>
      </c>
      <c r="AT3" s="2" t="s">
        <v>242</v>
      </c>
      <c r="AU3" s="2" t="s">
        <v>243</v>
      </c>
      <c r="AV3" s="2" t="s">
        <v>10</v>
      </c>
      <c r="AW3" s="2" t="s">
        <v>244</v>
      </c>
      <c r="AX3" s="2" t="s">
        <v>245</v>
      </c>
      <c r="AY3" s="2" t="s">
        <v>246</v>
      </c>
      <c r="AZ3" s="2" t="s">
        <v>247</v>
      </c>
      <c r="BA3" s="2" t="s">
        <v>248</v>
      </c>
      <c r="BB3" s="36" t="s">
        <v>249</v>
      </c>
      <c r="BC3" s="2" t="s">
        <v>250</v>
      </c>
      <c r="BD3" s="2" t="s">
        <v>251</v>
      </c>
      <c r="BE3" s="37" t="s">
        <v>252</v>
      </c>
      <c r="BF3" s="4" t="s">
        <v>253</v>
      </c>
    </row>
    <row r="4" spans="1:58" ht="14.25" customHeight="1" x14ac:dyDescent="0.35">
      <c r="A4" s="16">
        <v>45659</v>
      </c>
      <c r="B4" s="17">
        <v>35585285</v>
      </c>
      <c r="C4" s="17">
        <f t="shared" ref="C4:C67" si="4">+J4+L4+N4+P4+R4+T4+V4+X4+Z4+AB4+AD4</f>
        <v>3530236.3103448278</v>
      </c>
      <c r="D4" s="18">
        <f>+Tabla22[[#This Row],[Share diario]]</f>
        <v>-3.3795058862703904E-4</v>
      </c>
      <c r="E4" s="17">
        <f>+Tabla22[[#This Row],[Global 2026]]</f>
        <v>1767787</v>
      </c>
      <c r="F4" s="19">
        <v>46023</v>
      </c>
      <c r="G4" s="17">
        <f t="shared" ref="G4:G67" si="5">+H4+I4</f>
        <v>-36578.827797188496</v>
      </c>
      <c r="H4" s="17">
        <v>-91461.011238662599</v>
      </c>
      <c r="I4" s="17">
        <v>54882.183441474102</v>
      </c>
      <c r="J4" s="17">
        <v>2533552</v>
      </c>
      <c r="K4" s="17">
        <v>1117875</v>
      </c>
      <c r="L4" s="17">
        <v>48254.310344827602</v>
      </c>
      <c r="M4" s="17">
        <v>17319</v>
      </c>
      <c r="N4" s="17">
        <v>21696</v>
      </c>
      <c r="O4" s="17">
        <v>0</v>
      </c>
      <c r="P4" s="17">
        <v>5984</v>
      </c>
      <c r="Q4" s="17">
        <v>1884</v>
      </c>
      <c r="R4" s="17">
        <v>47691</v>
      </c>
      <c r="S4" s="17">
        <v>0</v>
      </c>
      <c r="T4" s="17">
        <v>671816</v>
      </c>
      <c r="U4" s="17">
        <v>511381</v>
      </c>
      <c r="V4" s="17">
        <v>116771</v>
      </c>
      <c r="W4" s="17">
        <v>78269</v>
      </c>
      <c r="X4" s="17">
        <v>84472</v>
      </c>
      <c r="Y4" s="17">
        <v>31357</v>
      </c>
      <c r="Z4" s="17">
        <v>0</v>
      </c>
      <c r="AA4" s="17">
        <v>7591</v>
      </c>
      <c r="AB4" s="17">
        <v>0</v>
      </c>
      <c r="AC4" s="17">
        <v>2016</v>
      </c>
      <c r="AD4" s="17">
        <v>0</v>
      </c>
      <c r="AE4" s="17">
        <v>0</v>
      </c>
      <c r="AF4" s="17">
        <f t="shared" ref="AF4:AF67" si="6">+AE4+AC4+AA4+Y4+W4+U4+S4+Q4+O4+M4+K4</f>
        <v>1767692</v>
      </c>
      <c r="AG4" s="18">
        <f t="shared" ref="AG4:AG67" si="7">+AF4/G4</f>
        <v>-48.325550774917602</v>
      </c>
      <c r="AH4" s="17">
        <f t="shared" ref="AH4:AH67" si="8">+AF4-G4</f>
        <v>1804270.8277971884</v>
      </c>
      <c r="AI4" s="20">
        <f t="shared" ref="AI4:AI67" si="9">+AF4/C4-1</f>
        <v>-0.49927091429544146</v>
      </c>
      <c r="AJ4" s="20">
        <f t="shared" ref="AJ4:AJ35" si="10">+C4/B4</f>
        <v>9.9204946942109018E-2</v>
      </c>
      <c r="AK4" s="21">
        <f t="shared" ref="AK4:AK67" si="11">+AF4/E4</f>
        <v>0.99994626049405277</v>
      </c>
      <c r="AL4" s="21">
        <f t="shared" ref="AL4:AL35" si="12">+E4/B4-1</f>
        <v>-0.95032252797750527</v>
      </c>
      <c r="AO4" s="38">
        <f t="shared" ref="AO4:AO67" si="13">+F4</f>
        <v>46023</v>
      </c>
      <c r="AP4" s="17">
        <f>Tabla2[[#This Row],[Web + APP 2025]]+Tabla2[[#This Row],[Afiliados 2025]]+Tabla2[[#This Row],[TMK 2025]]+Tabla2[[#This Row],[WA 2025]]+Tabla2[[#This Row],[Ent. en Tienda 2025]]</f>
        <v>2657177.3103448278</v>
      </c>
      <c r="AQ4" s="17">
        <f>Tabla2[[#This Row],[Meli Drop 2025]]+Tabla2[[#This Row],[Meli Full 2025]]+Tabla2[[#This Row],[Amazon Drop 2025]]+Tabla2[[#This Row],[Amazon Full 2025]]+Tabla2[[#This Row],[TikTok 2025]]+Tabla2[[#This Row],[Shein 2025]]</f>
        <v>873059</v>
      </c>
      <c r="AR4" s="17">
        <f>Tabla2[[#This Row],[Web + APP 2026]]+Tabla2[[#This Row],[Afiliados 2026]]+Tabla2[[#This Row],[TMK 2026]]+Tabla2[[#This Row],[WA 2026]]+Tabla2[[#This Row],[Ent. en Tienda 2026]]</f>
        <v>1137078</v>
      </c>
      <c r="AS4" s="17">
        <f>Tabla2[[#This Row],[Meli Drop 2026]]+Tabla2[[#This Row],[Meli Full 2026]]+Tabla2[[#This Row],[Amazon Drop 2026]]+Tabla2[[#This Row],[Amazon Full 2026]]+Tabla2[[#This Row],[TikTok 2026]]+Tabla2[[#This Row],[Shein 2026]]</f>
        <v>630614</v>
      </c>
      <c r="AT4" s="18">
        <f t="shared" ref="AT4:AU67" si="14">+AR4/AP4-1</f>
        <v>-0.57207296796748619</v>
      </c>
      <c r="AU4" s="18">
        <f t="shared" si="14"/>
        <v>-0.27769600908987824</v>
      </c>
      <c r="AV4" s="17">
        <f t="shared" ref="AV4:AW67" si="15">+H4</f>
        <v>-91461.011238662599</v>
      </c>
      <c r="AW4" s="17">
        <f t="shared" si="15"/>
        <v>54882.183441474102</v>
      </c>
      <c r="AX4" s="39">
        <f t="shared" ref="AX4:AY67" si="16">+AR4/AV4</f>
        <v>-12.432379487176847</v>
      </c>
      <c r="AY4" s="39">
        <f t="shared" si="16"/>
        <v>11.490322732376008</v>
      </c>
      <c r="AZ4" s="39">
        <f t="shared" ref="AZ4:AZ67" si="17">+(AR4+AS4)/(AV4+AW4)</f>
        <v>-48.325550774917602</v>
      </c>
      <c r="BA4" s="18">
        <v>2.46108445925893E-3</v>
      </c>
      <c r="BB4" s="20">
        <v>-1.0424480023677001E-3</v>
      </c>
      <c r="BC4" s="17">
        <f t="shared" ref="BC4:BD67" si="18">+AR4-AV4</f>
        <v>1228539.0112386625</v>
      </c>
      <c r="BD4" s="17">
        <f t="shared" si="18"/>
        <v>575731.8165585259</v>
      </c>
      <c r="BE4" s="32"/>
      <c r="BF4" s="40"/>
    </row>
    <row r="5" spans="1:58" ht="14.25" customHeight="1" x14ac:dyDescent="0.35">
      <c r="A5" s="19">
        <v>45660</v>
      </c>
      <c r="B5" s="17">
        <v>45059441</v>
      </c>
      <c r="C5" s="17">
        <f t="shared" si="4"/>
        <v>2122251.3448275863</v>
      </c>
      <c r="D5" s="18">
        <f>+Tabla22[[#This Row],[Share diario]]</f>
        <v>4.0988265333891542E-2</v>
      </c>
      <c r="E5" s="17">
        <f>+Tabla22[[#This Row],[Global 2026]]</f>
        <v>37878399</v>
      </c>
      <c r="F5" s="19">
        <v>46024</v>
      </c>
      <c r="G5" s="17">
        <f t="shared" si="5"/>
        <v>4512263.3008681601</v>
      </c>
      <c r="H5" s="17">
        <v>3388095.96883546</v>
      </c>
      <c r="I5" s="17">
        <v>1124167.3320327001</v>
      </c>
      <c r="J5" s="17">
        <v>1249824</v>
      </c>
      <c r="K5" s="17">
        <v>1824628</v>
      </c>
      <c r="L5" s="17">
        <v>33610.344827586203</v>
      </c>
      <c r="M5" s="17">
        <f>20000+12072</f>
        <v>32072</v>
      </c>
      <c r="N5" s="17">
        <v>21922</v>
      </c>
      <c r="O5" s="17">
        <v>15461</v>
      </c>
      <c r="P5" s="17">
        <v>4267</v>
      </c>
      <c r="Q5" s="17">
        <v>5339</v>
      </c>
      <c r="R5" s="17">
        <v>40797</v>
      </c>
      <c r="S5" s="17">
        <v>100874</v>
      </c>
      <c r="T5" s="17">
        <v>650641</v>
      </c>
      <c r="U5" s="17">
        <v>906403</v>
      </c>
      <c r="V5" s="17">
        <v>73651</v>
      </c>
      <c r="W5" s="17">
        <v>134485</v>
      </c>
      <c r="X5" s="17">
        <v>47539</v>
      </c>
      <c r="Y5" s="17">
        <v>28403</v>
      </c>
      <c r="Z5" s="17">
        <v>0</v>
      </c>
      <c r="AA5" s="17">
        <v>8334</v>
      </c>
      <c r="AB5" s="17">
        <v>0</v>
      </c>
      <c r="AC5" s="17">
        <v>1412</v>
      </c>
      <c r="AD5" s="17">
        <v>0</v>
      </c>
      <c r="AE5" s="17">
        <v>0</v>
      </c>
      <c r="AF5" s="17">
        <f t="shared" si="6"/>
        <v>3057411</v>
      </c>
      <c r="AG5" s="18">
        <f t="shared" si="7"/>
        <v>0.67757814563076446</v>
      </c>
      <c r="AH5" s="17">
        <f t="shared" si="8"/>
        <v>-1454852.3008681601</v>
      </c>
      <c r="AI5" s="20">
        <f t="shared" si="9"/>
        <v>0.44064509957862086</v>
      </c>
      <c r="AJ5" s="20">
        <f t="shared" si="10"/>
        <v>4.7098927499513062E-2</v>
      </c>
      <c r="AK5" s="21">
        <f t="shared" si="11"/>
        <v>8.0716479067660704E-2</v>
      </c>
      <c r="AL5" s="21">
        <f t="shared" si="12"/>
        <v>-0.15936819988512507</v>
      </c>
      <c r="AO5" s="38">
        <f t="shared" si="13"/>
        <v>46024</v>
      </c>
      <c r="AP5" s="17">
        <f>Tabla2[[#This Row],[Web + APP 2025]]+Tabla2[[#This Row],[Afiliados 2025]]+Tabla2[[#This Row],[TMK 2025]]+Tabla2[[#This Row],[WA 2025]]+Tabla2[[#This Row],[Ent. en Tienda 2025]]</f>
        <v>1350420.3448275863</v>
      </c>
      <c r="AQ5" s="17">
        <f>Tabla2[[#This Row],[Meli Drop 2025]]+Tabla2[[#This Row],[Meli Full 2025]]+Tabla2[[#This Row],[Amazon Drop 2025]]+Tabla2[[#This Row],[Amazon Full 2025]]+Tabla2[[#This Row],[TikTok 2025]]+Tabla2[[#This Row],[Shein 2025]]</f>
        <v>771831</v>
      </c>
      <c r="AR5" s="17">
        <f>Tabla2[[#This Row],[Web + APP 2026]]+Tabla2[[#This Row],[Afiliados 2026]]+Tabla2[[#This Row],[TMK 2026]]+Tabla2[[#This Row],[WA 2026]]+Tabla2[[#This Row],[Ent. en Tienda 2026]]</f>
        <v>1978374</v>
      </c>
      <c r="AS5" s="17">
        <f>Tabla2[[#This Row],[Meli Drop 2026]]+Tabla2[[#This Row],[Meli Full 2026]]+Tabla2[[#This Row],[Amazon Drop 2026]]+Tabla2[[#This Row],[Amazon Full 2026]]+Tabla2[[#This Row],[TikTok 2026]]+Tabla2[[#This Row],[Shein 2026]]</f>
        <v>1079037</v>
      </c>
      <c r="AT5" s="18">
        <f t="shared" si="14"/>
        <v>0.46500606835317426</v>
      </c>
      <c r="AU5" s="18">
        <f t="shared" si="14"/>
        <v>0.39802236499959198</v>
      </c>
      <c r="AV5" s="17">
        <f t="shared" si="15"/>
        <v>3388095.96883546</v>
      </c>
      <c r="AW5" s="17">
        <f t="shared" si="15"/>
        <v>1124167.3320327001</v>
      </c>
      <c r="AX5" s="39">
        <f t="shared" si="16"/>
        <v>0.58391911510109828</v>
      </c>
      <c r="AY5" s="39">
        <f t="shared" si="16"/>
        <v>0.95985443559270112</v>
      </c>
      <c r="AZ5" s="39">
        <f t="shared" si="17"/>
        <v>0.67757814563076446</v>
      </c>
      <c r="BA5" s="18">
        <v>5.04110911225428E-2</v>
      </c>
      <c r="BB5" s="20">
        <v>3.86166064283529E-2</v>
      </c>
      <c r="BC5" s="17">
        <f t="shared" si="18"/>
        <v>-1409721.96883546</v>
      </c>
      <c r="BD5" s="17">
        <f t="shared" si="18"/>
        <v>-45130.332032700069</v>
      </c>
      <c r="BE5" s="32"/>
      <c r="BF5" s="40"/>
    </row>
    <row r="6" spans="1:58" ht="14.25" customHeight="1" x14ac:dyDescent="0.35">
      <c r="A6" s="16">
        <v>45661</v>
      </c>
      <c r="B6" s="17">
        <v>52763562</v>
      </c>
      <c r="C6" s="17">
        <f t="shared" si="4"/>
        <v>1311866.9655172415</v>
      </c>
      <c r="D6" s="18">
        <f>+Tabla22[[#This Row],[Share diario]]</f>
        <v>2.4640673762291131E-2</v>
      </c>
      <c r="E6" s="17">
        <f>+Tabla22[[#This Row],[Global 2026]]</f>
        <v>45280774</v>
      </c>
      <c r="F6" s="19">
        <v>46025</v>
      </c>
      <c r="G6" s="17">
        <f t="shared" si="5"/>
        <v>2715709.2287748121</v>
      </c>
      <c r="H6" s="17">
        <v>1721884.99003478</v>
      </c>
      <c r="I6" s="17">
        <v>993824.23874003196</v>
      </c>
      <c r="J6" s="17">
        <v>805491</v>
      </c>
      <c r="K6" s="17">
        <v>1844500</v>
      </c>
      <c r="L6" s="17">
        <v>33443.965517241399</v>
      </c>
      <c r="M6" s="17">
        <f>18860+11525</f>
        <v>30385</v>
      </c>
      <c r="N6" s="17">
        <v>-972</v>
      </c>
      <c r="O6" s="17">
        <v>4998</v>
      </c>
      <c r="P6" s="17">
        <v>125</v>
      </c>
      <c r="Q6" s="17">
        <v>903</v>
      </c>
      <c r="R6" s="17">
        <v>76993</v>
      </c>
      <c r="S6" s="17">
        <v>60781</v>
      </c>
      <c r="T6" s="17">
        <v>272764</v>
      </c>
      <c r="U6" s="17">
        <v>517553</v>
      </c>
      <c r="V6" s="17">
        <v>79911</v>
      </c>
      <c r="W6" s="17">
        <v>118746</v>
      </c>
      <c r="X6" s="17">
        <v>44111</v>
      </c>
      <c r="Y6" s="17">
        <v>27889</v>
      </c>
      <c r="Z6" s="17">
        <v>0</v>
      </c>
      <c r="AA6" s="17">
        <v>13091</v>
      </c>
      <c r="AB6" s="17">
        <v>0</v>
      </c>
      <c r="AC6" s="17">
        <v>688</v>
      </c>
      <c r="AD6" s="17">
        <v>0</v>
      </c>
      <c r="AE6" s="17">
        <v>0</v>
      </c>
      <c r="AF6" s="17">
        <f t="shared" si="6"/>
        <v>2619534</v>
      </c>
      <c r="AG6" s="18">
        <f t="shared" si="7"/>
        <v>0.96458559415869372</v>
      </c>
      <c r="AH6" s="17">
        <f t="shared" si="8"/>
        <v>-96175.228774812073</v>
      </c>
      <c r="AI6" s="20">
        <f t="shared" si="9"/>
        <v>0.99679850842739448</v>
      </c>
      <c r="AJ6" s="20">
        <f t="shared" si="10"/>
        <v>2.4863123636672625E-2</v>
      </c>
      <c r="AK6" s="21">
        <f t="shared" si="11"/>
        <v>5.7850910410674521E-2</v>
      </c>
      <c r="AL6" s="21">
        <f t="shared" si="12"/>
        <v>-0.1418173397770226</v>
      </c>
      <c r="AO6" s="38">
        <f t="shared" si="13"/>
        <v>46025</v>
      </c>
      <c r="AP6" s="17">
        <f>Tabla2[[#This Row],[Web + APP 2025]]+Tabla2[[#This Row],[Afiliados 2025]]+Tabla2[[#This Row],[TMK 2025]]+Tabla2[[#This Row],[WA 2025]]+Tabla2[[#This Row],[Ent. en Tienda 2025]]</f>
        <v>915080.96551724139</v>
      </c>
      <c r="AQ6" s="17">
        <f>Tabla2[[#This Row],[Meli Drop 2025]]+Tabla2[[#This Row],[Meli Full 2025]]+Tabla2[[#This Row],[Amazon Drop 2025]]+Tabla2[[#This Row],[Amazon Full 2025]]+Tabla2[[#This Row],[TikTok 2025]]+Tabla2[[#This Row],[Shein 2025]]</f>
        <v>396786</v>
      </c>
      <c r="AR6" s="17">
        <f>Tabla2[[#This Row],[Web + APP 2026]]+Tabla2[[#This Row],[Afiliados 2026]]+Tabla2[[#This Row],[TMK 2026]]+Tabla2[[#This Row],[WA 2026]]+Tabla2[[#This Row],[Ent. en Tienda 2026]]</f>
        <v>1941567</v>
      </c>
      <c r="AS6" s="17">
        <f>Tabla2[[#This Row],[Meli Drop 2026]]+Tabla2[[#This Row],[Meli Full 2026]]+Tabla2[[#This Row],[Amazon Drop 2026]]+Tabla2[[#This Row],[Amazon Full 2026]]+Tabla2[[#This Row],[TikTok 2026]]+Tabla2[[#This Row],[Shein 2026]]</f>
        <v>677967</v>
      </c>
      <c r="AT6" s="18">
        <f t="shared" si="14"/>
        <v>1.1217434010361549</v>
      </c>
      <c r="AU6" s="18">
        <f t="shared" si="14"/>
        <v>0.7086464744219807</v>
      </c>
      <c r="AV6" s="17">
        <f t="shared" si="15"/>
        <v>1721884.99003478</v>
      </c>
      <c r="AW6" s="17">
        <f t="shared" si="15"/>
        <v>993824.23874003196</v>
      </c>
      <c r="AX6" s="39">
        <f t="shared" si="16"/>
        <v>1.12758227828026</v>
      </c>
      <c r="AY6" s="39">
        <f t="shared" si="16"/>
        <v>0.68217998069711494</v>
      </c>
      <c r="AZ6" s="39">
        <f t="shared" si="17"/>
        <v>0.96458559415869372</v>
      </c>
      <c r="BA6" s="18">
        <v>4.4566109360539598E-2</v>
      </c>
      <c r="BB6" s="20">
        <v>1.96255819158263E-2</v>
      </c>
      <c r="BC6" s="17">
        <f t="shared" si="18"/>
        <v>219682.00996522</v>
      </c>
      <c r="BD6" s="17">
        <f t="shared" si="18"/>
        <v>-315857.23874003196</v>
      </c>
      <c r="BE6" s="32"/>
      <c r="BF6" s="40"/>
    </row>
    <row r="7" spans="1:58" ht="14.25" customHeight="1" x14ac:dyDescent="0.35">
      <c r="A7" s="19">
        <v>45662</v>
      </c>
      <c r="B7" s="17">
        <v>49768856</v>
      </c>
      <c r="C7" s="17">
        <f t="shared" si="4"/>
        <v>1824121.6896551724</v>
      </c>
      <c r="D7" s="18">
        <f>+Tabla22[[#This Row],[Share diario]]</f>
        <v>1.5231601099286058E-2</v>
      </c>
      <c r="E7" s="17">
        <f>+Tabla22[[#This Row],[Global 2026]]</f>
        <v>49319936</v>
      </c>
      <c r="F7" s="19">
        <v>46026</v>
      </c>
      <c r="G7" s="17">
        <f t="shared" si="5"/>
        <v>1677704.5316270911</v>
      </c>
      <c r="H7" s="17">
        <v>1166795.35022248</v>
      </c>
      <c r="I7" s="17">
        <v>510909.18140461098</v>
      </c>
      <c r="J7" s="17">
        <v>1228466</v>
      </c>
      <c r="K7" s="17">
        <v>1894237</v>
      </c>
      <c r="L7" s="17">
        <v>26220.689655172398</v>
      </c>
      <c r="M7" s="17">
        <f>20047+15747</f>
        <v>35794</v>
      </c>
      <c r="N7" s="17">
        <v>6650</v>
      </c>
      <c r="O7" s="17">
        <v>2820</v>
      </c>
      <c r="P7" s="17">
        <v>4220</v>
      </c>
      <c r="Q7" s="17">
        <v>1256</v>
      </c>
      <c r="R7" s="17">
        <v>118329</v>
      </c>
      <c r="S7" s="17">
        <v>34216</v>
      </c>
      <c r="T7" s="17">
        <v>311434</v>
      </c>
      <c r="U7" s="17">
        <v>181111</v>
      </c>
      <c r="V7" s="17">
        <v>74826</v>
      </c>
      <c r="W7" s="17">
        <v>111132</v>
      </c>
      <c r="X7" s="17">
        <v>53976</v>
      </c>
      <c r="Y7" s="17">
        <v>24171</v>
      </c>
      <c r="Z7" s="17">
        <v>0</v>
      </c>
      <c r="AA7" s="17">
        <v>11093</v>
      </c>
      <c r="AB7" s="17">
        <v>0</v>
      </c>
      <c r="AC7" s="17">
        <v>0</v>
      </c>
      <c r="AD7" s="17">
        <v>0</v>
      </c>
      <c r="AE7" s="17">
        <v>0</v>
      </c>
      <c r="AF7" s="17">
        <f t="shared" si="6"/>
        <v>2295830</v>
      </c>
      <c r="AG7" s="18">
        <f t="shared" si="7"/>
        <v>1.3684352379816433</v>
      </c>
      <c r="AH7" s="17">
        <f t="shared" si="8"/>
        <v>618125.46837290889</v>
      </c>
      <c r="AI7" s="20">
        <f t="shared" si="9"/>
        <v>0.25859475988907188</v>
      </c>
      <c r="AJ7" s="20">
        <f t="shared" si="10"/>
        <v>3.6651870994486441E-2</v>
      </c>
      <c r="AK7" s="21">
        <f t="shared" si="11"/>
        <v>4.6549735993169174E-2</v>
      </c>
      <c r="AL7" s="21">
        <f t="shared" si="12"/>
        <v>-9.0200988345000566E-3</v>
      </c>
      <c r="AO7" s="38">
        <f t="shared" si="13"/>
        <v>46026</v>
      </c>
      <c r="AP7" s="17">
        <f>Tabla2[[#This Row],[Web + APP 2025]]+Tabla2[[#This Row],[Afiliados 2025]]+Tabla2[[#This Row],[TMK 2025]]+Tabla2[[#This Row],[WA 2025]]+Tabla2[[#This Row],[Ent. en Tienda 2025]]</f>
        <v>1383885.6896551724</v>
      </c>
      <c r="AQ7" s="17">
        <f>Tabla2[[#This Row],[Meli Drop 2025]]+Tabla2[[#This Row],[Meli Full 2025]]+Tabla2[[#This Row],[Amazon Drop 2025]]+Tabla2[[#This Row],[Amazon Full 2025]]+Tabla2[[#This Row],[TikTok 2025]]+Tabla2[[#This Row],[Shein 2025]]</f>
        <v>440236</v>
      </c>
      <c r="AR7" s="17">
        <f>Tabla2[[#This Row],[Web + APP 2026]]+Tabla2[[#This Row],[Afiliados 2026]]+Tabla2[[#This Row],[TMK 2026]]+Tabla2[[#This Row],[WA 2026]]+Tabla2[[#This Row],[Ent. en Tienda 2026]]</f>
        <v>1968323</v>
      </c>
      <c r="AS7" s="17">
        <f>Tabla2[[#This Row],[Meli Drop 2026]]+Tabla2[[#This Row],[Meli Full 2026]]+Tabla2[[#This Row],[Amazon Drop 2026]]+Tabla2[[#This Row],[Amazon Full 2026]]+Tabla2[[#This Row],[TikTok 2026]]+Tabla2[[#This Row],[Shein 2026]]</f>
        <v>327507</v>
      </c>
      <c r="AT7" s="18">
        <f t="shared" si="14"/>
        <v>0.42231617445979497</v>
      </c>
      <c r="AU7" s="18">
        <f t="shared" si="14"/>
        <v>-0.25606492881091047</v>
      </c>
      <c r="AV7" s="17">
        <f t="shared" si="15"/>
        <v>1166795.35022248</v>
      </c>
      <c r="AW7" s="17">
        <f t="shared" si="15"/>
        <v>510909.18140461098</v>
      </c>
      <c r="AX7" s="39">
        <f t="shared" si="16"/>
        <v>1.6869479293216996</v>
      </c>
      <c r="AY7" s="39">
        <f t="shared" si="16"/>
        <v>0.64102782240006972</v>
      </c>
      <c r="AZ7" s="39">
        <f t="shared" si="17"/>
        <v>1.3684352379816433</v>
      </c>
      <c r="BA7" s="18">
        <v>2.29107256235252E-2</v>
      </c>
      <c r="BB7" s="20">
        <v>1.3298819524719899E-2</v>
      </c>
      <c r="BC7" s="17">
        <f t="shared" si="18"/>
        <v>801527.64977751998</v>
      </c>
      <c r="BD7" s="17">
        <f t="shared" si="18"/>
        <v>-183402.18140461098</v>
      </c>
      <c r="BE7" s="32"/>
      <c r="BF7" s="40"/>
    </row>
    <row r="8" spans="1:58" ht="14.25" customHeight="1" x14ac:dyDescent="0.35">
      <c r="A8" s="16">
        <v>45663</v>
      </c>
      <c r="B8" s="17">
        <v>22835293</v>
      </c>
      <c r="C8" s="17">
        <f t="shared" si="4"/>
        <v>3136399</v>
      </c>
      <c r="D8" s="18">
        <f>+Tabla22[[#This Row],[Share diario]]</f>
        <v>2.1179200836441904E-2</v>
      </c>
      <c r="E8" s="17">
        <f>+Tabla22[[#This Row],[Global 2026]]</f>
        <v>42820052</v>
      </c>
      <c r="F8" s="19">
        <v>46027</v>
      </c>
      <c r="G8" s="17">
        <f t="shared" si="5"/>
        <v>2331411.9850357091</v>
      </c>
      <c r="H8" s="17">
        <v>1764555.7592998201</v>
      </c>
      <c r="I8" s="17">
        <v>566856.22573588905</v>
      </c>
      <c r="J8" s="17">
        <v>2147376</v>
      </c>
      <c r="K8" s="17">
        <v>2243868</v>
      </c>
      <c r="L8" s="17">
        <v>18700</v>
      </c>
      <c r="M8" s="17">
        <f>16759+12375</f>
        <v>29134</v>
      </c>
      <c r="N8" s="17">
        <v>36331</v>
      </c>
      <c r="O8" s="17">
        <v>10063</v>
      </c>
      <c r="P8" s="17">
        <v>-500</v>
      </c>
      <c r="Q8" s="17">
        <v>4612</v>
      </c>
      <c r="R8" s="17">
        <v>58951</v>
      </c>
      <c r="S8" s="17">
        <v>91070</v>
      </c>
      <c r="T8" s="17">
        <v>714238</v>
      </c>
      <c r="U8" s="17">
        <v>1061982</v>
      </c>
      <c r="V8" s="17">
        <v>83712</v>
      </c>
      <c r="W8" s="17">
        <v>81808</v>
      </c>
      <c r="X8" s="17">
        <v>77591</v>
      </c>
      <c r="Y8" s="17">
        <v>39071</v>
      </c>
      <c r="Z8" s="17">
        <v>0</v>
      </c>
      <c r="AA8" s="17">
        <v>9717</v>
      </c>
      <c r="AB8" s="17">
        <v>0</v>
      </c>
      <c r="AC8" s="17">
        <v>11108</v>
      </c>
      <c r="AD8" s="17">
        <v>0</v>
      </c>
      <c r="AE8" s="17">
        <v>0</v>
      </c>
      <c r="AF8" s="17">
        <f t="shared" si="6"/>
        <v>3582433</v>
      </c>
      <c r="AG8" s="18">
        <f t="shared" si="7"/>
        <v>1.5365937135924648</v>
      </c>
      <c r="AH8" s="17">
        <f t="shared" si="8"/>
        <v>1251021.0149642909</v>
      </c>
      <c r="AI8" s="20">
        <f t="shared" si="9"/>
        <v>0.14221213563707935</v>
      </c>
      <c r="AJ8" s="20">
        <f t="shared" si="10"/>
        <v>0.13734875221439025</v>
      </c>
      <c r="AK8" s="21">
        <f t="shared" si="11"/>
        <v>8.3662509330908796E-2</v>
      </c>
      <c r="AL8" s="21">
        <f t="shared" si="12"/>
        <v>0.87516980841892411</v>
      </c>
      <c r="AO8" s="38">
        <f t="shared" si="13"/>
        <v>46027</v>
      </c>
      <c r="AP8" s="17">
        <f>Tabla2[[#This Row],[Web + APP 2025]]+Tabla2[[#This Row],[Afiliados 2025]]+Tabla2[[#This Row],[TMK 2025]]+Tabla2[[#This Row],[WA 2025]]+Tabla2[[#This Row],[Ent. en Tienda 2025]]</f>
        <v>2260858</v>
      </c>
      <c r="AQ8" s="17">
        <f>Tabla2[[#This Row],[Meli Drop 2025]]+Tabla2[[#This Row],[Meli Full 2025]]+Tabla2[[#This Row],[Amazon Drop 2025]]+Tabla2[[#This Row],[Amazon Full 2025]]+Tabla2[[#This Row],[TikTok 2025]]+Tabla2[[#This Row],[Shein 2025]]</f>
        <v>875541</v>
      </c>
      <c r="AR8" s="17">
        <f>Tabla2[[#This Row],[Web + APP 2026]]+Tabla2[[#This Row],[Afiliados 2026]]+Tabla2[[#This Row],[TMK 2026]]+Tabla2[[#This Row],[WA 2026]]+Tabla2[[#This Row],[Ent. en Tienda 2026]]</f>
        <v>2378747</v>
      </c>
      <c r="AS8" s="17">
        <f>Tabla2[[#This Row],[Meli Drop 2026]]+Tabla2[[#This Row],[Meli Full 2026]]+Tabla2[[#This Row],[Amazon Drop 2026]]+Tabla2[[#This Row],[Amazon Full 2026]]+Tabla2[[#This Row],[TikTok 2026]]+Tabla2[[#This Row],[Shein 2026]]</f>
        <v>1203686</v>
      </c>
      <c r="AT8" s="18">
        <f t="shared" si="14"/>
        <v>5.2143478272408172E-2</v>
      </c>
      <c r="AU8" s="18">
        <f t="shared" si="14"/>
        <v>0.37479112914186774</v>
      </c>
      <c r="AV8" s="17">
        <f t="shared" si="15"/>
        <v>1764555.7592998201</v>
      </c>
      <c r="AW8" s="17">
        <f t="shared" si="15"/>
        <v>566856.22573588905</v>
      </c>
      <c r="AX8" s="39">
        <f t="shared" si="16"/>
        <v>1.3480713133961222</v>
      </c>
      <c r="AY8" s="39">
        <f t="shared" si="16"/>
        <v>2.1234414395597097</v>
      </c>
      <c r="AZ8" s="39">
        <f t="shared" si="17"/>
        <v>1.5365937135924648</v>
      </c>
      <c r="BA8" s="18">
        <v>2.54195616921923E-2</v>
      </c>
      <c r="BB8" s="20">
        <v>2.01119318651371E-2</v>
      </c>
      <c r="BC8" s="17">
        <f t="shared" si="18"/>
        <v>614191.24070017994</v>
      </c>
      <c r="BD8" s="17">
        <f t="shared" si="18"/>
        <v>636829.77426411095</v>
      </c>
      <c r="BE8" s="32"/>
      <c r="BF8" s="40"/>
    </row>
    <row r="9" spans="1:58" ht="14.25" customHeight="1" x14ac:dyDescent="0.35">
      <c r="A9" s="19">
        <v>45664</v>
      </c>
      <c r="B9" s="17">
        <v>23697613</v>
      </c>
      <c r="C9" s="17">
        <f t="shared" si="4"/>
        <v>2922246.1379310344</v>
      </c>
      <c r="D9" s="18">
        <f>+Tabla22[[#This Row],[Share diario]]</f>
        <v>3.6415566297428682E-2</v>
      </c>
      <c r="E9" s="17">
        <f>+Tabla22[[#This Row],[Global 2026]]</f>
        <v>22329279</v>
      </c>
      <c r="F9" s="19">
        <v>46028</v>
      </c>
      <c r="G9" s="17">
        <f t="shared" si="5"/>
        <v>4010122.98131203</v>
      </c>
      <c r="H9" s="17">
        <v>2882759.7789909402</v>
      </c>
      <c r="I9" s="17">
        <v>1127363.20232109</v>
      </c>
      <c r="J9" s="17">
        <v>2444768</v>
      </c>
      <c r="K9" s="17">
        <v>2374462</v>
      </c>
      <c r="L9" s="17">
        <v>20049.1379310345</v>
      </c>
      <c r="M9" s="17">
        <f>12777+8956</f>
        <v>21733</v>
      </c>
      <c r="N9" s="17">
        <v>54064</v>
      </c>
      <c r="O9" s="17">
        <v>67853</v>
      </c>
      <c r="P9" s="17">
        <v>-344</v>
      </c>
      <c r="Q9" s="17">
        <v>-114</v>
      </c>
      <c r="R9" s="17">
        <v>55989</v>
      </c>
      <c r="S9" s="17">
        <v>66697</v>
      </c>
      <c r="T9" s="17">
        <v>209116</v>
      </c>
      <c r="U9" s="17">
        <v>650825</v>
      </c>
      <c r="V9" s="17">
        <v>80417</v>
      </c>
      <c r="W9" s="17">
        <v>87785</v>
      </c>
      <c r="X9" s="17">
        <v>58187</v>
      </c>
      <c r="Y9" s="17">
        <v>32894</v>
      </c>
      <c r="Z9" s="17">
        <v>0</v>
      </c>
      <c r="AA9" s="17">
        <v>14047</v>
      </c>
      <c r="AB9" s="17">
        <v>0</v>
      </c>
      <c r="AC9" s="17">
        <v>11280</v>
      </c>
      <c r="AD9" s="17">
        <v>0</v>
      </c>
      <c r="AE9" s="17">
        <v>1120</v>
      </c>
      <c r="AF9" s="17">
        <f t="shared" si="6"/>
        <v>3328582</v>
      </c>
      <c r="AG9" s="18">
        <f t="shared" si="7"/>
        <v>0.8300448678287059</v>
      </c>
      <c r="AH9" s="17">
        <f t="shared" si="8"/>
        <v>-681540.98131203</v>
      </c>
      <c r="AI9" s="20">
        <f t="shared" si="9"/>
        <v>0.13904915701476583</v>
      </c>
      <c r="AJ9" s="20">
        <f t="shared" si="10"/>
        <v>0.12331394465472259</v>
      </c>
      <c r="AK9" s="21">
        <f t="shared" si="11"/>
        <v>0.14906804648730484</v>
      </c>
      <c r="AL9" s="21">
        <f t="shared" si="12"/>
        <v>-5.7741427374984999E-2</v>
      </c>
      <c r="AO9" s="38">
        <f t="shared" si="13"/>
        <v>46028</v>
      </c>
      <c r="AP9" s="17">
        <f>Tabla2[[#This Row],[Web + APP 2025]]+Tabla2[[#This Row],[Afiliados 2025]]+Tabla2[[#This Row],[TMK 2025]]+Tabla2[[#This Row],[WA 2025]]+Tabla2[[#This Row],[Ent. en Tienda 2025]]</f>
        <v>2574526.1379310344</v>
      </c>
      <c r="AQ9" s="17">
        <f>Tabla2[[#This Row],[Meli Drop 2025]]+Tabla2[[#This Row],[Meli Full 2025]]+Tabla2[[#This Row],[Amazon Drop 2025]]+Tabla2[[#This Row],[Amazon Full 2025]]+Tabla2[[#This Row],[TikTok 2025]]+Tabla2[[#This Row],[Shein 2025]]</f>
        <v>347720</v>
      </c>
      <c r="AR9" s="17">
        <f>Tabla2[[#This Row],[Web + APP 2026]]+Tabla2[[#This Row],[Afiliados 2026]]+Tabla2[[#This Row],[TMK 2026]]+Tabla2[[#This Row],[WA 2026]]+Tabla2[[#This Row],[Ent. en Tienda 2026]]</f>
        <v>2530631</v>
      </c>
      <c r="AS9" s="17">
        <f>Tabla2[[#This Row],[Meli Drop 2026]]+Tabla2[[#This Row],[Meli Full 2026]]+Tabla2[[#This Row],[Amazon Drop 2026]]+Tabla2[[#This Row],[Amazon Full 2026]]+Tabla2[[#This Row],[TikTok 2026]]+Tabla2[[#This Row],[Shein 2026]]</f>
        <v>797951</v>
      </c>
      <c r="AT9" s="18">
        <f t="shared" si="14"/>
        <v>-1.7049793080100462E-2</v>
      </c>
      <c r="AU9" s="18">
        <f t="shared" si="14"/>
        <v>1.2948090417577363</v>
      </c>
      <c r="AV9" s="17">
        <f t="shared" si="15"/>
        <v>2882759.7789909402</v>
      </c>
      <c r="AW9" s="17">
        <f t="shared" si="15"/>
        <v>1127363.20232109</v>
      </c>
      <c r="AX9" s="39">
        <f t="shared" si="16"/>
        <v>0.87785011378429989</v>
      </c>
      <c r="AY9" s="39">
        <f t="shared" si="16"/>
        <v>0.70780294971232482</v>
      </c>
      <c r="AZ9" s="39">
        <f t="shared" si="17"/>
        <v>0.8300448678287059</v>
      </c>
      <c r="BA9" s="18">
        <v>5.0554403691528499E-2</v>
      </c>
      <c r="BB9" s="20">
        <v>3.2856920475910198E-2</v>
      </c>
      <c r="BC9" s="17">
        <f t="shared" si="18"/>
        <v>-352128.77899094019</v>
      </c>
      <c r="BD9" s="17">
        <f t="shared" si="18"/>
        <v>-329412.20232109004</v>
      </c>
      <c r="BE9" s="32"/>
      <c r="BF9" s="40"/>
    </row>
    <row r="10" spans="1:58" ht="14.25" customHeight="1" x14ac:dyDescent="0.35">
      <c r="A10" s="16">
        <v>45665</v>
      </c>
      <c r="B10" s="17">
        <v>26871838</v>
      </c>
      <c r="C10" s="17">
        <f t="shared" si="4"/>
        <v>3244805</v>
      </c>
      <c r="D10" s="18">
        <f>+Tabla22[[#This Row],[Share diario]]</f>
        <v>3.39291167906993E-2</v>
      </c>
      <c r="E10" s="17">
        <f>+Tabla22[[#This Row],[Global 2026]]</f>
        <v>23046004</v>
      </c>
      <c r="F10" s="19">
        <v>46029</v>
      </c>
      <c r="G10" s="17">
        <f t="shared" si="5"/>
        <v>3730440.5306519461</v>
      </c>
      <c r="H10" s="17">
        <v>3282709.6617250899</v>
      </c>
      <c r="I10" s="17">
        <v>447730.86892685603</v>
      </c>
      <c r="J10" s="17">
        <v>2443314</v>
      </c>
      <c r="K10" s="17">
        <v>2461726</v>
      </c>
      <c r="L10" s="17">
        <v>26275</v>
      </c>
      <c r="M10" s="17">
        <f>14222+10727</f>
        <v>24949</v>
      </c>
      <c r="N10" s="17">
        <v>56169</v>
      </c>
      <c r="O10" s="17">
        <v>16759</v>
      </c>
      <c r="P10" s="17">
        <v>3661</v>
      </c>
      <c r="Q10" s="17">
        <v>5667</v>
      </c>
      <c r="R10" s="17">
        <v>70092</v>
      </c>
      <c r="S10" s="17">
        <v>41847</v>
      </c>
      <c r="T10" s="17">
        <v>538812</v>
      </c>
      <c r="U10" s="17">
        <v>438746</v>
      </c>
      <c r="V10" s="17">
        <v>68361</v>
      </c>
      <c r="W10" s="17">
        <v>113224</v>
      </c>
      <c r="X10" s="17">
        <v>38121</v>
      </c>
      <c r="Y10" s="17">
        <v>5778</v>
      </c>
      <c r="Z10" s="17">
        <v>0</v>
      </c>
      <c r="AA10" s="17">
        <v>10555</v>
      </c>
      <c r="AB10" s="17">
        <v>0</v>
      </c>
      <c r="AC10" s="17">
        <v>14781</v>
      </c>
      <c r="AD10" s="17">
        <v>0</v>
      </c>
      <c r="AE10" s="17">
        <v>0</v>
      </c>
      <c r="AF10" s="17">
        <f t="shared" si="6"/>
        <v>3134032</v>
      </c>
      <c r="AG10" s="18">
        <f t="shared" si="7"/>
        <v>0.84012383369968491</v>
      </c>
      <c r="AH10" s="17">
        <f t="shared" si="8"/>
        <v>-596408.53065194609</v>
      </c>
      <c r="AI10" s="20">
        <f t="shared" si="9"/>
        <v>-3.413856918982805E-2</v>
      </c>
      <c r="AJ10" s="20">
        <f t="shared" si="10"/>
        <v>0.12075113730590367</v>
      </c>
      <c r="AK10" s="21">
        <f t="shared" si="11"/>
        <v>0.13599025670567444</v>
      </c>
      <c r="AL10" s="21">
        <f t="shared" si="12"/>
        <v>-0.14237336500763365</v>
      </c>
      <c r="AO10" s="38">
        <f t="shared" si="13"/>
        <v>46029</v>
      </c>
      <c r="AP10" s="17">
        <f>Tabla2[[#This Row],[Web + APP 2025]]+Tabla2[[#This Row],[Afiliados 2025]]+Tabla2[[#This Row],[TMK 2025]]+Tabla2[[#This Row],[WA 2025]]+Tabla2[[#This Row],[Ent. en Tienda 2025]]</f>
        <v>2599511</v>
      </c>
      <c r="AQ10" s="17">
        <f>Tabla2[[#This Row],[Meli Drop 2025]]+Tabla2[[#This Row],[Meli Full 2025]]+Tabla2[[#This Row],[Amazon Drop 2025]]+Tabla2[[#This Row],[Amazon Full 2025]]+Tabla2[[#This Row],[TikTok 2025]]+Tabla2[[#This Row],[Shein 2025]]</f>
        <v>645294</v>
      </c>
      <c r="AR10" s="17">
        <f>Tabla2[[#This Row],[Web + APP 2026]]+Tabla2[[#This Row],[Afiliados 2026]]+Tabla2[[#This Row],[TMK 2026]]+Tabla2[[#This Row],[WA 2026]]+Tabla2[[#This Row],[Ent. en Tienda 2026]]</f>
        <v>2550948</v>
      </c>
      <c r="AS10" s="17">
        <f>Tabla2[[#This Row],[Meli Drop 2026]]+Tabla2[[#This Row],[Meli Full 2026]]+Tabla2[[#This Row],[Amazon Drop 2026]]+Tabla2[[#This Row],[Amazon Full 2026]]+Tabla2[[#This Row],[TikTok 2026]]+Tabla2[[#This Row],[Shein 2026]]</f>
        <v>583084</v>
      </c>
      <c r="AT10" s="18">
        <f t="shared" si="14"/>
        <v>-1.8681590499136203E-2</v>
      </c>
      <c r="AU10" s="18">
        <f t="shared" si="14"/>
        <v>-9.6405669353813894E-2</v>
      </c>
      <c r="AV10" s="17">
        <f t="shared" si="15"/>
        <v>3282709.6617250899</v>
      </c>
      <c r="AW10" s="17">
        <f t="shared" si="15"/>
        <v>447730.86892685603</v>
      </c>
      <c r="AX10" s="39">
        <f t="shared" si="16"/>
        <v>0.77708608523711376</v>
      </c>
      <c r="AY10" s="39">
        <f t="shared" si="16"/>
        <v>1.3023091336042234</v>
      </c>
      <c r="AZ10" s="39">
        <f t="shared" si="17"/>
        <v>0.84012383369968491</v>
      </c>
      <c r="BA10" s="18">
        <v>2.00776174406662E-2</v>
      </c>
      <c r="BB10" s="20">
        <v>3.7415441649653498E-2</v>
      </c>
      <c r="BC10" s="17">
        <f t="shared" si="18"/>
        <v>-731761.66172508989</v>
      </c>
      <c r="BD10" s="17">
        <f t="shared" si="18"/>
        <v>135353.13107314397</v>
      </c>
      <c r="BE10" s="32"/>
      <c r="BF10" s="40"/>
    </row>
    <row r="11" spans="1:58" ht="14.25" customHeight="1" x14ac:dyDescent="0.35">
      <c r="A11" s="19">
        <v>45666</v>
      </c>
      <c r="B11" s="17">
        <v>28051817</v>
      </c>
      <c r="C11" s="17">
        <f t="shared" si="4"/>
        <v>2520450.3103448278</v>
      </c>
      <c r="D11" s="18">
        <f>+Tabla22[[#This Row],[Share diario]]</f>
        <v>3.7674228183253493E-2</v>
      </c>
      <c r="E11" s="17">
        <f>+Tabla22[[#This Row],[Global 2026]]</f>
        <v>26562197</v>
      </c>
      <c r="F11" s="19">
        <v>46030</v>
      </c>
      <c r="G11" s="17">
        <f t="shared" si="5"/>
        <v>4145459.9903342789</v>
      </c>
      <c r="H11" s="17">
        <v>3314567.1934480299</v>
      </c>
      <c r="I11" s="17">
        <v>830892.79688624898</v>
      </c>
      <c r="J11" s="17">
        <v>2184366</v>
      </c>
      <c r="K11" s="17">
        <v>2651325</v>
      </c>
      <c r="L11" s="17">
        <v>24654.310344827602</v>
      </c>
      <c r="M11" s="17">
        <f>16483+7384</f>
        <v>23867</v>
      </c>
      <c r="N11" s="17">
        <v>59780</v>
      </c>
      <c r="O11" s="17">
        <v>32696</v>
      </c>
      <c r="P11" s="17">
        <v>2734</v>
      </c>
      <c r="Q11" s="17">
        <v>1757</v>
      </c>
      <c r="R11" s="17">
        <v>31913</v>
      </c>
      <c r="S11" s="17">
        <v>21864</v>
      </c>
      <c r="T11" s="17">
        <v>73729</v>
      </c>
      <c r="U11" s="17">
        <v>443664</v>
      </c>
      <c r="V11" s="17">
        <v>68117</v>
      </c>
      <c r="W11" s="17">
        <v>108455</v>
      </c>
      <c r="X11" s="17">
        <v>75157</v>
      </c>
      <c r="Y11" s="17">
        <v>25645</v>
      </c>
      <c r="Z11" s="17">
        <v>0</v>
      </c>
      <c r="AA11" s="17">
        <v>3530</v>
      </c>
      <c r="AB11" s="17">
        <v>0</v>
      </c>
      <c r="AC11" s="17">
        <v>21246</v>
      </c>
      <c r="AD11" s="17">
        <v>0</v>
      </c>
      <c r="AE11" s="17">
        <v>947</v>
      </c>
      <c r="AF11" s="17">
        <f t="shared" si="6"/>
        <v>3334996</v>
      </c>
      <c r="AG11" s="18">
        <f t="shared" si="7"/>
        <v>0.80449359245439844</v>
      </c>
      <c r="AH11" s="17">
        <f t="shared" si="8"/>
        <v>-810463.9903342789</v>
      </c>
      <c r="AI11" s="20">
        <f t="shared" si="9"/>
        <v>0.32317466696803576</v>
      </c>
      <c r="AJ11" s="20">
        <f t="shared" si="10"/>
        <v>8.9849805819880682E-2</v>
      </c>
      <c r="AK11" s="21">
        <f t="shared" si="11"/>
        <v>0.12555422279264022</v>
      </c>
      <c r="AL11" s="21">
        <f t="shared" si="12"/>
        <v>-5.3102442526272053E-2</v>
      </c>
      <c r="AO11" s="38">
        <f t="shared" si="13"/>
        <v>46030</v>
      </c>
      <c r="AP11" s="17">
        <f>Tabla2[[#This Row],[Web + APP 2025]]+Tabla2[[#This Row],[Afiliados 2025]]+Tabla2[[#This Row],[TMK 2025]]+Tabla2[[#This Row],[WA 2025]]+Tabla2[[#This Row],[Ent. en Tienda 2025]]</f>
        <v>2303447.3103448278</v>
      </c>
      <c r="AQ11" s="17">
        <f>Tabla2[[#This Row],[Meli Drop 2025]]+Tabla2[[#This Row],[Meli Full 2025]]+Tabla2[[#This Row],[Amazon Drop 2025]]+Tabla2[[#This Row],[Amazon Full 2025]]+Tabla2[[#This Row],[TikTok 2025]]+Tabla2[[#This Row],[Shein 2025]]</f>
        <v>217003</v>
      </c>
      <c r="AR11" s="17">
        <f>Tabla2[[#This Row],[Web + APP 2026]]+Tabla2[[#This Row],[Afiliados 2026]]+Tabla2[[#This Row],[TMK 2026]]+Tabla2[[#This Row],[WA 2026]]+Tabla2[[#This Row],[Ent. en Tienda 2026]]</f>
        <v>2731509</v>
      </c>
      <c r="AS11" s="17">
        <f>Tabla2[[#This Row],[Meli Drop 2026]]+Tabla2[[#This Row],[Meli Full 2026]]+Tabla2[[#This Row],[Amazon Drop 2026]]+Tabla2[[#This Row],[Amazon Full 2026]]+Tabla2[[#This Row],[TikTok 2026]]+Tabla2[[#This Row],[Shein 2026]]</f>
        <v>603487</v>
      </c>
      <c r="AT11" s="18">
        <f t="shared" si="14"/>
        <v>0.18583524256567041</v>
      </c>
      <c r="AU11" s="18">
        <f t="shared" si="14"/>
        <v>1.7810076358391358</v>
      </c>
      <c r="AV11" s="17">
        <f t="shared" si="15"/>
        <v>3314567.1934480299</v>
      </c>
      <c r="AW11" s="17">
        <f t="shared" si="15"/>
        <v>830892.79688624898</v>
      </c>
      <c r="AX11" s="39">
        <f t="shared" si="16"/>
        <v>0.82409220890118851</v>
      </c>
      <c r="AY11" s="39">
        <f t="shared" si="16"/>
        <v>0.72631150764762098</v>
      </c>
      <c r="AZ11" s="39">
        <f t="shared" si="17"/>
        <v>0.80449359245439844</v>
      </c>
      <c r="BA11" s="18">
        <v>3.7259766676513401E-2</v>
      </c>
      <c r="BB11" s="20">
        <v>3.77785452263052E-2</v>
      </c>
      <c r="BC11" s="17">
        <f t="shared" si="18"/>
        <v>-583058.19344802992</v>
      </c>
      <c r="BD11" s="17">
        <f t="shared" si="18"/>
        <v>-227405.79688624898</v>
      </c>
      <c r="BE11" s="32"/>
      <c r="BF11" s="40"/>
    </row>
    <row r="12" spans="1:58" ht="14.25" customHeight="1" x14ac:dyDescent="0.35">
      <c r="A12" s="16">
        <v>45667</v>
      </c>
      <c r="B12" s="17">
        <v>28699623</v>
      </c>
      <c r="C12" s="17">
        <f t="shared" si="4"/>
        <v>2278857.5862068962</v>
      </c>
      <c r="D12" s="18">
        <f>+Tabla22[[#This Row],[Share diario]]</f>
        <v>2.9264014360333865E-2</v>
      </c>
      <c r="E12" s="17">
        <f>+Tabla22[[#This Row],[Global 2026]]</f>
        <v>26952477</v>
      </c>
      <c r="F12" s="19">
        <v>46031</v>
      </c>
      <c r="G12" s="17">
        <f t="shared" si="5"/>
        <v>3216481.4532837071</v>
      </c>
      <c r="H12" s="17">
        <v>2937064.2735133902</v>
      </c>
      <c r="I12" s="17">
        <v>279417.17977031699</v>
      </c>
      <c r="J12" s="17">
        <v>2007643</v>
      </c>
      <c r="K12" s="17">
        <v>1967914</v>
      </c>
      <c r="L12" s="17">
        <v>26027.5862068965</v>
      </c>
      <c r="M12" s="17">
        <f>14542+13435</f>
        <v>27977</v>
      </c>
      <c r="N12" s="17">
        <v>69118</v>
      </c>
      <c r="O12" s="17">
        <v>732</v>
      </c>
      <c r="P12" s="17">
        <v>2178</v>
      </c>
      <c r="Q12" s="17">
        <v>3382</v>
      </c>
      <c r="R12" s="17">
        <v>45932</v>
      </c>
      <c r="S12" s="17">
        <v>81797</v>
      </c>
      <c r="T12" s="17">
        <v>27229</v>
      </c>
      <c r="U12" s="17">
        <v>357183</v>
      </c>
      <c r="V12" s="17">
        <v>63746</v>
      </c>
      <c r="W12" s="17">
        <v>88348</v>
      </c>
      <c r="X12" s="17">
        <v>36984</v>
      </c>
      <c r="Y12" s="17">
        <v>22372</v>
      </c>
      <c r="Z12" s="17">
        <v>0</v>
      </c>
      <c r="AA12" s="17">
        <v>11805</v>
      </c>
      <c r="AB12" s="17">
        <v>0</v>
      </c>
      <c r="AC12" s="17">
        <v>15175</v>
      </c>
      <c r="AD12" s="17">
        <v>0</v>
      </c>
      <c r="AE12" s="17">
        <v>689</v>
      </c>
      <c r="AF12" s="17">
        <f t="shared" si="6"/>
        <v>2577374</v>
      </c>
      <c r="AG12" s="18">
        <f t="shared" si="7"/>
        <v>0.80130230422089266</v>
      </c>
      <c r="AH12" s="17">
        <f t="shared" si="8"/>
        <v>-639107.45328370715</v>
      </c>
      <c r="AI12" s="20">
        <f t="shared" si="9"/>
        <v>0.13099388728805006</v>
      </c>
      <c r="AJ12" s="20">
        <f t="shared" si="10"/>
        <v>7.940374639091588E-2</v>
      </c>
      <c r="AK12" s="21">
        <f t="shared" si="11"/>
        <v>9.5626609754643335E-2</v>
      </c>
      <c r="AL12" s="21">
        <f t="shared" si="12"/>
        <v>-6.0876966920436537E-2</v>
      </c>
      <c r="AO12" s="38">
        <f t="shared" si="13"/>
        <v>46031</v>
      </c>
      <c r="AP12" s="17">
        <f>Tabla2[[#This Row],[Web + APP 2025]]+Tabla2[[#This Row],[Afiliados 2025]]+Tabla2[[#This Row],[TMK 2025]]+Tabla2[[#This Row],[WA 2025]]+Tabla2[[#This Row],[Ent. en Tienda 2025]]</f>
        <v>2150898.5862068962</v>
      </c>
      <c r="AQ12" s="17">
        <f>Tabla2[[#This Row],[Meli Drop 2025]]+Tabla2[[#This Row],[Meli Full 2025]]+Tabla2[[#This Row],[Amazon Drop 2025]]+Tabla2[[#This Row],[Amazon Full 2025]]+Tabla2[[#This Row],[TikTok 2025]]+Tabla2[[#This Row],[Shein 2025]]</f>
        <v>127959</v>
      </c>
      <c r="AR12" s="17">
        <f>Tabla2[[#This Row],[Web + APP 2026]]+Tabla2[[#This Row],[Afiliados 2026]]+Tabla2[[#This Row],[TMK 2026]]+Tabla2[[#This Row],[WA 2026]]+Tabla2[[#This Row],[Ent. en Tienda 2026]]</f>
        <v>2081802</v>
      </c>
      <c r="AS12" s="17">
        <f>Tabla2[[#This Row],[Meli Drop 2026]]+Tabla2[[#This Row],[Meli Full 2026]]+Tabla2[[#This Row],[Amazon Drop 2026]]+Tabla2[[#This Row],[Amazon Full 2026]]+Tabla2[[#This Row],[TikTok 2026]]+Tabla2[[#This Row],[Shein 2026]]</f>
        <v>495572</v>
      </c>
      <c r="AT12" s="18">
        <f t="shared" si="14"/>
        <v>-3.2124520723567862E-2</v>
      </c>
      <c r="AU12" s="18">
        <f t="shared" si="14"/>
        <v>2.8728967872521669</v>
      </c>
      <c r="AV12" s="17">
        <f t="shared" si="15"/>
        <v>2937064.2735133902</v>
      </c>
      <c r="AW12" s="17">
        <f t="shared" si="15"/>
        <v>279417.17977031699</v>
      </c>
      <c r="AX12" s="39">
        <f t="shared" si="16"/>
        <v>0.70880369175908298</v>
      </c>
      <c r="AY12" s="39">
        <f t="shared" si="16"/>
        <v>1.7735917326463744</v>
      </c>
      <c r="AZ12" s="39">
        <f t="shared" si="17"/>
        <v>0.80130230422089266</v>
      </c>
      <c r="BA12" s="18">
        <v>1.25299183753505E-2</v>
      </c>
      <c r="BB12" s="20">
        <v>3.3475868496141398E-2</v>
      </c>
      <c r="BC12" s="17">
        <f t="shared" si="18"/>
        <v>-855262.27351339022</v>
      </c>
      <c r="BD12" s="17">
        <f t="shared" si="18"/>
        <v>216154.82022968301</v>
      </c>
      <c r="BE12" s="32"/>
      <c r="BF12" s="40"/>
    </row>
    <row r="13" spans="1:58" ht="14.25" customHeight="1" x14ac:dyDescent="0.35">
      <c r="A13" s="19">
        <v>45668</v>
      </c>
      <c r="B13" s="17">
        <v>40105570</v>
      </c>
      <c r="C13" s="17">
        <f t="shared" si="4"/>
        <v>2287848.7931034481</v>
      </c>
      <c r="D13" s="18">
        <f>+Tabla22[[#This Row],[Share diario]]</f>
        <v>2.645897078557783E-2</v>
      </c>
      <c r="E13" s="17">
        <f>+Tabla22[[#This Row],[Global 2026]]</f>
        <v>35436338</v>
      </c>
      <c r="F13" s="19">
        <v>46032</v>
      </c>
      <c r="G13" s="17">
        <f t="shared" si="5"/>
        <v>2907315.8971540579</v>
      </c>
      <c r="H13" s="17">
        <v>2742553.4611221598</v>
      </c>
      <c r="I13" s="17">
        <v>164762.43603189799</v>
      </c>
      <c r="J13" s="17">
        <v>1623013</v>
      </c>
      <c r="K13" s="17">
        <v>1571666</v>
      </c>
      <c r="L13" s="17">
        <v>27638.793103448301</v>
      </c>
      <c r="M13" s="17">
        <f>14575+13419</f>
        <v>27994</v>
      </c>
      <c r="N13" s="17">
        <v>37575</v>
      </c>
      <c r="O13" s="17">
        <v>71315</v>
      </c>
      <c r="P13" s="17">
        <v>943</v>
      </c>
      <c r="Q13" s="17">
        <v>-96</v>
      </c>
      <c r="R13" s="17">
        <v>46764</v>
      </c>
      <c r="S13" s="17">
        <v>34126</v>
      </c>
      <c r="T13" s="17">
        <v>466722</v>
      </c>
      <c r="U13" s="17">
        <v>488987</v>
      </c>
      <c r="V13" s="17">
        <v>44669</v>
      </c>
      <c r="W13" s="17">
        <v>120073</v>
      </c>
      <c r="X13" s="17">
        <v>40524</v>
      </c>
      <c r="Y13" s="17">
        <v>23228</v>
      </c>
      <c r="Z13" s="17">
        <v>0</v>
      </c>
      <c r="AA13" s="17">
        <v>6392</v>
      </c>
      <c r="AB13" s="17">
        <v>0</v>
      </c>
      <c r="AC13" s="17">
        <v>-1487</v>
      </c>
      <c r="AD13" s="17">
        <v>0</v>
      </c>
      <c r="AE13" s="17">
        <v>689</v>
      </c>
      <c r="AF13" s="17">
        <f t="shared" si="6"/>
        <v>2342887</v>
      </c>
      <c r="AG13" s="18">
        <f t="shared" si="7"/>
        <v>0.80585910952897422</v>
      </c>
      <c r="AH13" s="17">
        <f t="shared" si="8"/>
        <v>-564428.89715405786</v>
      </c>
      <c r="AI13" s="20">
        <f t="shared" si="9"/>
        <v>2.4056750193658161E-2</v>
      </c>
      <c r="AJ13" s="20">
        <f t="shared" si="10"/>
        <v>5.7045662063983836E-2</v>
      </c>
      <c r="AK13" s="21">
        <f t="shared" si="11"/>
        <v>6.6115381335396448E-2</v>
      </c>
      <c r="AL13" s="21">
        <f t="shared" si="12"/>
        <v>-0.11642352920055743</v>
      </c>
      <c r="AO13" s="38">
        <f t="shared" si="13"/>
        <v>46032</v>
      </c>
      <c r="AP13" s="17">
        <f>Tabla2[[#This Row],[Web + APP 2025]]+Tabla2[[#This Row],[Afiliados 2025]]+Tabla2[[#This Row],[TMK 2025]]+Tabla2[[#This Row],[WA 2025]]+Tabla2[[#This Row],[Ent. en Tienda 2025]]</f>
        <v>1735933.7931034483</v>
      </c>
      <c r="AQ13" s="17">
        <f>Tabla2[[#This Row],[Meli Drop 2025]]+Tabla2[[#This Row],[Meli Full 2025]]+Tabla2[[#This Row],[Amazon Drop 2025]]+Tabla2[[#This Row],[Amazon Full 2025]]+Tabla2[[#This Row],[TikTok 2025]]+Tabla2[[#This Row],[Shein 2025]]</f>
        <v>551915</v>
      </c>
      <c r="AR13" s="17">
        <f>Tabla2[[#This Row],[Web + APP 2026]]+Tabla2[[#This Row],[Afiliados 2026]]+Tabla2[[#This Row],[TMK 2026]]+Tabla2[[#This Row],[WA 2026]]+Tabla2[[#This Row],[Ent. en Tienda 2026]]</f>
        <v>1705005</v>
      </c>
      <c r="AS13" s="17">
        <f>Tabla2[[#This Row],[Meli Drop 2026]]+Tabla2[[#This Row],[Meli Full 2026]]+Tabla2[[#This Row],[Amazon Drop 2026]]+Tabla2[[#This Row],[Amazon Full 2026]]+Tabla2[[#This Row],[TikTok 2026]]+Tabla2[[#This Row],[Shein 2026]]</f>
        <v>637882</v>
      </c>
      <c r="AT13" s="18">
        <f t="shared" si="14"/>
        <v>-1.7816804549990795E-2</v>
      </c>
      <c r="AU13" s="18">
        <f t="shared" si="14"/>
        <v>0.15576130382395847</v>
      </c>
      <c r="AV13" s="17">
        <f t="shared" si="15"/>
        <v>2742553.4611221598</v>
      </c>
      <c r="AW13" s="17">
        <f t="shared" si="15"/>
        <v>164762.43603189799</v>
      </c>
      <c r="AX13" s="39">
        <f t="shared" si="16"/>
        <v>0.62168523756046301</v>
      </c>
      <c r="AY13" s="39">
        <f t="shared" si="16"/>
        <v>3.8715256666665581</v>
      </c>
      <c r="AZ13" s="39">
        <f t="shared" si="17"/>
        <v>0.80585910952897422</v>
      </c>
      <c r="BA13" s="18">
        <v>7.3884500462734499E-3</v>
      </c>
      <c r="BB13" s="20">
        <v>3.12588865814429E-2</v>
      </c>
      <c r="BC13" s="17">
        <f t="shared" si="18"/>
        <v>-1037548.4611221598</v>
      </c>
      <c r="BD13" s="17">
        <f t="shared" si="18"/>
        <v>473119.56396810198</v>
      </c>
      <c r="BE13" s="32"/>
      <c r="BF13" s="40"/>
    </row>
    <row r="14" spans="1:58" ht="14.25" customHeight="1" x14ac:dyDescent="0.35">
      <c r="A14" s="16">
        <v>45669</v>
      </c>
      <c r="B14" s="17">
        <v>41530429</v>
      </c>
      <c r="C14" s="17">
        <f t="shared" si="4"/>
        <v>2885246.068965517</v>
      </c>
      <c r="D14" s="18">
        <f>+Tabla22[[#This Row],[Share diario]]</f>
        <v>2.656336435630505E-2</v>
      </c>
      <c r="E14" s="17">
        <f>+Tabla22[[#This Row],[Global 2026]]</f>
        <v>37766104</v>
      </c>
      <c r="F14" s="19">
        <v>46033</v>
      </c>
      <c r="G14" s="17">
        <f t="shared" si="5"/>
        <v>2924099.1380594317</v>
      </c>
      <c r="H14" s="17">
        <v>2213442.91315501</v>
      </c>
      <c r="I14" s="17">
        <v>710656.22490442195</v>
      </c>
      <c r="J14" s="17">
        <v>2046304</v>
      </c>
      <c r="K14" s="17">
        <v>1877762</v>
      </c>
      <c r="L14" s="17">
        <v>27737.068965517199</v>
      </c>
      <c r="M14" s="17">
        <f>16709+13239</f>
        <v>29948</v>
      </c>
      <c r="N14" s="17">
        <v>14675</v>
      </c>
      <c r="O14" s="17">
        <v>-1145</v>
      </c>
      <c r="P14" s="17">
        <v>-1465</v>
      </c>
      <c r="Q14" s="17">
        <v>2935</v>
      </c>
      <c r="R14" s="17">
        <v>85731</v>
      </c>
      <c r="S14" s="17">
        <v>32600</v>
      </c>
      <c r="T14" s="17">
        <v>581035</v>
      </c>
      <c r="U14" s="17">
        <v>182133</v>
      </c>
      <c r="V14" s="17">
        <v>51721</v>
      </c>
      <c r="W14" s="17">
        <v>111049</v>
      </c>
      <c r="X14" s="17">
        <v>79508</v>
      </c>
      <c r="Y14" s="17">
        <v>31695</v>
      </c>
      <c r="Z14" s="17">
        <v>0</v>
      </c>
      <c r="AA14" s="17">
        <v>9041</v>
      </c>
      <c r="AB14" s="17">
        <v>0</v>
      </c>
      <c r="AC14" s="17">
        <v>1612</v>
      </c>
      <c r="AD14" s="17">
        <v>0</v>
      </c>
      <c r="AE14" s="17">
        <v>947</v>
      </c>
      <c r="AF14" s="17">
        <f t="shared" si="6"/>
        <v>2278577</v>
      </c>
      <c r="AG14" s="18">
        <f t="shared" si="7"/>
        <v>0.77924067975074529</v>
      </c>
      <c r="AH14" s="17">
        <f t="shared" si="8"/>
        <v>-645522.13805943169</v>
      </c>
      <c r="AI14" s="20">
        <f t="shared" si="9"/>
        <v>-0.21026597193598584</v>
      </c>
      <c r="AJ14" s="20">
        <f t="shared" si="10"/>
        <v>6.94730620038988E-2</v>
      </c>
      <c r="AK14" s="21">
        <f t="shared" si="11"/>
        <v>6.0333917419705244E-2</v>
      </c>
      <c r="AL14" s="21">
        <f t="shared" si="12"/>
        <v>-9.0640166515014831E-2</v>
      </c>
      <c r="AO14" s="38">
        <f t="shared" si="13"/>
        <v>46033</v>
      </c>
      <c r="AP14" s="17">
        <f>Tabla2[[#This Row],[Web + APP 2025]]+Tabla2[[#This Row],[Afiliados 2025]]+Tabla2[[#This Row],[TMK 2025]]+Tabla2[[#This Row],[WA 2025]]+Tabla2[[#This Row],[Ent. en Tienda 2025]]</f>
        <v>2172982.068965517</v>
      </c>
      <c r="AQ14" s="17">
        <f>Tabla2[[#This Row],[Meli Drop 2025]]+Tabla2[[#This Row],[Meli Full 2025]]+Tabla2[[#This Row],[Amazon Drop 2025]]+Tabla2[[#This Row],[Amazon Full 2025]]+Tabla2[[#This Row],[TikTok 2025]]+Tabla2[[#This Row],[Shein 2025]]</f>
        <v>712264</v>
      </c>
      <c r="AR14" s="17">
        <f>Tabla2[[#This Row],[Web + APP 2026]]+Tabla2[[#This Row],[Afiliados 2026]]+Tabla2[[#This Row],[TMK 2026]]+Tabla2[[#This Row],[WA 2026]]+Tabla2[[#This Row],[Ent. en Tienda 2026]]</f>
        <v>1942100</v>
      </c>
      <c r="AS14" s="17">
        <f>Tabla2[[#This Row],[Meli Drop 2026]]+Tabla2[[#This Row],[Meli Full 2026]]+Tabla2[[#This Row],[Amazon Drop 2026]]+Tabla2[[#This Row],[Amazon Full 2026]]+Tabla2[[#This Row],[TikTok 2026]]+Tabla2[[#This Row],[Shein 2026]]</f>
        <v>336477</v>
      </c>
      <c r="AT14" s="18">
        <f t="shared" si="14"/>
        <v>-0.10625125364031751</v>
      </c>
      <c r="AU14" s="18">
        <f t="shared" si="14"/>
        <v>-0.52759510518571773</v>
      </c>
      <c r="AV14" s="17">
        <f t="shared" si="15"/>
        <v>2213442.91315501</v>
      </c>
      <c r="AW14" s="17">
        <f t="shared" si="15"/>
        <v>710656.22490442195</v>
      </c>
      <c r="AX14" s="39">
        <f t="shared" si="16"/>
        <v>0.87741137955609538</v>
      </c>
      <c r="AY14" s="39">
        <f t="shared" si="16"/>
        <v>0.47347365464258573</v>
      </c>
      <c r="AZ14" s="39">
        <f t="shared" si="17"/>
        <v>0.77924067975074529</v>
      </c>
      <c r="BA14" s="18">
        <v>3.1867992148180403E-2</v>
      </c>
      <c r="BB14" s="20">
        <v>2.5228226890607601E-2</v>
      </c>
      <c r="BC14" s="17">
        <f t="shared" si="18"/>
        <v>-271342.91315500997</v>
      </c>
      <c r="BD14" s="17">
        <f t="shared" si="18"/>
        <v>-374179.22490442195</v>
      </c>
      <c r="BE14" s="32"/>
      <c r="BF14" s="40"/>
    </row>
    <row r="15" spans="1:58" ht="14.25" customHeight="1" x14ac:dyDescent="0.35">
      <c r="A15" s="19">
        <v>45670</v>
      </c>
      <c r="B15" s="17">
        <v>25137619</v>
      </c>
      <c r="C15" s="17">
        <f t="shared" si="4"/>
        <v>4228309.2413793104</v>
      </c>
      <c r="D15" s="18">
        <f>+Tabla22[[#This Row],[Share diario]]</f>
        <v>3.3499522703842613E-2</v>
      </c>
      <c r="E15" s="17">
        <f>+Tabla22[[#This Row],[Global 2026]]</f>
        <v>22002628</v>
      </c>
      <c r="F15" s="19">
        <v>46034</v>
      </c>
      <c r="G15" s="17">
        <f t="shared" si="5"/>
        <v>3687836.1608523969</v>
      </c>
      <c r="H15" s="17">
        <v>2770711.5214145798</v>
      </c>
      <c r="I15" s="17">
        <v>917124.63943781704</v>
      </c>
      <c r="J15" s="17">
        <v>2797894</v>
      </c>
      <c r="K15" s="17">
        <v>2815225</v>
      </c>
      <c r="L15" s="17">
        <v>21892.241379310301</v>
      </c>
      <c r="M15" s="17">
        <f>15551+12840</f>
        <v>28391</v>
      </c>
      <c r="N15" s="17">
        <v>62339</v>
      </c>
      <c r="O15" s="17">
        <v>25098</v>
      </c>
      <c r="P15" s="17">
        <v>7660</v>
      </c>
      <c r="Q15" s="17">
        <v>689</v>
      </c>
      <c r="R15" s="17">
        <v>57950</v>
      </c>
      <c r="S15" s="17">
        <v>78900</v>
      </c>
      <c r="T15" s="17">
        <v>1124689</v>
      </c>
      <c r="U15" s="17">
        <v>1028542</v>
      </c>
      <c r="V15" s="17">
        <v>34111</v>
      </c>
      <c r="W15" s="17">
        <v>130772</v>
      </c>
      <c r="X15" s="17">
        <v>121774</v>
      </c>
      <c r="Y15" s="17">
        <v>38266</v>
      </c>
      <c r="Z15" s="17">
        <v>0</v>
      </c>
      <c r="AA15" s="17">
        <v>9160</v>
      </c>
      <c r="AB15" s="17">
        <v>0</v>
      </c>
      <c r="AC15" s="17">
        <v>15529</v>
      </c>
      <c r="AD15" s="17">
        <v>0</v>
      </c>
      <c r="AE15" s="17">
        <v>0</v>
      </c>
      <c r="AF15" s="17">
        <f t="shared" si="6"/>
        <v>4170572</v>
      </c>
      <c r="AG15" s="18">
        <f t="shared" si="7"/>
        <v>1.1308994809129549</v>
      </c>
      <c r="AH15" s="17">
        <f t="shared" si="8"/>
        <v>482735.83914760314</v>
      </c>
      <c r="AI15" s="20">
        <f t="shared" si="9"/>
        <v>-1.3654924009407599E-2</v>
      </c>
      <c r="AJ15" s="20">
        <f t="shared" si="10"/>
        <v>0.16820643360770607</v>
      </c>
      <c r="AK15" s="21">
        <f t="shared" si="11"/>
        <v>0.18954881207826629</v>
      </c>
      <c r="AL15" s="21">
        <f t="shared" si="12"/>
        <v>-0.124713124182525</v>
      </c>
      <c r="AO15" s="38">
        <f t="shared" si="13"/>
        <v>46034</v>
      </c>
      <c r="AP15" s="17">
        <f>Tabla2[[#This Row],[Web + APP 2025]]+Tabla2[[#This Row],[Afiliados 2025]]+Tabla2[[#This Row],[TMK 2025]]+Tabla2[[#This Row],[WA 2025]]+Tabla2[[#This Row],[Ent. en Tienda 2025]]</f>
        <v>2947735.2413793104</v>
      </c>
      <c r="AQ15" s="17">
        <f>Tabla2[[#This Row],[Meli Drop 2025]]+Tabla2[[#This Row],[Meli Full 2025]]+Tabla2[[#This Row],[Amazon Drop 2025]]+Tabla2[[#This Row],[Amazon Full 2025]]+Tabla2[[#This Row],[TikTok 2025]]+Tabla2[[#This Row],[Shein 2025]]</f>
        <v>1280574</v>
      </c>
      <c r="AR15" s="17">
        <f>Tabla2[[#This Row],[Web + APP 2026]]+Tabla2[[#This Row],[Afiliados 2026]]+Tabla2[[#This Row],[TMK 2026]]+Tabla2[[#This Row],[WA 2026]]+Tabla2[[#This Row],[Ent. en Tienda 2026]]</f>
        <v>2948303</v>
      </c>
      <c r="AS15" s="17">
        <f>Tabla2[[#This Row],[Meli Drop 2026]]+Tabla2[[#This Row],[Meli Full 2026]]+Tabla2[[#This Row],[Amazon Drop 2026]]+Tabla2[[#This Row],[Amazon Full 2026]]+Tabla2[[#This Row],[TikTok 2026]]+Tabla2[[#This Row],[Shein 2026]]</f>
        <v>1222269</v>
      </c>
      <c r="AT15" s="18">
        <f t="shared" si="14"/>
        <v>1.9260841771662207E-4</v>
      </c>
      <c r="AU15" s="18">
        <f t="shared" si="14"/>
        <v>-4.5530363727515955E-2</v>
      </c>
      <c r="AV15" s="17">
        <f t="shared" si="15"/>
        <v>2770711.5214145798</v>
      </c>
      <c r="AW15" s="17">
        <f t="shared" si="15"/>
        <v>917124.63943781704</v>
      </c>
      <c r="AX15" s="39">
        <f t="shared" si="16"/>
        <v>1.0640959830039438</v>
      </c>
      <c r="AY15" s="39">
        <f t="shared" si="16"/>
        <v>1.3327185285843282</v>
      </c>
      <c r="AZ15" s="39">
        <f t="shared" si="17"/>
        <v>1.1308994809129549</v>
      </c>
      <c r="BA15" s="18">
        <v>4.1126665445642002E-2</v>
      </c>
      <c r="BB15" s="20">
        <v>3.1579824577916402E-2</v>
      </c>
      <c r="BC15" s="17">
        <f t="shared" si="18"/>
        <v>177591.47858542018</v>
      </c>
      <c r="BD15" s="17">
        <f t="shared" si="18"/>
        <v>305144.36056218296</v>
      </c>
      <c r="BE15" s="32"/>
      <c r="BF15" s="40"/>
    </row>
    <row r="16" spans="1:58" ht="14.25" customHeight="1" x14ac:dyDescent="0.35">
      <c r="A16" s="16">
        <v>45671</v>
      </c>
      <c r="B16" s="17">
        <v>26929672</v>
      </c>
      <c r="C16" s="17">
        <f t="shared" si="4"/>
        <v>4051721.7586206896</v>
      </c>
      <c r="D16" s="18">
        <f>+Tabla22[[#This Row],[Share diario]]</f>
        <v>4.9093331398676845E-2</v>
      </c>
      <c r="E16" s="17">
        <f>+Tabla22[[#This Row],[Global 2026]]</f>
        <v>24135120</v>
      </c>
      <c r="F16" s="19">
        <v>46035</v>
      </c>
      <c r="G16" s="17">
        <f t="shared" si="5"/>
        <v>5407470.0200807396</v>
      </c>
      <c r="H16" s="17">
        <v>3758578.6426933599</v>
      </c>
      <c r="I16" s="17">
        <v>1648891.37738738</v>
      </c>
      <c r="J16" s="17">
        <v>3014987</v>
      </c>
      <c r="K16" s="17">
        <v>3308864</v>
      </c>
      <c r="L16" s="17">
        <v>25132.758620689601</v>
      </c>
      <c r="M16" s="17">
        <f>16835+12441</f>
        <v>29276</v>
      </c>
      <c r="N16" s="17">
        <v>88823</v>
      </c>
      <c r="O16" s="17">
        <v>24647</v>
      </c>
      <c r="P16" s="17">
        <v>264</v>
      </c>
      <c r="Q16" s="17">
        <v>3108</v>
      </c>
      <c r="R16" s="17">
        <v>76057</v>
      </c>
      <c r="S16" s="17">
        <v>43565</v>
      </c>
      <c r="T16" s="17">
        <v>657218</v>
      </c>
      <c r="U16" s="17">
        <v>536006</v>
      </c>
      <c r="V16" s="17">
        <v>100302</v>
      </c>
      <c r="W16" s="17">
        <v>110255</v>
      </c>
      <c r="X16" s="17">
        <v>88938</v>
      </c>
      <c r="Y16" s="17">
        <v>39605</v>
      </c>
      <c r="Z16" s="17">
        <v>0</v>
      </c>
      <c r="AA16" s="17">
        <v>8501</v>
      </c>
      <c r="AB16" s="17">
        <v>0</v>
      </c>
      <c r="AC16" s="17">
        <v>11906</v>
      </c>
      <c r="AD16" s="17">
        <v>0</v>
      </c>
      <c r="AE16" s="17">
        <v>0</v>
      </c>
      <c r="AF16" s="17">
        <f t="shared" si="6"/>
        <v>4115733</v>
      </c>
      <c r="AG16" s="18">
        <f t="shared" si="7"/>
        <v>0.76111989242957423</v>
      </c>
      <c r="AH16" s="17">
        <f t="shared" si="8"/>
        <v>-1291737.0200807396</v>
      </c>
      <c r="AI16" s="20">
        <f t="shared" si="9"/>
        <v>1.5798528426369973E-2</v>
      </c>
      <c r="AJ16" s="20">
        <f t="shared" si="10"/>
        <v>0.15045566684290435</v>
      </c>
      <c r="AK16" s="21">
        <f t="shared" si="11"/>
        <v>0.17052879786800315</v>
      </c>
      <c r="AL16" s="21">
        <f t="shared" si="12"/>
        <v>-0.10377222566988564</v>
      </c>
      <c r="AO16" s="38">
        <f t="shared" si="13"/>
        <v>46035</v>
      </c>
      <c r="AP16" s="17">
        <f>Tabla2[[#This Row],[Web + APP 2025]]+Tabla2[[#This Row],[Afiliados 2025]]+Tabla2[[#This Row],[TMK 2025]]+Tabla2[[#This Row],[WA 2025]]+Tabla2[[#This Row],[Ent. en Tienda 2025]]</f>
        <v>3205263.7586206896</v>
      </c>
      <c r="AQ16" s="17">
        <f>Tabla2[[#This Row],[Meli Drop 2025]]+Tabla2[[#This Row],[Meli Full 2025]]+Tabla2[[#This Row],[Amazon Drop 2025]]+Tabla2[[#This Row],[Amazon Full 2025]]+Tabla2[[#This Row],[TikTok 2025]]+Tabla2[[#This Row],[Shein 2025]]</f>
        <v>846458</v>
      </c>
      <c r="AR16" s="17">
        <f>Tabla2[[#This Row],[Web + APP 2026]]+Tabla2[[#This Row],[Afiliados 2026]]+Tabla2[[#This Row],[TMK 2026]]+Tabla2[[#This Row],[WA 2026]]+Tabla2[[#This Row],[Ent. en Tienda 2026]]</f>
        <v>3409460</v>
      </c>
      <c r="AS16" s="17">
        <f>Tabla2[[#This Row],[Meli Drop 2026]]+Tabla2[[#This Row],[Meli Full 2026]]+Tabla2[[#This Row],[Amazon Drop 2026]]+Tabla2[[#This Row],[Amazon Full 2026]]+Tabla2[[#This Row],[TikTok 2026]]+Tabla2[[#This Row],[Shein 2026]]</f>
        <v>706273</v>
      </c>
      <c r="AT16" s="18">
        <f t="shared" si="14"/>
        <v>6.370653298971618E-2</v>
      </c>
      <c r="AU16" s="18">
        <f t="shared" si="14"/>
        <v>-0.16561365123845484</v>
      </c>
      <c r="AV16" s="17">
        <f t="shared" si="15"/>
        <v>3758578.6426933599</v>
      </c>
      <c r="AW16" s="17">
        <f t="shared" si="15"/>
        <v>1648891.37738738</v>
      </c>
      <c r="AX16" s="39">
        <f t="shared" si="16"/>
        <v>0.90711418440796943</v>
      </c>
      <c r="AY16" s="39">
        <f t="shared" si="16"/>
        <v>0.42833203550319299</v>
      </c>
      <c r="AZ16" s="39">
        <f t="shared" si="17"/>
        <v>0.76111989242957423</v>
      </c>
      <c r="BA16" s="18">
        <v>7.3941317371631302E-2</v>
      </c>
      <c r="BB16" s="20">
        <v>4.2839268282235402E-2</v>
      </c>
      <c r="BC16" s="17">
        <f t="shared" si="18"/>
        <v>-349118.64269335987</v>
      </c>
      <c r="BD16" s="17">
        <f t="shared" si="18"/>
        <v>-942618.37738737999</v>
      </c>
      <c r="BE16" s="32"/>
      <c r="BF16" s="40"/>
    </row>
    <row r="17" spans="1:58" ht="14.25" customHeight="1" x14ac:dyDescent="0.35">
      <c r="A17" s="19">
        <v>45672</v>
      </c>
      <c r="B17" s="17">
        <v>30377124</v>
      </c>
      <c r="C17" s="17">
        <f t="shared" si="4"/>
        <v>4027205.8620689656</v>
      </c>
      <c r="D17" s="18">
        <f>+Tabla22[[#This Row],[Share diario]]</f>
        <v>4.7043039587688316E-2</v>
      </c>
      <c r="E17" s="17">
        <f>+Tabla22[[#This Row],[Global 2026]]</f>
        <v>26317522</v>
      </c>
      <c r="F17" s="19">
        <v>46036</v>
      </c>
      <c r="G17" s="17">
        <f t="shared" si="5"/>
        <v>5176861.7710896097</v>
      </c>
      <c r="H17" s="17">
        <v>4086946.3913297802</v>
      </c>
      <c r="I17" s="17">
        <v>1089915.37975983</v>
      </c>
      <c r="J17" s="17">
        <v>3145541</v>
      </c>
      <c r="K17" s="17">
        <v>3212173</v>
      </c>
      <c r="L17" s="17">
        <v>28275.8620689655</v>
      </c>
      <c r="M17" s="17">
        <f>15827+12102</f>
        <v>27929</v>
      </c>
      <c r="N17" s="17">
        <v>68859</v>
      </c>
      <c r="O17" s="17">
        <v>49002</v>
      </c>
      <c r="P17" s="17">
        <v>5179</v>
      </c>
      <c r="Q17" s="17">
        <v>2343</v>
      </c>
      <c r="R17" s="17">
        <v>64024</v>
      </c>
      <c r="S17" s="17">
        <v>31865</v>
      </c>
      <c r="T17" s="17">
        <v>635340</v>
      </c>
      <c r="U17" s="17">
        <v>514044</v>
      </c>
      <c r="V17" s="17">
        <v>1022</v>
      </c>
      <c r="W17" s="17">
        <v>119118</v>
      </c>
      <c r="X17" s="17">
        <v>78965</v>
      </c>
      <c r="Y17" s="17">
        <v>41245</v>
      </c>
      <c r="Z17" s="17">
        <v>0</v>
      </c>
      <c r="AA17" s="17">
        <v>5948</v>
      </c>
      <c r="AB17" s="17">
        <v>0</v>
      </c>
      <c r="AC17" s="17">
        <v>15693</v>
      </c>
      <c r="AD17" s="17">
        <v>0</v>
      </c>
      <c r="AE17" s="17">
        <v>0</v>
      </c>
      <c r="AF17" s="17">
        <f t="shared" si="6"/>
        <v>4019360</v>
      </c>
      <c r="AG17" s="18">
        <f t="shared" si="7"/>
        <v>0.77640859998354128</v>
      </c>
      <c r="AH17" s="17">
        <f t="shared" si="8"/>
        <v>-1157501.7710896097</v>
      </c>
      <c r="AI17" s="20">
        <f t="shared" si="9"/>
        <v>-1.9482148014491329E-3</v>
      </c>
      <c r="AJ17" s="20">
        <f t="shared" si="10"/>
        <v>0.13257363870486771</v>
      </c>
      <c r="AK17" s="21">
        <f t="shared" si="11"/>
        <v>0.15272562515574226</v>
      </c>
      <c r="AL17" s="21">
        <f t="shared" si="12"/>
        <v>-0.13364010365168211</v>
      </c>
      <c r="AO17" s="38">
        <f t="shared" si="13"/>
        <v>46036</v>
      </c>
      <c r="AP17" s="17">
        <f>Tabla2[[#This Row],[Web + APP 2025]]+Tabla2[[#This Row],[Afiliados 2025]]+Tabla2[[#This Row],[TMK 2025]]+Tabla2[[#This Row],[WA 2025]]+Tabla2[[#This Row],[Ent. en Tienda 2025]]</f>
        <v>3311878.8620689656</v>
      </c>
      <c r="AQ17" s="17">
        <f>Tabla2[[#This Row],[Meli Drop 2025]]+Tabla2[[#This Row],[Meli Full 2025]]+Tabla2[[#This Row],[Amazon Drop 2025]]+Tabla2[[#This Row],[Amazon Full 2025]]+Tabla2[[#This Row],[TikTok 2025]]+Tabla2[[#This Row],[Shein 2025]]</f>
        <v>715327</v>
      </c>
      <c r="AR17" s="17">
        <f>Tabla2[[#This Row],[Web + APP 2026]]+Tabla2[[#This Row],[Afiliados 2026]]+Tabla2[[#This Row],[TMK 2026]]+Tabla2[[#This Row],[WA 2026]]+Tabla2[[#This Row],[Ent. en Tienda 2026]]</f>
        <v>3323312</v>
      </c>
      <c r="AS17" s="17">
        <f>Tabla2[[#This Row],[Meli Drop 2026]]+Tabla2[[#This Row],[Meli Full 2026]]+Tabla2[[#This Row],[Amazon Drop 2026]]+Tabla2[[#This Row],[Amazon Full 2026]]+Tabla2[[#This Row],[TikTok 2026]]+Tabla2[[#This Row],[Shein 2026]]</f>
        <v>696048</v>
      </c>
      <c r="AT17" s="18">
        <f t="shared" si="14"/>
        <v>3.4521606638391322E-3</v>
      </c>
      <c r="AU17" s="18">
        <f t="shared" si="14"/>
        <v>-2.6951310379728421E-2</v>
      </c>
      <c r="AV17" s="17">
        <f t="shared" si="15"/>
        <v>4086946.3913297802</v>
      </c>
      <c r="AW17" s="17">
        <f t="shared" si="15"/>
        <v>1089915.37975983</v>
      </c>
      <c r="AX17" s="39">
        <f t="shared" si="16"/>
        <v>0.81315282408651446</v>
      </c>
      <c r="AY17" s="39">
        <f t="shared" si="16"/>
        <v>0.63862572537822049</v>
      </c>
      <c r="AZ17" s="39">
        <f t="shared" si="17"/>
        <v>0.77640859998354128</v>
      </c>
      <c r="BA17" s="18">
        <v>4.8875129137212099E-2</v>
      </c>
      <c r="BB17" s="20">
        <v>4.6581915547689E-2</v>
      </c>
      <c r="BC17" s="17">
        <f t="shared" si="18"/>
        <v>-763634.39132978022</v>
      </c>
      <c r="BD17" s="17">
        <f t="shared" si="18"/>
        <v>-393867.37975982996</v>
      </c>
      <c r="BE17" s="32"/>
      <c r="BF17" s="40"/>
    </row>
    <row r="18" spans="1:58" ht="14.25" customHeight="1" x14ac:dyDescent="0.35">
      <c r="A18" s="16">
        <v>45673</v>
      </c>
      <c r="B18" s="17">
        <v>34401698</v>
      </c>
      <c r="C18" s="17">
        <f t="shared" si="4"/>
        <v>3965940.8275862071</v>
      </c>
      <c r="D18" s="18">
        <f>+Tabla22[[#This Row],[Share diario]]</f>
        <v>4.6758394599528262E-2</v>
      </c>
      <c r="E18" s="17">
        <f>+Tabla22[[#This Row],[Global 2026]]</f>
        <v>30903967</v>
      </c>
      <c r="F18" s="19">
        <v>46037</v>
      </c>
      <c r="G18" s="17">
        <f t="shared" si="5"/>
        <v>5143957.0845599538</v>
      </c>
      <c r="H18" s="17">
        <v>4222888.4682110501</v>
      </c>
      <c r="I18" s="17">
        <v>921068.61634890398</v>
      </c>
      <c r="J18" s="17">
        <v>2652789</v>
      </c>
      <c r="K18" s="17">
        <v>2833552</v>
      </c>
      <c r="L18" s="17">
        <v>24219.827586206899</v>
      </c>
      <c r="M18" s="17">
        <f>21233+15198</f>
        <v>36431</v>
      </c>
      <c r="N18" s="17">
        <v>86898</v>
      </c>
      <c r="O18" s="17">
        <v>39316</v>
      </c>
      <c r="P18" s="17">
        <v>9752</v>
      </c>
      <c r="Q18" s="17">
        <v>1033</v>
      </c>
      <c r="R18" s="17">
        <v>63370</v>
      </c>
      <c r="S18" s="17">
        <v>49218</v>
      </c>
      <c r="T18" s="17">
        <v>467016</v>
      </c>
      <c r="U18" s="17">
        <v>512619</v>
      </c>
      <c r="V18" s="17">
        <v>578857</v>
      </c>
      <c r="W18" s="17">
        <v>120851</v>
      </c>
      <c r="X18" s="17">
        <v>83039</v>
      </c>
      <c r="Y18" s="17">
        <v>38749</v>
      </c>
      <c r="Z18" s="17">
        <v>0</v>
      </c>
      <c r="AA18" s="17">
        <v>11568</v>
      </c>
      <c r="AB18" s="17">
        <v>0</v>
      </c>
      <c r="AC18" s="17">
        <v>6953</v>
      </c>
      <c r="AD18" s="17">
        <v>0</v>
      </c>
      <c r="AE18" s="17">
        <v>947</v>
      </c>
      <c r="AF18" s="17">
        <f t="shared" si="6"/>
        <v>3651237</v>
      </c>
      <c r="AG18" s="18">
        <f t="shared" si="7"/>
        <v>0.70981093737339174</v>
      </c>
      <c r="AH18" s="17">
        <f t="shared" si="8"/>
        <v>-1492720.0845599538</v>
      </c>
      <c r="AI18" s="20">
        <f t="shared" si="9"/>
        <v>-7.9351619519181127E-2</v>
      </c>
      <c r="AJ18" s="20">
        <f t="shared" si="10"/>
        <v>0.11528328710943882</v>
      </c>
      <c r="AK18" s="21">
        <f t="shared" si="11"/>
        <v>0.11814784166705847</v>
      </c>
      <c r="AL18" s="21">
        <f t="shared" si="12"/>
        <v>-0.10167320810734404</v>
      </c>
      <c r="AO18" s="38">
        <f t="shared" si="13"/>
        <v>46037</v>
      </c>
      <c r="AP18" s="17">
        <f>Tabla2[[#This Row],[Web + APP 2025]]+Tabla2[[#This Row],[Afiliados 2025]]+Tabla2[[#This Row],[TMK 2025]]+Tabla2[[#This Row],[WA 2025]]+Tabla2[[#This Row],[Ent. en Tienda 2025]]</f>
        <v>2837028.8275862071</v>
      </c>
      <c r="AQ18" s="17">
        <f>Tabla2[[#This Row],[Meli Drop 2025]]+Tabla2[[#This Row],[Meli Full 2025]]+Tabla2[[#This Row],[Amazon Drop 2025]]+Tabla2[[#This Row],[Amazon Full 2025]]+Tabla2[[#This Row],[TikTok 2025]]+Tabla2[[#This Row],[Shein 2025]]</f>
        <v>1128912</v>
      </c>
      <c r="AR18" s="17">
        <f>Tabla2[[#This Row],[Web + APP 2026]]+Tabla2[[#This Row],[Afiliados 2026]]+Tabla2[[#This Row],[TMK 2026]]+Tabla2[[#This Row],[WA 2026]]+Tabla2[[#This Row],[Ent. en Tienda 2026]]</f>
        <v>2959550</v>
      </c>
      <c r="AS18" s="17">
        <f>Tabla2[[#This Row],[Meli Drop 2026]]+Tabla2[[#This Row],[Meli Full 2026]]+Tabla2[[#This Row],[Amazon Drop 2026]]+Tabla2[[#This Row],[Amazon Full 2026]]+Tabla2[[#This Row],[TikTok 2026]]+Tabla2[[#This Row],[Shein 2026]]</f>
        <v>691687</v>
      </c>
      <c r="AT18" s="18">
        <f t="shared" si="14"/>
        <v>4.318643900352459E-2</v>
      </c>
      <c r="AU18" s="18">
        <f t="shared" si="14"/>
        <v>-0.38729768130731179</v>
      </c>
      <c r="AV18" s="17">
        <f t="shared" si="15"/>
        <v>4222888.4682110501</v>
      </c>
      <c r="AW18" s="17">
        <f t="shared" si="15"/>
        <v>921068.61634890398</v>
      </c>
      <c r="AX18" s="39">
        <f t="shared" si="16"/>
        <v>0.70083546422758347</v>
      </c>
      <c r="AY18" s="39">
        <f t="shared" si="16"/>
        <v>0.75096142428761958</v>
      </c>
      <c r="AZ18" s="39">
        <f t="shared" si="17"/>
        <v>0.70981093737339174</v>
      </c>
      <c r="BA18" s="18">
        <v>4.1303525396811799E-2</v>
      </c>
      <c r="BB18" s="20">
        <v>4.8131346770495097E-2</v>
      </c>
      <c r="BC18" s="17">
        <f t="shared" si="18"/>
        <v>-1263338.4682110501</v>
      </c>
      <c r="BD18" s="17">
        <f t="shared" si="18"/>
        <v>-229381.61634890398</v>
      </c>
      <c r="BE18" s="32"/>
      <c r="BF18" s="40"/>
    </row>
    <row r="19" spans="1:58" ht="14.25" customHeight="1" x14ac:dyDescent="0.35">
      <c r="A19" s="19">
        <v>45674</v>
      </c>
      <c r="B19" s="17">
        <v>33022574</v>
      </c>
      <c r="C19" s="17">
        <f t="shared" si="4"/>
        <v>2433095.3103448274</v>
      </c>
      <c r="D19" s="18">
        <f>+Tabla22[[#This Row],[Share diario]]</f>
        <v>4.6047068991746487E-2</v>
      </c>
      <c r="E19" s="17">
        <f>+Tabla22[[#This Row],[Global 2026]]</f>
        <v>32703579</v>
      </c>
      <c r="F19" s="19">
        <v>46038</v>
      </c>
      <c r="G19" s="17">
        <f t="shared" si="5"/>
        <v>5071028.3538970798</v>
      </c>
      <c r="H19" s="17">
        <v>3617419.8450337602</v>
      </c>
      <c r="I19" s="17">
        <v>1453608.5088633201</v>
      </c>
      <c r="J19" s="17">
        <v>1736223</v>
      </c>
      <c r="K19" s="17">
        <v>2640237</v>
      </c>
      <c r="L19" s="17">
        <v>19429.310344827602</v>
      </c>
      <c r="M19" s="17">
        <f>19101+16772</f>
        <v>35873</v>
      </c>
      <c r="N19" s="17">
        <v>37364</v>
      </c>
      <c r="O19" s="17">
        <v>-6459</v>
      </c>
      <c r="P19" s="17">
        <v>4728</v>
      </c>
      <c r="Q19" s="17">
        <v>3002</v>
      </c>
      <c r="R19" s="17">
        <v>83214</v>
      </c>
      <c r="S19" s="17">
        <v>52074</v>
      </c>
      <c r="T19" s="17">
        <v>307736</v>
      </c>
      <c r="U19" s="17">
        <v>435351</v>
      </c>
      <c r="V19" s="17">
        <v>197102</v>
      </c>
      <c r="W19" s="17">
        <v>150561</v>
      </c>
      <c r="X19" s="17">
        <v>47299</v>
      </c>
      <c r="Y19" s="17">
        <v>53754</v>
      </c>
      <c r="Z19" s="17">
        <v>0</v>
      </c>
      <c r="AA19" s="17">
        <v>6324</v>
      </c>
      <c r="AB19" s="17">
        <v>0</v>
      </c>
      <c r="AC19" s="17">
        <v>8858</v>
      </c>
      <c r="AD19" s="17">
        <v>0</v>
      </c>
      <c r="AE19" s="17">
        <v>947</v>
      </c>
      <c r="AF19" s="17">
        <f t="shared" si="6"/>
        <v>3380522</v>
      </c>
      <c r="AG19" s="18">
        <f t="shared" si="7"/>
        <v>0.66663441102672449</v>
      </c>
      <c r="AH19" s="17">
        <f t="shared" si="8"/>
        <v>-1690506.3538970798</v>
      </c>
      <c r="AI19" s="20">
        <f t="shared" si="9"/>
        <v>0.38939152347505024</v>
      </c>
      <c r="AJ19" s="20">
        <f t="shared" si="10"/>
        <v>7.3679759498603212E-2</v>
      </c>
      <c r="AK19" s="21">
        <f t="shared" si="11"/>
        <v>0.10336856403392423</v>
      </c>
      <c r="AL19" s="21">
        <f t="shared" si="12"/>
        <v>-9.6599071895485666E-3</v>
      </c>
      <c r="AO19" s="38">
        <f t="shared" si="13"/>
        <v>46038</v>
      </c>
      <c r="AP19" s="17">
        <f>Tabla2[[#This Row],[Web + APP 2025]]+Tabla2[[#This Row],[Afiliados 2025]]+Tabla2[[#This Row],[TMK 2025]]+Tabla2[[#This Row],[WA 2025]]+Tabla2[[#This Row],[Ent. en Tienda 2025]]</f>
        <v>1880958.3103448276</v>
      </c>
      <c r="AQ19" s="17">
        <f>Tabla2[[#This Row],[Meli Drop 2025]]+Tabla2[[#This Row],[Meli Full 2025]]+Tabla2[[#This Row],[Amazon Drop 2025]]+Tabla2[[#This Row],[Amazon Full 2025]]+Tabla2[[#This Row],[TikTok 2025]]+Tabla2[[#This Row],[Shein 2025]]</f>
        <v>552137</v>
      </c>
      <c r="AR19" s="17">
        <f>Tabla2[[#This Row],[Web + APP 2026]]+Tabla2[[#This Row],[Afiliados 2026]]+Tabla2[[#This Row],[TMK 2026]]+Tabla2[[#This Row],[WA 2026]]+Tabla2[[#This Row],[Ent. en Tienda 2026]]</f>
        <v>2724727</v>
      </c>
      <c r="AS19" s="17">
        <f>Tabla2[[#This Row],[Meli Drop 2026]]+Tabla2[[#This Row],[Meli Full 2026]]+Tabla2[[#This Row],[Amazon Drop 2026]]+Tabla2[[#This Row],[Amazon Full 2026]]+Tabla2[[#This Row],[TikTok 2026]]+Tabla2[[#This Row],[Shein 2026]]</f>
        <v>655795</v>
      </c>
      <c r="AT19" s="18">
        <f t="shared" si="14"/>
        <v>0.44858447155082781</v>
      </c>
      <c r="AU19" s="18">
        <f t="shared" si="14"/>
        <v>0.18773963708282548</v>
      </c>
      <c r="AV19" s="17">
        <f t="shared" si="15"/>
        <v>3617419.8450337602</v>
      </c>
      <c r="AW19" s="17">
        <f t="shared" si="15"/>
        <v>1453608.5088633201</v>
      </c>
      <c r="AX19" s="39">
        <f t="shared" si="16"/>
        <v>0.75322387688581138</v>
      </c>
      <c r="AY19" s="39">
        <f t="shared" si="16"/>
        <v>0.45114967063092715</v>
      </c>
      <c r="AZ19" s="39">
        <f t="shared" si="17"/>
        <v>0.66663441102672449</v>
      </c>
      <c r="BA19" s="18">
        <v>6.5184238065619807E-2</v>
      </c>
      <c r="BB19" s="20">
        <v>4.1230378279336802E-2</v>
      </c>
      <c r="BC19" s="17">
        <f t="shared" si="18"/>
        <v>-892692.84503376018</v>
      </c>
      <c r="BD19" s="17">
        <f t="shared" si="18"/>
        <v>-797813.50886332011</v>
      </c>
      <c r="BE19" s="32"/>
      <c r="BF19" s="40"/>
    </row>
    <row r="20" spans="1:58" ht="14.25" customHeight="1" x14ac:dyDescent="0.35">
      <c r="A20" s="16">
        <v>45675</v>
      </c>
      <c r="B20" s="17">
        <v>45210881</v>
      </c>
      <c r="C20" s="17">
        <f t="shared" si="4"/>
        <v>3363106</v>
      </c>
      <c r="D20" s="18">
        <f>+Tabla22[[#This Row],[Share diario]]</f>
        <v>2.8249767833054683E-2</v>
      </c>
      <c r="E20" s="17">
        <f>+Tabla22[[#This Row],[Global 2026]]</f>
        <v>45086574</v>
      </c>
      <c r="F20" s="19">
        <v>46039</v>
      </c>
      <c r="G20" s="17">
        <f t="shared" si="5"/>
        <v>3109301.8861852051</v>
      </c>
      <c r="H20" s="17">
        <v>2398359.80986901</v>
      </c>
      <c r="I20" s="17">
        <v>710942.07631619496</v>
      </c>
      <c r="J20" s="17">
        <v>2580220</v>
      </c>
      <c r="K20" s="17">
        <v>2128824</v>
      </c>
      <c r="L20" s="17">
        <v>28300</v>
      </c>
      <c r="M20" s="17">
        <f>23452+18396</f>
        <v>41848</v>
      </c>
      <c r="N20" s="17">
        <v>17517</v>
      </c>
      <c r="O20" s="17">
        <v>39673</v>
      </c>
      <c r="P20" s="17">
        <v>6155</v>
      </c>
      <c r="Q20" s="17">
        <v>3597</v>
      </c>
      <c r="R20" s="17">
        <v>63991</v>
      </c>
      <c r="S20" s="17">
        <v>57603</v>
      </c>
      <c r="T20" s="17">
        <v>488099</v>
      </c>
      <c r="U20" s="17">
        <v>457229</v>
      </c>
      <c r="V20" s="17">
        <v>140441</v>
      </c>
      <c r="W20" s="17">
        <v>118233</v>
      </c>
      <c r="X20" s="17">
        <v>38383</v>
      </c>
      <c r="Y20" s="17">
        <v>37402</v>
      </c>
      <c r="Z20" s="17">
        <v>0</v>
      </c>
      <c r="AA20" s="17">
        <v>6671</v>
      </c>
      <c r="AB20" s="17">
        <v>0</v>
      </c>
      <c r="AC20" s="17">
        <v>930</v>
      </c>
      <c r="AD20" s="17">
        <v>0</v>
      </c>
      <c r="AE20" s="17">
        <v>0</v>
      </c>
      <c r="AF20" s="17">
        <f t="shared" si="6"/>
        <v>2892010</v>
      </c>
      <c r="AG20" s="18">
        <f t="shared" si="7"/>
        <v>0.9301155390698328</v>
      </c>
      <c r="AH20" s="17">
        <f t="shared" si="8"/>
        <v>-217291.88618520508</v>
      </c>
      <c r="AI20" s="20">
        <f t="shared" si="9"/>
        <v>-0.14007765440637321</v>
      </c>
      <c r="AJ20" s="20">
        <f t="shared" si="10"/>
        <v>7.4387092788570072E-2</v>
      </c>
      <c r="AK20" s="21">
        <f t="shared" si="11"/>
        <v>6.4143485375491166E-2</v>
      </c>
      <c r="AL20" s="21">
        <f t="shared" si="12"/>
        <v>-2.7494929815679026E-3</v>
      </c>
      <c r="AO20" s="38">
        <f t="shared" si="13"/>
        <v>46039</v>
      </c>
      <c r="AP20" s="17">
        <f>Tabla2[[#This Row],[Web + APP 2025]]+Tabla2[[#This Row],[Afiliados 2025]]+Tabla2[[#This Row],[TMK 2025]]+Tabla2[[#This Row],[WA 2025]]+Tabla2[[#This Row],[Ent. en Tienda 2025]]</f>
        <v>2696183</v>
      </c>
      <c r="AQ20" s="17">
        <f>Tabla2[[#This Row],[Meli Drop 2025]]+Tabla2[[#This Row],[Meli Full 2025]]+Tabla2[[#This Row],[Amazon Drop 2025]]+Tabla2[[#This Row],[Amazon Full 2025]]+Tabla2[[#This Row],[TikTok 2025]]+Tabla2[[#This Row],[Shein 2025]]</f>
        <v>666923</v>
      </c>
      <c r="AR20" s="17">
        <f>Tabla2[[#This Row],[Web + APP 2026]]+Tabla2[[#This Row],[Afiliados 2026]]+Tabla2[[#This Row],[TMK 2026]]+Tabla2[[#This Row],[WA 2026]]+Tabla2[[#This Row],[Ent. en Tienda 2026]]</f>
        <v>2271545</v>
      </c>
      <c r="AS20" s="17">
        <f>Tabla2[[#This Row],[Meli Drop 2026]]+Tabla2[[#This Row],[Meli Full 2026]]+Tabla2[[#This Row],[Amazon Drop 2026]]+Tabla2[[#This Row],[Amazon Full 2026]]+Tabla2[[#This Row],[TikTok 2026]]+Tabla2[[#This Row],[Shein 2026]]</f>
        <v>620465</v>
      </c>
      <c r="AT20" s="18">
        <f t="shared" si="14"/>
        <v>-0.15749598599204873</v>
      </c>
      <c r="AU20" s="18">
        <f t="shared" si="14"/>
        <v>-6.966021564708369E-2</v>
      </c>
      <c r="AV20" s="17">
        <f t="shared" si="15"/>
        <v>2398359.80986901</v>
      </c>
      <c r="AW20" s="17">
        <f t="shared" si="15"/>
        <v>710942.07631619496</v>
      </c>
      <c r="AX20" s="39">
        <f t="shared" si="16"/>
        <v>0.94712436001171307</v>
      </c>
      <c r="AY20" s="39">
        <f t="shared" si="16"/>
        <v>0.872736360203901</v>
      </c>
      <c r="AZ20" s="39">
        <f t="shared" si="17"/>
        <v>0.9301155390698328</v>
      </c>
      <c r="BA20" s="18">
        <v>3.1880810597138799E-2</v>
      </c>
      <c r="BB20" s="20">
        <v>2.73358599352558E-2</v>
      </c>
      <c r="BC20" s="17">
        <f t="shared" si="18"/>
        <v>-126814.80986901</v>
      </c>
      <c r="BD20" s="17">
        <f t="shared" si="18"/>
        <v>-90477.076316194958</v>
      </c>
      <c r="BE20" s="32"/>
      <c r="BF20" s="40"/>
    </row>
    <row r="21" spans="1:58" ht="14.25" customHeight="1" x14ac:dyDescent="0.35">
      <c r="A21" s="19">
        <v>45676</v>
      </c>
      <c r="B21" s="17">
        <v>42397530</v>
      </c>
      <c r="C21" s="17">
        <f t="shared" si="4"/>
        <v>2564263.8275862066</v>
      </c>
      <c r="D21" s="18">
        <f>+Tabla22[[#This Row],[Share diario]]</f>
        <v>3.9047777246542986E-2</v>
      </c>
      <c r="E21" s="17">
        <f>+Tabla22[[#This Row],[Global 2026]]</f>
        <v>44463837</v>
      </c>
      <c r="F21" s="19">
        <v>46040</v>
      </c>
      <c r="G21" s="17">
        <f t="shared" si="5"/>
        <v>4296573.7917584404</v>
      </c>
      <c r="H21" s="17">
        <v>3437831.0841278601</v>
      </c>
      <c r="I21" s="17">
        <v>858742.70763057994</v>
      </c>
      <c r="J21" s="17">
        <v>2028149</v>
      </c>
      <c r="K21" s="17">
        <v>2552466</v>
      </c>
      <c r="L21" s="17">
        <v>25069.827586206899</v>
      </c>
      <c r="M21" s="17">
        <f>20869+16163</f>
        <v>37032</v>
      </c>
      <c r="N21" s="17">
        <v>22533</v>
      </c>
      <c r="O21" s="17">
        <v>-1059</v>
      </c>
      <c r="P21" s="17">
        <v>9941</v>
      </c>
      <c r="Q21" s="17">
        <v>2557</v>
      </c>
      <c r="R21" s="17">
        <v>65234</v>
      </c>
      <c r="S21" s="17">
        <v>43820</v>
      </c>
      <c r="T21" s="17">
        <v>193047</v>
      </c>
      <c r="U21" s="17">
        <v>167676</v>
      </c>
      <c r="V21" s="17">
        <v>170098</v>
      </c>
      <c r="W21" s="17">
        <v>113618</v>
      </c>
      <c r="X21" s="17">
        <v>50192</v>
      </c>
      <c r="Y21" s="17">
        <v>53156</v>
      </c>
      <c r="Z21" s="17">
        <v>0</v>
      </c>
      <c r="AA21" s="17">
        <v>3354</v>
      </c>
      <c r="AB21" s="17">
        <v>0</v>
      </c>
      <c r="AC21" s="17">
        <v>586</v>
      </c>
      <c r="AD21" s="17">
        <v>0</v>
      </c>
      <c r="AE21" s="17">
        <v>0</v>
      </c>
      <c r="AF21" s="17">
        <f t="shared" si="6"/>
        <v>2973206</v>
      </c>
      <c r="AG21" s="18">
        <f t="shared" si="7"/>
        <v>0.69199463202589817</v>
      </c>
      <c r="AH21" s="17">
        <f t="shared" si="8"/>
        <v>-1323367.7917584404</v>
      </c>
      <c r="AI21" s="20">
        <f t="shared" si="9"/>
        <v>0.15947741726666975</v>
      </c>
      <c r="AJ21" s="20">
        <f t="shared" si="10"/>
        <v>6.0481443791329512E-2</v>
      </c>
      <c r="AK21" s="21">
        <f t="shared" si="11"/>
        <v>6.6867958336569111E-2</v>
      </c>
      <c r="AL21" s="21">
        <f t="shared" si="12"/>
        <v>4.8736494791087992E-2</v>
      </c>
      <c r="AO21" s="38">
        <f t="shared" si="13"/>
        <v>46040</v>
      </c>
      <c r="AP21" s="17">
        <f>Tabla2[[#This Row],[Web + APP 2025]]+Tabla2[[#This Row],[Afiliados 2025]]+Tabla2[[#This Row],[TMK 2025]]+Tabla2[[#This Row],[WA 2025]]+Tabla2[[#This Row],[Ent. en Tienda 2025]]</f>
        <v>2150926.8275862066</v>
      </c>
      <c r="AQ21" s="17">
        <f>Tabla2[[#This Row],[Meli Drop 2025]]+Tabla2[[#This Row],[Meli Full 2025]]+Tabla2[[#This Row],[Amazon Drop 2025]]+Tabla2[[#This Row],[Amazon Full 2025]]+Tabla2[[#This Row],[TikTok 2025]]+Tabla2[[#This Row],[Shein 2025]]</f>
        <v>413337</v>
      </c>
      <c r="AR21" s="17">
        <f>Tabla2[[#This Row],[Web + APP 2026]]+Tabla2[[#This Row],[Afiliados 2026]]+Tabla2[[#This Row],[TMK 2026]]+Tabla2[[#This Row],[WA 2026]]+Tabla2[[#This Row],[Ent. en Tienda 2026]]</f>
        <v>2634816</v>
      </c>
      <c r="AS21" s="17">
        <f>Tabla2[[#This Row],[Meli Drop 2026]]+Tabla2[[#This Row],[Meli Full 2026]]+Tabla2[[#This Row],[Amazon Drop 2026]]+Tabla2[[#This Row],[Amazon Full 2026]]+Tabla2[[#This Row],[TikTok 2026]]+Tabla2[[#This Row],[Shein 2026]]</f>
        <v>338390</v>
      </c>
      <c r="AT21" s="18">
        <f t="shared" si="14"/>
        <v>0.22496775167234251</v>
      </c>
      <c r="AU21" s="18">
        <f t="shared" si="14"/>
        <v>-0.18132177859712539</v>
      </c>
      <c r="AV21" s="17">
        <f t="shared" si="15"/>
        <v>3437831.0841278601</v>
      </c>
      <c r="AW21" s="17">
        <f t="shared" si="15"/>
        <v>858742.70763057994</v>
      </c>
      <c r="AX21" s="39">
        <f t="shared" si="16"/>
        <v>0.76641810941924848</v>
      </c>
      <c r="AY21" s="39">
        <f t="shared" si="16"/>
        <v>0.39405283677305009</v>
      </c>
      <c r="AZ21" s="39">
        <f t="shared" si="17"/>
        <v>0.69199463202589817</v>
      </c>
      <c r="BA21" s="18">
        <v>3.8508641597783902E-2</v>
      </c>
      <c r="BB21" s="20">
        <v>3.9183473893318901E-2</v>
      </c>
      <c r="BC21" s="17">
        <f t="shared" si="18"/>
        <v>-803015.08412786014</v>
      </c>
      <c r="BD21" s="17">
        <f t="shared" si="18"/>
        <v>-520352.70763057994</v>
      </c>
      <c r="BE21" s="32"/>
      <c r="BF21" s="40"/>
    </row>
    <row r="22" spans="1:58" ht="14.25" customHeight="1" x14ac:dyDescent="0.35">
      <c r="A22" s="16">
        <v>45677</v>
      </c>
      <c r="B22" s="17">
        <v>24310022</v>
      </c>
      <c r="C22" s="17">
        <f t="shared" si="4"/>
        <v>3939989.6896551722</v>
      </c>
      <c r="D22" s="18">
        <f>+Tabla22[[#This Row],[Share diario]]</f>
        <v>2.9772716869748951E-2</v>
      </c>
      <c r="E22" s="17">
        <f>+Tabla22[[#This Row],[Global 2026]]</f>
        <v>25877600</v>
      </c>
      <c r="F22" s="19">
        <v>46041</v>
      </c>
      <c r="G22" s="17">
        <f t="shared" si="5"/>
        <v>3274810.033961595</v>
      </c>
      <c r="H22" s="17">
        <v>2742589.4709522198</v>
      </c>
      <c r="I22" s="17">
        <v>532220.56300937501</v>
      </c>
      <c r="J22" s="17">
        <v>3051836</v>
      </c>
      <c r="K22" s="17">
        <v>3650682</v>
      </c>
      <c r="L22" s="17">
        <v>24870.689655172398</v>
      </c>
      <c r="M22" s="17">
        <f>16838+12441</f>
        <v>29279</v>
      </c>
      <c r="N22" s="17">
        <v>62489</v>
      </c>
      <c r="O22" s="17">
        <v>39416</v>
      </c>
      <c r="P22" s="17">
        <v>2112</v>
      </c>
      <c r="Q22" s="17">
        <v>1876</v>
      </c>
      <c r="R22" s="17">
        <v>23575</v>
      </c>
      <c r="S22" s="17">
        <v>66465</v>
      </c>
      <c r="T22" s="17">
        <v>601975</v>
      </c>
      <c r="U22" s="17">
        <v>827888</v>
      </c>
      <c r="V22" s="17">
        <v>119622</v>
      </c>
      <c r="W22" s="17">
        <v>129619</v>
      </c>
      <c r="X22" s="17">
        <v>47661</v>
      </c>
      <c r="Y22" s="17">
        <v>40872</v>
      </c>
      <c r="Z22" s="17">
        <v>5849</v>
      </c>
      <c r="AA22" s="17">
        <v>7344</v>
      </c>
      <c r="AB22" s="17">
        <v>0</v>
      </c>
      <c r="AC22" s="17">
        <v>6161</v>
      </c>
      <c r="AD22" s="17">
        <v>0</v>
      </c>
      <c r="AE22" s="17">
        <v>861</v>
      </c>
      <c r="AF22" s="17">
        <f t="shared" si="6"/>
        <v>4800463</v>
      </c>
      <c r="AG22" s="18">
        <f t="shared" si="7"/>
        <v>1.4658752569512545</v>
      </c>
      <c r="AH22" s="17">
        <f t="shared" si="8"/>
        <v>1525652.966038405</v>
      </c>
      <c r="AI22" s="20">
        <f t="shared" si="9"/>
        <v>0.2183948127082882</v>
      </c>
      <c r="AJ22" s="20">
        <f t="shared" si="10"/>
        <v>0.16207265010517771</v>
      </c>
      <c r="AK22" s="21">
        <f t="shared" si="11"/>
        <v>0.18550649982996878</v>
      </c>
      <c r="AL22" s="21">
        <f t="shared" si="12"/>
        <v>6.4482788209734965E-2</v>
      </c>
      <c r="AO22" s="38">
        <f t="shared" si="13"/>
        <v>46041</v>
      </c>
      <c r="AP22" s="17">
        <f>Tabla2[[#This Row],[Web + APP 2025]]+Tabla2[[#This Row],[Afiliados 2025]]+Tabla2[[#This Row],[TMK 2025]]+Tabla2[[#This Row],[WA 2025]]+Tabla2[[#This Row],[Ent. en Tienda 2025]]</f>
        <v>3164882.6896551722</v>
      </c>
      <c r="AQ22" s="17">
        <f>Tabla2[[#This Row],[Meli Drop 2025]]+Tabla2[[#This Row],[Meli Full 2025]]+Tabla2[[#This Row],[Amazon Drop 2025]]+Tabla2[[#This Row],[Amazon Full 2025]]+Tabla2[[#This Row],[TikTok 2025]]+Tabla2[[#This Row],[Shein 2025]]</f>
        <v>775107</v>
      </c>
      <c r="AR22" s="17">
        <f>Tabla2[[#This Row],[Web + APP 2026]]+Tabla2[[#This Row],[Afiliados 2026]]+Tabla2[[#This Row],[TMK 2026]]+Tabla2[[#This Row],[WA 2026]]+Tabla2[[#This Row],[Ent. en Tienda 2026]]</f>
        <v>3787718</v>
      </c>
      <c r="AS22" s="17">
        <f>Tabla2[[#This Row],[Meli Drop 2026]]+Tabla2[[#This Row],[Meli Full 2026]]+Tabla2[[#This Row],[Amazon Drop 2026]]+Tabla2[[#This Row],[Amazon Full 2026]]+Tabla2[[#This Row],[TikTok 2026]]+Tabla2[[#This Row],[Shein 2026]]</f>
        <v>1012745</v>
      </c>
      <c r="AT22" s="18">
        <f t="shared" si="14"/>
        <v>0.19679570190094098</v>
      </c>
      <c r="AU22" s="18">
        <f t="shared" si="14"/>
        <v>0.30658734858542114</v>
      </c>
      <c r="AV22" s="17">
        <f t="shared" si="15"/>
        <v>2742589.4709522198</v>
      </c>
      <c r="AW22" s="17">
        <f t="shared" si="15"/>
        <v>532220.56300937501</v>
      </c>
      <c r="AX22" s="39">
        <f t="shared" si="16"/>
        <v>1.3810736313681371</v>
      </c>
      <c r="AY22" s="39">
        <f t="shared" si="16"/>
        <v>1.9028671013264864</v>
      </c>
      <c r="AZ22" s="39">
        <f t="shared" si="17"/>
        <v>1.4658752569512545</v>
      </c>
      <c r="BA22" s="18">
        <v>2.38663929600616E-2</v>
      </c>
      <c r="BB22" s="20">
        <v>3.1259297011798998E-2</v>
      </c>
      <c r="BC22" s="17">
        <f t="shared" si="18"/>
        <v>1045128.5290477802</v>
      </c>
      <c r="BD22" s="17">
        <f t="shared" si="18"/>
        <v>480524.43699062499</v>
      </c>
      <c r="BE22" s="32"/>
      <c r="BF22" s="40"/>
    </row>
    <row r="23" spans="1:58" ht="14.25" customHeight="1" x14ac:dyDescent="0.35">
      <c r="A23" s="19">
        <v>45678</v>
      </c>
      <c r="B23" s="17">
        <v>25280575</v>
      </c>
      <c r="C23" s="17">
        <f t="shared" si="4"/>
        <v>4126281</v>
      </c>
      <c r="D23" s="18">
        <f>+Tabla22[[#This Row],[Share diario]]</f>
        <v>4.5745759947896737E-2</v>
      </c>
      <c r="E23" s="17">
        <f>+Tabla22[[#This Row],[Global 2026]]</f>
        <v>26671750</v>
      </c>
      <c r="F23" s="19">
        <v>46042</v>
      </c>
      <c r="G23" s="17">
        <f t="shared" si="5"/>
        <v>5033500.0450277738</v>
      </c>
      <c r="H23" s="17">
        <v>4035457.5665356298</v>
      </c>
      <c r="I23" s="17">
        <v>998042.47849214403</v>
      </c>
      <c r="J23" s="17">
        <v>2969811</v>
      </c>
      <c r="K23" s="17">
        <v>3539014</v>
      </c>
      <c r="L23" s="17">
        <v>20875</v>
      </c>
      <c r="M23" s="17">
        <f>16964+18297</f>
        <v>35261</v>
      </c>
      <c r="N23" s="17">
        <v>56684</v>
      </c>
      <c r="O23" s="17">
        <v>50393</v>
      </c>
      <c r="P23" s="17">
        <v>6612</v>
      </c>
      <c r="Q23" s="17">
        <v>1403</v>
      </c>
      <c r="R23" s="17">
        <v>40784</v>
      </c>
      <c r="S23" s="17">
        <v>82775</v>
      </c>
      <c r="T23" s="17">
        <v>884541</v>
      </c>
      <c r="U23" s="17">
        <v>541048</v>
      </c>
      <c r="V23" s="17">
        <v>85285</v>
      </c>
      <c r="W23" s="17">
        <v>103829</v>
      </c>
      <c r="X23" s="17">
        <v>44091</v>
      </c>
      <c r="Y23" s="17">
        <v>59350</v>
      </c>
      <c r="Z23" s="17">
        <v>17598</v>
      </c>
      <c r="AA23" s="17">
        <v>5233</v>
      </c>
      <c r="AB23" s="17">
        <v>0</v>
      </c>
      <c r="AC23" s="17">
        <v>8443</v>
      </c>
      <c r="AD23" s="17">
        <v>0</v>
      </c>
      <c r="AE23" s="17">
        <v>0</v>
      </c>
      <c r="AF23" s="17">
        <f t="shared" si="6"/>
        <v>4426749</v>
      </c>
      <c r="AG23" s="18">
        <f t="shared" si="7"/>
        <v>0.87945742731697429</v>
      </c>
      <c r="AH23" s="17">
        <f t="shared" si="8"/>
        <v>-606751.04502777383</v>
      </c>
      <c r="AI23" s="20">
        <f t="shared" si="9"/>
        <v>7.2818113938435181E-2</v>
      </c>
      <c r="AJ23" s="20">
        <f t="shared" si="10"/>
        <v>0.16321942835556549</v>
      </c>
      <c r="AK23" s="21">
        <f t="shared" si="11"/>
        <v>0.16597144919249768</v>
      </c>
      <c r="AL23" s="21">
        <f t="shared" si="12"/>
        <v>5.5029404987821717E-2</v>
      </c>
      <c r="AO23" s="38">
        <f t="shared" si="13"/>
        <v>46042</v>
      </c>
      <c r="AP23" s="17">
        <f>Tabla2[[#This Row],[Web + APP 2025]]+Tabla2[[#This Row],[Afiliados 2025]]+Tabla2[[#This Row],[TMK 2025]]+Tabla2[[#This Row],[WA 2025]]+Tabla2[[#This Row],[Ent. en Tienda 2025]]</f>
        <v>3094766</v>
      </c>
      <c r="AQ23" s="17">
        <f>Tabla2[[#This Row],[Meli Drop 2025]]+Tabla2[[#This Row],[Meli Full 2025]]+Tabla2[[#This Row],[Amazon Drop 2025]]+Tabla2[[#This Row],[Amazon Full 2025]]+Tabla2[[#This Row],[TikTok 2025]]+Tabla2[[#This Row],[Shein 2025]]</f>
        <v>1031515</v>
      </c>
      <c r="AR23" s="17">
        <f>Tabla2[[#This Row],[Web + APP 2026]]+Tabla2[[#This Row],[Afiliados 2026]]+Tabla2[[#This Row],[TMK 2026]]+Tabla2[[#This Row],[WA 2026]]+Tabla2[[#This Row],[Ent. en Tienda 2026]]</f>
        <v>3708846</v>
      </c>
      <c r="AS23" s="17">
        <f>Tabla2[[#This Row],[Meli Drop 2026]]+Tabla2[[#This Row],[Meli Full 2026]]+Tabla2[[#This Row],[Amazon Drop 2026]]+Tabla2[[#This Row],[Amazon Full 2026]]+Tabla2[[#This Row],[TikTok 2026]]+Tabla2[[#This Row],[Shein 2026]]</f>
        <v>717903</v>
      </c>
      <c r="AT23" s="18">
        <f t="shared" si="14"/>
        <v>0.19842534136668166</v>
      </c>
      <c r="AU23" s="18">
        <f t="shared" si="14"/>
        <v>-0.30403047944043471</v>
      </c>
      <c r="AV23" s="17">
        <f t="shared" si="15"/>
        <v>4035457.5665356298</v>
      </c>
      <c r="AW23" s="17">
        <f t="shared" si="15"/>
        <v>998042.47849214403</v>
      </c>
      <c r="AX23" s="39">
        <f t="shared" si="16"/>
        <v>0.91906455187533542</v>
      </c>
      <c r="AY23" s="39">
        <f t="shared" si="16"/>
        <v>0.71931106688426483</v>
      </c>
      <c r="AZ23" s="39">
        <f t="shared" si="17"/>
        <v>0.87945742731697429</v>
      </c>
      <c r="BA23" s="18">
        <v>4.47552680938181E-2</v>
      </c>
      <c r="BB23" s="20">
        <v>4.5995059773583702E-2</v>
      </c>
      <c r="BC23" s="17">
        <f t="shared" si="18"/>
        <v>-326611.5665356298</v>
      </c>
      <c r="BD23" s="17">
        <f t="shared" si="18"/>
        <v>-280139.47849214403</v>
      </c>
      <c r="BE23" s="32"/>
      <c r="BF23" s="40"/>
    </row>
    <row r="24" spans="1:58" ht="14.25" customHeight="1" x14ac:dyDescent="0.35">
      <c r="A24" s="16">
        <v>45679</v>
      </c>
      <c r="B24" s="17">
        <v>27320349</v>
      </c>
      <c r="C24" s="17">
        <f t="shared" si="4"/>
        <v>3467828.068965517</v>
      </c>
      <c r="D24" s="18">
        <f>+Tabla22[[#This Row],[Share diario]]</f>
        <v>4.7908719304310551E-2</v>
      </c>
      <c r="E24" s="17">
        <f>+Tabla22[[#This Row],[Global 2026]]</f>
        <v>28758026</v>
      </c>
      <c r="F24" s="19">
        <v>46043</v>
      </c>
      <c r="G24" s="17">
        <f t="shared" si="5"/>
        <v>5274251.9281716105</v>
      </c>
      <c r="H24" s="17">
        <v>3946053.64431941</v>
      </c>
      <c r="I24" s="17">
        <v>1328198.2838522</v>
      </c>
      <c r="J24" s="17">
        <v>2805417</v>
      </c>
      <c r="K24" s="17">
        <v>3499850</v>
      </c>
      <c r="L24" s="17">
        <v>19287.068965517199</v>
      </c>
      <c r="M24" s="17">
        <f>13419+17382</f>
        <v>30801</v>
      </c>
      <c r="N24" s="17">
        <v>90551</v>
      </c>
      <c r="O24" s="17">
        <v>35803</v>
      </c>
      <c r="P24" s="17">
        <v>1592</v>
      </c>
      <c r="Q24" s="17">
        <v>5841</v>
      </c>
      <c r="R24" s="17">
        <v>36254</v>
      </c>
      <c r="S24" s="17">
        <v>48687</v>
      </c>
      <c r="T24" s="17">
        <v>374553</v>
      </c>
      <c r="U24" s="17">
        <v>482866</v>
      </c>
      <c r="V24" s="17">
        <v>69855</v>
      </c>
      <c r="W24" s="17">
        <v>118197</v>
      </c>
      <c r="X24" s="17">
        <v>52088</v>
      </c>
      <c r="Y24" s="17">
        <v>45226</v>
      </c>
      <c r="Z24" s="17">
        <v>18231</v>
      </c>
      <c r="AA24" s="17">
        <v>2767</v>
      </c>
      <c r="AB24" s="17">
        <v>0</v>
      </c>
      <c r="AC24" s="17">
        <v>9702</v>
      </c>
      <c r="AD24" s="17">
        <v>0</v>
      </c>
      <c r="AE24" s="17">
        <v>0</v>
      </c>
      <c r="AF24" s="17">
        <f t="shared" si="6"/>
        <v>4279740</v>
      </c>
      <c r="AG24" s="18">
        <f t="shared" si="7"/>
        <v>0.81144019252103283</v>
      </c>
      <c r="AH24" s="17">
        <f t="shared" si="8"/>
        <v>-994511.92817161046</v>
      </c>
      <c r="AI24" s="20">
        <f t="shared" si="9"/>
        <v>0.23412692754306108</v>
      </c>
      <c r="AJ24" s="20">
        <f t="shared" si="10"/>
        <v>0.12693205599114116</v>
      </c>
      <c r="AK24" s="21">
        <f t="shared" si="11"/>
        <v>0.14881897665715998</v>
      </c>
      <c r="AL24" s="21">
        <f t="shared" si="12"/>
        <v>5.2622936844620938E-2</v>
      </c>
      <c r="AO24" s="38">
        <f t="shared" si="13"/>
        <v>46043</v>
      </c>
      <c r="AP24" s="17">
        <f>Tabla2[[#This Row],[Web + APP 2025]]+Tabla2[[#This Row],[Afiliados 2025]]+Tabla2[[#This Row],[TMK 2025]]+Tabla2[[#This Row],[WA 2025]]+Tabla2[[#This Row],[Ent. en Tienda 2025]]</f>
        <v>2953101.068965517</v>
      </c>
      <c r="AQ24" s="17">
        <f>Tabla2[[#This Row],[Meli Drop 2025]]+Tabla2[[#This Row],[Meli Full 2025]]+Tabla2[[#This Row],[Amazon Drop 2025]]+Tabla2[[#This Row],[Amazon Full 2025]]+Tabla2[[#This Row],[TikTok 2025]]+Tabla2[[#This Row],[Shein 2025]]</f>
        <v>514727</v>
      </c>
      <c r="AR24" s="17">
        <f>Tabla2[[#This Row],[Web + APP 2026]]+Tabla2[[#This Row],[Afiliados 2026]]+Tabla2[[#This Row],[TMK 2026]]+Tabla2[[#This Row],[WA 2026]]+Tabla2[[#This Row],[Ent. en Tienda 2026]]</f>
        <v>3620982</v>
      </c>
      <c r="AS24" s="17">
        <f>Tabla2[[#This Row],[Meli Drop 2026]]+Tabla2[[#This Row],[Meli Full 2026]]+Tabla2[[#This Row],[Amazon Drop 2026]]+Tabla2[[#This Row],[Amazon Full 2026]]+Tabla2[[#This Row],[TikTok 2026]]+Tabla2[[#This Row],[Shein 2026]]</f>
        <v>658758</v>
      </c>
      <c r="AT24" s="18">
        <f t="shared" si="14"/>
        <v>0.22616257128932071</v>
      </c>
      <c r="AU24" s="18">
        <f t="shared" si="14"/>
        <v>0.27982017652075752</v>
      </c>
      <c r="AV24" s="17">
        <f t="shared" si="15"/>
        <v>3946053.64431941</v>
      </c>
      <c r="AW24" s="17">
        <f t="shared" si="15"/>
        <v>1328198.2838522</v>
      </c>
      <c r="AX24" s="39">
        <f t="shared" si="16"/>
        <v>0.91762107826705019</v>
      </c>
      <c r="AY24" s="39">
        <f t="shared" si="16"/>
        <v>0.49597865620590248</v>
      </c>
      <c r="AZ24" s="39">
        <f t="shared" si="17"/>
        <v>0.81144019252103283</v>
      </c>
      <c r="BA24" s="18">
        <v>5.9560461159291297E-2</v>
      </c>
      <c r="BB24" s="20">
        <v>4.4976057918520697E-2</v>
      </c>
      <c r="BC24" s="17">
        <f t="shared" si="18"/>
        <v>-325071.64431940997</v>
      </c>
      <c r="BD24" s="17">
        <f t="shared" si="18"/>
        <v>-669440.28385220002</v>
      </c>
      <c r="BE24" s="32"/>
      <c r="BF24" s="40"/>
    </row>
    <row r="25" spans="1:58" ht="14.25" customHeight="1" x14ac:dyDescent="0.35">
      <c r="A25" s="19">
        <v>45680</v>
      </c>
      <c r="B25" s="17">
        <v>28863545</v>
      </c>
      <c r="C25" s="17">
        <f t="shared" si="4"/>
        <v>2314941.4137931033</v>
      </c>
      <c r="D25" s="18">
        <f>+Tabla22[[#This Row],[Share diario]]</f>
        <v>4.0263666374558166E-2</v>
      </c>
      <c r="E25" s="17">
        <f>+Tabla22[[#This Row],[Global 2026]]</f>
        <v>30590251</v>
      </c>
      <c r="F25" s="19">
        <v>46044</v>
      </c>
      <c r="G25" s="17">
        <f t="shared" si="5"/>
        <v>4428192.7170130024</v>
      </c>
      <c r="H25" s="17">
        <v>3765420.4664375</v>
      </c>
      <c r="I25" s="17">
        <v>662772.25057550205</v>
      </c>
      <c r="J25" s="17">
        <v>1788443</v>
      </c>
      <c r="K25" s="17">
        <v>2626517</v>
      </c>
      <c r="L25" s="17">
        <v>22197.413793103398</v>
      </c>
      <c r="M25" s="17">
        <f>13884+15409</f>
        <v>29293</v>
      </c>
      <c r="N25" s="17">
        <v>61174</v>
      </c>
      <c r="O25" s="17">
        <v>89330</v>
      </c>
      <c r="P25" s="17">
        <v>1316</v>
      </c>
      <c r="Q25" s="17">
        <v>878</v>
      </c>
      <c r="R25" s="17">
        <v>49423</v>
      </c>
      <c r="S25" s="17">
        <v>73394</v>
      </c>
      <c r="T25" s="17">
        <v>276672</v>
      </c>
      <c r="U25" s="17">
        <v>421869</v>
      </c>
      <c r="V25" s="17">
        <v>49661</v>
      </c>
      <c r="W25" s="17">
        <v>87416</v>
      </c>
      <c r="X25" s="17">
        <v>52812</v>
      </c>
      <c r="Y25" s="17">
        <v>44135</v>
      </c>
      <c r="Z25" s="17">
        <v>13243</v>
      </c>
      <c r="AA25" s="17">
        <v>5521</v>
      </c>
      <c r="AB25" s="17">
        <v>0</v>
      </c>
      <c r="AC25" s="17">
        <v>12903</v>
      </c>
      <c r="AD25" s="17">
        <v>0</v>
      </c>
      <c r="AE25" s="17">
        <v>0</v>
      </c>
      <c r="AF25" s="17">
        <f t="shared" si="6"/>
        <v>3391256</v>
      </c>
      <c r="AG25" s="18">
        <f t="shared" si="7"/>
        <v>0.76583297447079979</v>
      </c>
      <c r="AH25" s="17">
        <f t="shared" si="8"/>
        <v>-1036936.7170130024</v>
      </c>
      <c r="AI25" s="20">
        <f t="shared" si="9"/>
        <v>0.46494247318480597</v>
      </c>
      <c r="AJ25" s="20">
        <f t="shared" si="10"/>
        <v>8.0202948521850087E-2</v>
      </c>
      <c r="AK25" s="21">
        <f t="shared" si="11"/>
        <v>0.11086067910982489</v>
      </c>
      <c r="AL25" s="21">
        <f t="shared" si="12"/>
        <v>5.9823074400597642E-2</v>
      </c>
      <c r="AO25" s="38">
        <f t="shared" si="13"/>
        <v>46044</v>
      </c>
      <c r="AP25" s="17">
        <f>Tabla2[[#This Row],[Web + APP 2025]]+Tabla2[[#This Row],[Afiliados 2025]]+Tabla2[[#This Row],[TMK 2025]]+Tabla2[[#This Row],[WA 2025]]+Tabla2[[#This Row],[Ent. en Tienda 2025]]</f>
        <v>1922553.4137931033</v>
      </c>
      <c r="AQ25" s="17">
        <f>Tabla2[[#This Row],[Meli Drop 2025]]+Tabla2[[#This Row],[Meli Full 2025]]+Tabla2[[#This Row],[Amazon Drop 2025]]+Tabla2[[#This Row],[Amazon Full 2025]]+Tabla2[[#This Row],[TikTok 2025]]+Tabla2[[#This Row],[Shein 2025]]</f>
        <v>392388</v>
      </c>
      <c r="AR25" s="17">
        <f>Tabla2[[#This Row],[Web + APP 2026]]+Tabla2[[#This Row],[Afiliados 2026]]+Tabla2[[#This Row],[TMK 2026]]+Tabla2[[#This Row],[WA 2026]]+Tabla2[[#This Row],[Ent. en Tienda 2026]]</f>
        <v>2819412</v>
      </c>
      <c r="AS25" s="17">
        <f>Tabla2[[#This Row],[Meli Drop 2026]]+Tabla2[[#This Row],[Meli Full 2026]]+Tabla2[[#This Row],[Amazon Drop 2026]]+Tabla2[[#This Row],[Amazon Full 2026]]+Tabla2[[#This Row],[TikTok 2026]]+Tabla2[[#This Row],[Shein 2026]]</f>
        <v>571844</v>
      </c>
      <c r="AT25" s="18">
        <f t="shared" si="14"/>
        <v>0.46649345592819635</v>
      </c>
      <c r="AU25" s="18">
        <f t="shared" si="14"/>
        <v>0.45734324189322817</v>
      </c>
      <c r="AV25" s="17">
        <f t="shared" si="15"/>
        <v>3765420.4664375</v>
      </c>
      <c r="AW25" s="17">
        <f t="shared" si="15"/>
        <v>662772.25057550205</v>
      </c>
      <c r="AX25" s="39">
        <f t="shared" si="16"/>
        <v>0.74876418852300775</v>
      </c>
      <c r="AY25" s="39">
        <f t="shared" si="16"/>
        <v>0.86280618946169407</v>
      </c>
      <c r="AZ25" s="39">
        <f t="shared" si="17"/>
        <v>0.76583297447079979</v>
      </c>
      <c r="BA25" s="18">
        <v>2.9720728725358799E-2</v>
      </c>
      <c r="BB25" s="20">
        <v>4.2917249548766703E-2</v>
      </c>
      <c r="BC25" s="17">
        <f t="shared" si="18"/>
        <v>-946008.46643749997</v>
      </c>
      <c r="BD25" s="17">
        <f t="shared" si="18"/>
        <v>-90928.250575502054</v>
      </c>
      <c r="BE25" s="32"/>
      <c r="BF25" s="40"/>
    </row>
    <row r="26" spans="1:58" ht="14.25" customHeight="1" x14ac:dyDescent="0.35">
      <c r="A26" s="16">
        <v>45681</v>
      </c>
      <c r="B26" s="17">
        <v>31893984</v>
      </c>
      <c r="C26" s="17">
        <f t="shared" si="4"/>
        <v>1982979.2068965517</v>
      </c>
      <c r="D26" s="18">
        <f>+Tabla22[[#This Row],[Share diario]]</f>
        <v>2.6877926733379916E-2</v>
      </c>
      <c r="E26" s="17">
        <f>+Tabla22[[#This Row],[Global 2026]]</f>
        <v>31338795</v>
      </c>
      <c r="F26" s="19">
        <v>46045</v>
      </c>
      <c r="G26" s="17">
        <f t="shared" si="5"/>
        <v>2956642.8508414202</v>
      </c>
      <c r="H26" s="17">
        <v>2451396.6176754502</v>
      </c>
      <c r="I26" s="17">
        <v>505246.23316597001</v>
      </c>
      <c r="J26" s="17">
        <v>1462778</v>
      </c>
      <c r="K26" s="17">
        <v>2207677</v>
      </c>
      <c r="L26" s="17">
        <v>19311.206896551699</v>
      </c>
      <c r="M26" s="17">
        <f>14447+12553</f>
        <v>27000</v>
      </c>
      <c r="N26" s="17">
        <v>70610</v>
      </c>
      <c r="O26" s="17">
        <v>50125</v>
      </c>
      <c r="P26" s="17">
        <v>2246</v>
      </c>
      <c r="Q26" s="17">
        <v>1962</v>
      </c>
      <c r="R26" s="17">
        <v>52560</v>
      </c>
      <c r="S26" s="17">
        <v>62478</v>
      </c>
      <c r="T26" s="17">
        <v>296224</v>
      </c>
      <c r="U26" s="17">
        <v>395456</v>
      </c>
      <c r="V26" s="17">
        <v>49215</v>
      </c>
      <c r="W26" s="17">
        <v>87113</v>
      </c>
      <c r="X26" s="17">
        <v>15576</v>
      </c>
      <c r="Y26" s="17">
        <v>29785</v>
      </c>
      <c r="Z26" s="17">
        <v>14459</v>
      </c>
      <c r="AA26" s="17">
        <v>3177</v>
      </c>
      <c r="AB26" s="17">
        <v>0</v>
      </c>
      <c r="AC26" s="17">
        <v>1034</v>
      </c>
      <c r="AD26" s="17">
        <v>0</v>
      </c>
      <c r="AE26" s="17">
        <v>947</v>
      </c>
      <c r="AF26" s="17">
        <f t="shared" si="6"/>
        <v>2866754</v>
      </c>
      <c r="AG26" s="18">
        <f t="shared" si="7"/>
        <v>0.9695976635068253</v>
      </c>
      <c r="AH26" s="17">
        <f t="shared" si="8"/>
        <v>-89888.850841420237</v>
      </c>
      <c r="AI26" s="20">
        <f t="shared" si="9"/>
        <v>0.4456803127485105</v>
      </c>
      <c r="AJ26" s="20">
        <f t="shared" si="10"/>
        <v>6.2174082952338339E-2</v>
      </c>
      <c r="AK26" s="21">
        <f t="shared" si="11"/>
        <v>9.1476203855317351E-2</v>
      </c>
      <c r="AL26" s="21">
        <f t="shared" si="12"/>
        <v>-1.7407326723434702E-2</v>
      </c>
      <c r="AO26" s="38">
        <f t="shared" si="13"/>
        <v>46045</v>
      </c>
      <c r="AP26" s="17">
        <f>Tabla2[[#This Row],[Web + APP 2025]]+Tabla2[[#This Row],[Afiliados 2025]]+Tabla2[[#This Row],[TMK 2025]]+Tabla2[[#This Row],[WA 2025]]+Tabla2[[#This Row],[Ent. en Tienda 2025]]</f>
        <v>1607505.2068965517</v>
      </c>
      <c r="AQ26" s="17">
        <f>Tabla2[[#This Row],[Meli Drop 2025]]+Tabla2[[#This Row],[Meli Full 2025]]+Tabla2[[#This Row],[Amazon Drop 2025]]+Tabla2[[#This Row],[Amazon Full 2025]]+Tabla2[[#This Row],[TikTok 2025]]+Tabla2[[#This Row],[Shein 2025]]</f>
        <v>375474</v>
      </c>
      <c r="AR26" s="17">
        <f>Tabla2[[#This Row],[Web + APP 2026]]+Tabla2[[#This Row],[Afiliados 2026]]+Tabla2[[#This Row],[TMK 2026]]+Tabla2[[#This Row],[WA 2026]]+Tabla2[[#This Row],[Ent. en Tienda 2026]]</f>
        <v>2349242</v>
      </c>
      <c r="AS26" s="17">
        <f>Tabla2[[#This Row],[Meli Drop 2026]]+Tabla2[[#This Row],[Meli Full 2026]]+Tabla2[[#This Row],[Amazon Drop 2026]]+Tabla2[[#This Row],[Amazon Full 2026]]+Tabla2[[#This Row],[TikTok 2026]]+Tabla2[[#This Row],[Shein 2026]]</f>
        <v>517512</v>
      </c>
      <c r="AT26" s="18">
        <f t="shared" si="14"/>
        <v>0.46142108275682969</v>
      </c>
      <c r="AU26" s="18">
        <f t="shared" si="14"/>
        <v>0.37828984164016677</v>
      </c>
      <c r="AV26" s="17">
        <f t="shared" si="15"/>
        <v>2451396.6176754502</v>
      </c>
      <c r="AW26" s="17">
        <f t="shared" si="15"/>
        <v>505246.23316597001</v>
      </c>
      <c r="AX26" s="39">
        <f t="shared" si="16"/>
        <v>0.95832799272917379</v>
      </c>
      <c r="AY26" s="39">
        <f t="shared" si="16"/>
        <v>1.0242768100559014</v>
      </c>
      <c r="AZ26" s="39">
        <f t="shared" si="17"/>
        <v>0.9695976635068253</v>
      </c>
      <c r="BA26" s="18">
        <v>2.2656781756321499E-2</v>
      </c>
      <c r="BB26" s="20">
        <v>2.7940359203315598E-2</v>
      </c>
      <c r="BC26" s="17">
        <f t="shared" si="18"/>
        <v>-102154.61767545016</v>
      </c>
      <c r="BD26" s="17">
        <f t="shared" si="18"/>
        <v>12265.766834029986</v>
      </c>
      <c r="BE26" s="32"/>
      <c r="BF26" s="40"/>
    </row>
    <row r="27" spans="1:58" ht="14.25" customHeight="1" x14ac:dyDescent="0.35">
      <c r="A27" s="19">
        <v>45682</v>
      </c>
      <c r="B27" s="17">
        <v>39679161</v>
      </c>
      <c r="C27" s="17">
        <f t="shared" si="4"/>
        <v>1581235.4827586208</v>
      </c>
      <c r="D27" s="18">
        <f>+Tabla22[[#This Row],[Share diario]]</f>
        <v>2.3023636589338259E-2</v>
      </c>
      <c r="E27" s="17">
        <f>+Tabla22[[#This Row],[Global 2026]]</f>
        <v>40446079</v>
      </c>
      <c r="F27" s="19">
        <v>46046</v>
      </c>
      <c r="G27" s="17">
        <f t="shared" si="5"/>
        <v>2533154.491659618</v>
      </c>
      <c r="H27" s="17">
        <v>2049687.0457852299</v>
      </c>
      <c r="I27" s="17">
        <v>483467.44587438798</v>
      </c>
      <c r="J27" s="17">
        <v>1103959</v>
      </c>
      <c r="K27" s="17">
        <v>1954073</v>
      </c>
      <c r="L27" s="17">
        <v>21284.482758620699</v>
      </c>
      <c r="M27" s="17">
        <f>17029+13804</f>
        <v>30833</v>
      </c>
      <c r="N27" s="17">
        <v>11116</v>
      </c>
      <c r="O27" s="17">
        <v>29064</v>
      </c>
      <c r="P27" s="17">
        <v>430</v>
      </c>
      <c r="Q27" s="17">
        <v>1720</v>
      </c>
      <c r="R27" s="17">
        <v>56626</v>
      </c>
      <c r="S27" s="17">
        <v>60413</v>
      </c>
      <c r="T27" s="17">
        <v>295266</v>
      </c>
      <c r="U27" s="17">
        <v>400858</v>
      </c>
      <c r="V27" s="17">
        <v>41484</v>
      </c>
      <c r="W27" s="17">
        <v>71989</v>
      </c>
      <c r="X27" s="17">
        <v>39494</v>
      </c>
      <c r="Y27" s="17">
        <v>36844</v>
      </c>
      <c r="Z27" s="17">
        <v>11576</v>
      </c>
      <c r="AA27" s="17">
        <v>3208</v>
      </c>
      <c r="AB27" s="17">
        <v>0</v>
      </c>
      <c r="AC27" s="17">
        <v>0</v>
      </c>
      <c r="AD27" s="17">
        <v>0</v>
      </c>
      <c r="AE27" s="17">
        <v>0</v>
      </c>
      <c r="AF27" s="17">
        <f t="shared" si="6"/>
        <v>2589002</v>
      </c>
      <c r="AG27" s="18">
        <f t="shared" si="7"/>
        <v>1.0220466254720189</v>
      </c>
      <c r="AH27" s="17">
        <f t="shared" si="8"/>
        <v>55847.508340382017</v>
      </c>
      <c r="AI27" s="20">
        <f t="shared" si="9"/>
        <v>0.63732854987748655</v>
      </c>
      <c r="AJ27" s="20">
        <f t="shared" si="10"/>
        <v>3.9850527150980357E-2</v>
      </c>
      <c r="AK27" s="21">
        <f t="shared" si="11"/>
        <v>6.4011198712241049E-2</v>
      </c>
      <c r="AL27" s="21">
        <f t="shared" si="12"/>
        <v>1.9327979238270787E-2</v>
      </c>
      <c r="AO27" s="38">
        <f t="shared" si="13"/>
        <v>46046</v>
      </c>
      <c r="AP27" s="17">
        <f>Tabla2[[#This Row],[Web + APP 2025]]+Tabla2[[#This Row],[Afiliados 2025]]+Tabla2[[#This Row],[TMK 2025]]+Tabla2[[#This Row],[WA 2025]]+Tabla2[[#This Row],[Ent. en Tienda 2025]]</f>
        <v>1193415.4827586208</v>
      </c>
      <c r="AQ27" s="17">
        <f>Tabla2[[#This Row],[Meli Drop 2025]]+Tabla2[[#This Row],[Meli Full 2025]]+Tabla2[[#This Row],[Amazon Drop 2025]]+Tabla2[[#This Row],[Amazon Full 2025]]+Tabla2[[#This Row],[TikTok 2025]]+Tabla2[[#This Row],[Shein 2025]]</f>
        <v>387820</v>
      </c>
      <c r="AR27" s="17">
        <f>Tabla2[[#This Row],[Web + APP 2026]]+Tabla2[[#This Row],[Afiliados 2026]]+Tabla2[[#This Row],[TMK 2026]]+Tabla2[[#This Row],[WA 2026]]+Tabla2[[#This Row],[Ent. en Tienda 2026]]</f>
        <v>2076103</v>
      </c>
      <c r="AS27" s="17">
        <f>Tabla2[[#This Row],[Meli Drop 2026]]+Tabla2[[#This Row],[Meli Full 2026]]+Tabla2[[#This Row],[Amazon Drop 2026]]+Tabla2[[#This Row],[Amazon Full 2026]]+Tabla2[[#This Row],[TikTok 2026]]+Tabla2[[#This Row],[Shein 2026]]</f>
        <v>512899</v>
      </c>
      <c r="AT27" s="18">
        <f t="shared" si="14"/>
        <v>0.73963136057277956</v>
      </c>
      <c r="AU27" s="18">
        <f t="shared" si="14"/>
        <v>0.32251817853643439</v>
      </c>
      <c r="AV27" s="17">
        <f t="shared" si="15"/>
        <v>2049687.0457852299</v>
      </c>
      <c r="AW27" s="17">
        <f t="shared" si="15"/>
        <v>483467.44587438798</v>
      </c>
      <c r="AX27" s="39">
        <f t="shared" si="16"/>
        <v>1.0128877987832774</v>
      </c>
      <c r="AY27" s="39">
        <f t="shared" si="16"/>
        <v>1.0608759790897251</v>
      </c>
      <c r="AZ27" s="39">
        <f t="shared" si="17"/>
        <v>1.0220466254720189</v>
      </c>
      <c r="BA27" s="18">
        <v>2.16801545235152E-2</v>
      </c>
      <c r="BB27" s="20">
        <v>2.3361781565941601E-2</v>
      </c>
      <c r="BC27" s="17">
        <f t="shared" si="18"/>
        <v>26415.954214770114</v>
      </c>
      <c r="BD27" s="17">
        <f t="shared" si="18"/>
        <v>29431.55412561202</v>
      </c>
      <c r="BE27" s="32"/>
      <c r="BF27" s="40"/>
    </row>
    <row r="28" spans="1:58" ht="14.25" customHeight="1" x14ac:dyDescent="0.35">
      <c r="A28" s="16">
        <v>45683</v>
      </c>
      <c r="B28" s="17">
        <v>37710035</v>
      </c>
      <c r="C28" s="17">
        <f t="shared" si="4"/>
        <v>1989044.2068965517</v>
      </c>
      <c r="D28" s="18">
        <f>+Tabla22[[#This Row],[Share diario]]</f>
        <v>1.835913911279885E-2</v>
      </c>
      <c r="E28" s="17">
        <f>+Tabla22[[#This Row],[Global 2026]]</f>
        <v>40762958</v>
      </c>
      <c r="F28" s="19">
        <v>46047</v>
      </c>
      <c r="G28" s="17">
        <f t="shared" si="5"/>
        <v>2021056.664635597</v>
      </c>
      <c r="H28" s="17">
        <v>1521692.2749335</v>
      </c>
      <c r="I28" s="17">
        <v>499364.38970209699</v>
      </c>
      <c r="J28" s="17">
        <v>1640079</v>
      </c>
      <c r="K28" s="17">
        <v>2194390</v>
      </c>
      <c r="L28" s="17">
        <v>18636.206896551699</v>
      </c>
      <c r="M28" s="17">
        <f>16696+14416</f>
        <v>31112</v>
      </c>
      <c r="N28" s="17">
        <v>20959</v>
      </c>
      <c r="O28" s="17">
        <v>5527</v>
      </c>
      <c r="P28" s="17">
        <v>6107</v>
      </c>
      <c r="Q28" s="17">
        <v>1670</v>
      </c>
      <c r="R28" s="17">
        <v>42996</v>
      </c>
      <c r="S28" s="17">
        <v>80142</v>
      </c>
      <c r="T28" s="17">
        <v>181222</v>
      </c>
      <c r="U28" s="17">
        <v>329347</v>
      </c>
      <c r="V28" s="17">
        <v>38455</v>
      </c>
      <c r="W28" s="17">
        <v>91250</v>
      </c>
      <c r="X28" s="17">
        <v>33258</v>
      </c>
      <c r="Y28" s="17">
        <v>31562</v>
      </c>
      <c r="Z28" s="17">
        <v>7332</v>
      </c>
      <c r="AA28" s="17">
        <v>3487</v>
      </c>
      <c r="AB28" s="17">
        <v>0</v>
      </c>
      <c r="AC28" s="17">
        <v>1118</v>
      </c>
      <c r="AD28" s="17">
        <v>0</v>
      </c>
      <c r="AE28" s="17">
        <v>0</v>
      </c>
      <c r="AF28" s="17">
        <f t="shared" si="6"/>
        <v>2769605</v>
      </c>
      <c r="AG28" s="18">
        <f t="shared" si="7"/>
        <v>1.3703747393442671</v>
      </c>
      <c r="AH28" s="17">
        <f t="shared" si="8"/>
        <v>748548.33536440297</v>
      </c>
      <c r="AI28" s="20">
        <f t="shared" si="9"/>
        <v>0.39243008797744872</v>
      </c>
      <c r="AJ28" s="20">
        <f t="shared" si="10"/>
        <v>5.274575340215281E-2</v>
      </c>
      <c r="AK28" s="21">
        <f t="shared" si="11"/>
        <v>6.7944161461491584E-2</v>
      </c>
      <c r="AL28" s="21">
        <f t="shared" si="12"/>
        <v>8.0957840532367653E-2</v>
      </c>
      <c r="AO28" s="38">
        <f t="shared" si="13"/>
        <v>46047</v>
      </c>
      <c r="AP28" s="17">
        <f>Tabla2[[#This Row],[Web + APP 2025]]+Tabla2[[#This Row],[Afiliados 2025]]+Tabla2[[#This Row],[TMK 2025]]+Tabla2[[#This Row],[WA 2025]]+Tabla2[[#This Row],[Ent. en Tienda 2025]]</f>
        <v>1728777.2068965517</v>
      </c>
      <c r="AQ28" s="17">
        <f>Tabla2[[#This Row],[Meli Drop 2025]]+Tabla2[[#This Row],[Meli Full 2025]]+Tabla2[[#This Row],[Amazon Drop 2025]]+Tabla2[[#This Row],[Amazon Full 2025]]+Tabla2[[#This Row],[TikTok 2025]]+Tabla2[[#This Row],[Shein 2025]]</f>
        <v>260267</v>
      </c>
      <c r="AR28" s="17">
        <f>Tabla2[[#This Row],[Web + APP 2026]]+Tabla2[[#This Row],[Afiliados 2026]]+Tabla2[[#This Row],[TMK 2026]]+Tabla2[[#This Row],[WA 2026]]+Tabla2[[#This Row],[Ent. en Tienda 2026]]</f>
        <v>2312841</v>
      </c>
      <c r="AS28" s="17">
        <f>Tabla2[[#This Row],[Meli Drop 2026]]+Tabla2[[#This Row],[Meli Full 2026]]+Tabla2[[#This Row],[Amazon Drop 2026]]+Tabla2[[#This Row],[Amazon Full 2026]]+Tabla2[[#This Row],[TikTok 2026]]+Tabla2[[#This Row],[Shein 2026]]</f>
        <v>456764</v>
      </c>
      <c r="AT28" s="18">
        <f t="shared" si="14"/>
        <v>0.33784792555886467</v>
      </c>
      <c r="AU28" s="18">
        <f t="shared" si="14"/>
        <v>0.75498238347543101</v>
      </c>
      <c r="AV28" s="17">
        <f t="shared" si="15"/>
        <v>1521692.2749335</v>
      </c>
      <c r="AW28" s="17">
        <f t="shared" si="15"/>
        <v>499364.38970209699</v>
      </c>
      <c r="AX28" s="39">
        <f t="shared" si="16"/>
        <v>1.5199137421533366</v>
      </c>
      <c r="AY28" s="39">
        <f t="shared" si="16"/>
        <v>0.91469077375038521</v>
      </c>
      <c r="AZ28" s="39">
        <f t="shared" si="17"/>
        <v>1.3703747393442671</v>
      </c>
      <c r="BA28" s="18">
        <v>2.2393021959735301E-2</v>
      </c>
      <c r="BB28" s="20">
        <v>1.7343839202515199E-2</v>
      </c>
      <c r="BC28" s="17">
        <f t="shared" si="18"/>
        <v>791148.72506650002</v>
      </c>
      <c r="BD28" s="17">
        <f t="shared" si="18"/>
        <v>-42600.389702096989</v>
      </c>
      <c r="BE28" s="32"/>
      <c r="BF28" s="40"/>
    </row>
    <row r="29" spans="1:58" ht="14.25" customHeight="1" x14ac:dyDescent="0.35">
      <c r="A29" s="19">
        <v>45684</v>
      </c>
      <c r="B29" s="17">
        <v>22777244</v>
      </c>
      <c r="C29" s="17">
        <f t="shared" si="4"/>
        <v>3133160.5517241377</v>
      </c>
      <c r="D29" s="18">
        <f>+Tabla22[[#This Row],[Share diario]]</f>
        <v>2.309405505637447E-2</v>
      </c>
      <c r="E29" s="17">
        <f>+Tabla22[[#This Row],[Global 2026]]</f>
        <v>22718693</v>
      </c>
      <c r="F29" s="19">
        <v>46048</v>
      </c>
      <c r="G29" s="17">
        <f t="shared" si="5"/>
        <v>2539442.467794071</v>
      </c>
      <c r="H29" s="17">
        <v>2204317.74082126</v>
      </c>
      <c r="I29" s="17">
        <v>335124.72697281098</v>
      </c>
      <c r="J29" s="17">
        <v>2287434</v>
      </c>
      <c r="K29" s="17">
        <v>3117837</v>
      </c>
      <c r="L29" s="17">
        <v>20571.551724137898</v>
      </c>
      <c r="M29" s="17">
        <f>12809+10481</f>
        <v>23290</v>
      </c>
      <c r="N29" s="17">
        <v>48184</v>
      </c>
      <c r="O29" s="17">
        <v>4291</v>
      </c>
      <c r="P29" s="17">
        <v>6325</v>
      </c>
      <c r="Q29" s="17">
        <v>1531</v>
      </c>
      <c r="R29" s="17">
        <v>38707</v>
      </c>
      <c r="S29" s="17">
        <v>43342</v>
      </c>
      <c r="T29" s="17">
        <v>428538</v>
      </c>
      <c r="U29" s="17">
        <v>517922</v>
      </c>
      <c r="V29" s="17">
        <v>34661</v>
      </c>
      <c r="W29" s="17">
        <v>78533</v>
      </c>
      <c r="X29" s="17">
        <v>41258</v>
      </c>
      <c r="Y29" s="17">
        <v>42966</v>
      </c>
      <c r="Z29" s="17">
        <v>227482</v>
      </c>
      <c r="AA29" s="17">
        <v>8314</v>
      </c>
      <c r="AB29" s="17">
        <v>0</v>
      </c>
      <c r="AC29" s="17">
        <v>10462</v>
      </c>
      <c r="AD29" s="17">
        <v>0</v>
      </c>
      <c r="AE29" s="17">
        <v>1378</v>
      </c>
      <c r="AF29" s="17">
        <f t="shared" si="6"/>
        <v>3849866</v>
      </c>
      <c r="AG29" s="18">
        <f t="shared" si="7"/>
        <v>1.5160280450630765</v>
      </c>
      <c r="AH29" s="17">
        <f t="shared" si="8"/>
        <v>1310423.532205929</v>
      </c>
      <c r="AI29" s="20">
        <f t="shared" si="9"/>
        <v>0.22874839525266855</v>
      </c>
      <c r="AJ29" s="20">
        <f t="shared" si="10"/>
        <v>0.13755661359750712</v>
      </c>
      <c r="AK29" s="21">
        <f t="shared" si="11"/>
        <v>0.16945807577927127</v>
      </c>
      <c r="AL29" s="21">
        <f t="shared" si="12"/>
        <v>-2.5705919469449778E-3</v>
      </c>
      <c r="AO29" s="38">
        <f t="shared" si="13"/>
        <v>46048</v>
      </c>
      <c r="AP29" s="17">
        <f>Tabla2[[#This Row],[Web + APP 2025]]+Tabla2[[#This Row],[Afiliados 2025]]+Tabla2[[#This Row],[TMK 2025]]+Tabla2[[#This Row],[WA 2025]]+Tabla2[[#This Row],[Ent. en Tienda 2025]]</f>
        <v>2401221.5517241377</v>
      </c>
      <c r="AQ29" s="17">
        <f>Tabla2[[#This Row],[Meli Drop 2025]]+Tabla2[[#This Row],[Meli Full 2025]]+Tabla2[[#This Row],[Amazon Drop 2025]]+Tabla2[[#This Row],[Amazon Full 2025]]+Tabla2[[#This Row],[TikTok 2025]]+Tabla2[[#This Row],[Shein 2025]]</f>
        <v>731939</v>
      </c>
      <c r="AR29" s="17">
        <f>Tabla2[[#This Row],[Web + APP 2026]]+Tabla2[[#This Row],[Afiliados 2026]]+Tabla2[[#This Row],[TMK 2026]]+Tabla2[[#This Row],[WA 2026]]+Tabla2[[#This Row],[Ent. en Tienda 2026]]</f>
        <v>3190291</v>
      </c>
      <c r="AS29" s="17">
        <f>Tabla2[[#This Row],[Meli Drop 2026]]+Tabla2[[#This Row],[Meli Full 2026]]+Tabla2[[#This Row],[Amazon Drop 2026]]+Tabla2[[#This Row],[Amazon Full 2026]]+Tabla2[[#This Row],[TikTok 2026]]+Tabla2[[#This Row],[Shein 2026]]</f>
        <v>659575</v>
      </c>
      <c r="AT29" s="18">
        <f t="shared" si="14"/>
        <v>0.32861168004647068</v>
      </c>
      <c r="AU29" s="18">
        <f t="shared" si="14"/>
        <v>-9.8866162344129815E-2</v>
      </c>
      <c r="AV29" s="17">
        <f t="shared" si="15"/>
        <v>2204317.74082126</v>
      </c>
      <c r="AW29" s="17">
        <f t="shared" si="15"/>
        <v>335124.72697281098</v>
      </c>
      <c r="AX29" s="39">
        <f t="shared" si="16"/>
        <v>1.4472918041350051</v>
      </c>
      <c r="AY29" s="39">
        <f t="shared" si="16"/>
        <v>1.9681478175542446</v>
      </c>
      <c r="AZ29" s="39">
        <f t="shared" si="17"/>
        <v>1.5160280450630765</v>
      </c>
      <c r="BA29" s="18">
        <v>1.50280146624579E-2</v>
      </c>
      <c r="BB29" s="20">
        <v>2.5124220631090599E-2</v>
      </c>
      <c r="BC29" s="17">
        <f t="shared" si="18"/>
        <v>985973.25917873997</v>
      </c>
      <c r="BD29" s="17">
        <f t="shared" si="18"/>
        <v>324450.27302718902</v>
      </c>
      <c r="BE29" s="32"/>
      <c r="BF29" s="40"/>
    </row>
    <row r="30" spans="1:58" ht="14.25" customHeight="1" x14ac:dyDescent="0.35">
      <c r="A30" s="16">
        <v>45685</v>
      </c>
      <c r="B30" s="17">
        <v>24302957</v>
      </c>
      <c r="C30" s="17">
        <f t="shared" si="4"/>
        <v>3137849.8620689656</v>
      </c>
      <c r="D30" s="18">
        <f>+Tabla22[[#This Row],[Share diario]]</f>
        <v>3.6377965874813303E-2</v>
      </c>
      <c r="E30" s="17">
        <f>+Tabla22[[#This Row],[Global 2026]]</f>
        <v>24708209</v>
      </c>
      <c r="F30" s="19">
        <v>46049</v>
      </c>
      <c r="G30" s="17">
        <f t="shared" si="5"/>
        <v>4004192.1455097869</v>
      </c>
      <c r="H30" s="17">
        <v>3061733.6027988298</v>
      </c>
      <c r="I30" s="17">
        <v>942458.542710957</v>
      </c>
      <c r="J30" s="17">
        <v>2625912</v>
      </c>
      <c r="K30" s="17">
        <v>3426615</v>
      </c>
      <c r="L30" s="17">
        <v>24700.8620689655</v>
      </c>
      <c r="M30" s="17">
        <f>16341+11476</f>
        <v>27817</v>
      </c>
      <c r="N30" s="17">
        <v>92321</v>
      </c>
      <c r="O30" s="17">
        <v>57382</v>
      </c>
      <c r="P30" s="17">
        <v>6877</v>
      </c>
      <c r="Q30" s="17">
        <v>5403</v>
      </c>
      <c r="R30" s="17">
        <v>49308</v>
      </c>
      <c r="S30" s="17">
        <v>52302</v>
      </c>
      <c r="T30" s="17">
        <v>276028</v>
      </c>
      <c r="U30" s="17">
        <v>411232</v>
      </c>
      <c r="V30" s="17">
        <v>43571</v>
      </c>
      <c r="W30" s="17">
        <v>82440</v>
      </c>
      <c r="X30" s="17">
        <v>14912</v>
      </c>
      <c r="Y30" s="17">
        <v>37763</v>
      </c>
      <c r="Z30" s="17">
        <v>4220</v>
      </c>
      <c r="AA30" s="17">
        <v>5270</v>
      </c>
      <c r="AB30" s="17">
        <v>0</v>
      </c>
      <c r="AC30" s="17">
        <v>1490</v>
      </c>
      <c r="AD30" s="17">
        <v>0</v>
      </c>
      <c r="AE30" s="17">
        <v>0</v>
      </c>
      <c r="AF30" s="17">
        <f t="shared" si="6"/>
        <v>4107714</v>
      </c>
      <c r="AG30" s="18">
        <f t="shared" si="7"/>
        <v>1.0258533683520408</v>
      </c>
      <c r="AH30" s="17">
        <f t="shared" si="8"/>
        <v>103521.8544902131</v>
      </c>
      <c r="AI30" s="20">
        <f t="shared" si="9"/>
        <v>0.30908557788406954</v>
      </c>
      <c r="AJ30" s="20">
        <f t="shared" si="10"/>
        <v>0.12911391243744394</v>
      </c>
      <c r="AK30" s="21">
        <f t="shared" si="11"/>
        <v>0.1662489579880112</v>
      </c>
      <c r="AL30" s="21">
        <f t="shared" si="12"/>
        <v>1.667500790130183E-2</v>
      </c>
      <c r="AO30" s="38">
        <f t="shared" si="13"/>
        <v>46049</v>
      </c>
      <c r="AP30" s="17">
        <f>Tabla2[[#This Row],[Web + APP 2025]]+Tabla2[[#This Row],[Afiliados 2025]]+Tabla2[[#This Row],[TMK 2025]]+Tabla2[[#This Row],[WA 2025]]+Tabla2[[#This Row],[Ent. en Tienda 2025]]</f>
        <v>2799118.8620689656</v>
      </c>
      <c r="AQ30" s="17">
        <f>Tabla2[[#This Row],[Meli Drop 2025]]+Tabla2[[#This Row],[Meli Full 2025]]+Tabla2[[#This Row],[Amazon Drop 2025]]+Tabla2[[#This Row],[Amazon Full 2025]]+Tabla2[[#This Row],[TikTok 2025]]+Tabla2[[#This Row],[Shein 2025]]</f>
        <v>338731</v>
      </c>
      <c r="AR30" s="17">
        <f>Tabla2[[#This Row],[Web + APP 2026]]+Tabla2[[#This Row],[Afiliados 2026]]+Tabla2[[#This Row],[TMK 2026]]+Tabla2[[#This Row],[WA 2026]]+Tabla2[[#This Row],[Ent. en Tienda 2026]]</f>
        <v>3569519</v>
      </c>
      <c r="AS30" s="17">
        <f>Tabla2[[#This Row],[Meli Drop 2026]]+Tabla2[[#This Row],[Meli Full 2026]]+Tabla2[[#This Row],[Amazon Drop 2026]]+Tabla2[[#This Row],[Amazon Full 2026]]+Tabla2[[#This Row],[TikTok 2026]]+Tabla2[[#This Row],[Shein 2026]]</f>
        <v>538195</v>
      </c>
      <c r="AT30" s="18">
        <f t="shared" si="14"/>
        <v>0.27522951896426218</v>
      </c>
      <c r="AU30" s="18">
        <f t="shared" si="14"/>
        <v>0.58885664435791241</v>
      </c>
      <c r="AV30" s="17">
        <f t="shared" si="15"/>
        <v>3061733.6027988298</v>
      </c>
      <c r="AW30" s="17">
        <f t="shared" si="15"/>
        <v>942458.542710957</v>
      </c>
      <c r="AX30" s="39">
        <f t="shared" si="16"/>
        <v>1.1658489807006682</v>
      </c>
      <c r="AY30" s="39">
        <f t="shared" si="16"/>
        <v>0.57105429640639294</v>
      </c>
      <c r="AZ30" s="39">
        <f t="shared" si="17"/>
        <v>1.0258533683520408</v>
      </c>
      <c r="BA30" s="18">
        <v>4.2262714919773799E-2</v>
      </c>
      <c r="BB30" s="20">
        <v>3.4896815974307903E-2</v>
      </c>
      <c r="BC30" s="17">
        <f t="shared" si="18"/>
        <v>507785.39720117021</v>
      </c>
      <c r="BD30" s="17">
        <f t="shared" si="18"/>
        <v>-404263.542710957</v>
      </c>
      <c r="BE30" s="32"/>
      <c r="BF30" s="40"/>
    </row>
    <row r="31" spans="1:58" ht="14.25" customHeight="1" x14ac:dyDescent="0.35">
      <c r="A31" s="19">
        <v>45686</v>
      </c>
      <c r="B31" s="17">
        <v>26923427</v>
      </c>
      <c r="C31" s="17">
        <f t="shared" si="4"/>
        <v>2877999.6206896552</v>
      </c>
      <c r="D31" s="18">
        <f>+Tabla22[[#This Row],[Share diario]]</f>
        <v>3.6432411719156226E-2</v>
      </c>
      <c r="E31" s="17">
        <f>+Tabla22[[#This Row],[Global 2026]]</f>
        <v>25710859</v>
      </c>
      <c r="F31" s="19">
        <v>46050</v>
      </c>
      <c r="G31" s="17">
        <f t="shared" si="5"/>
        <v>4005238.3203741871</v>
      </c>
      <c r="H31" s="17">
        <v>3569081.8583861999</v>
      </c>
      <c r="I31" s="17">
        <v>436156.46198798699</v>
      </c>
      <c r="J31" s="17">
        <v>2418581</v>
      </c>
      <c r="K31" s="17">
        <v>2794957</v>
      </c>
      <c r="L31" s="17">
        <v>20333.620689655199</v>
      </c>
      <c r="M31" s="17">
        <f>128+1268</f>
        <v>1396</v>
      </c>
      <c r="N31" s="17">
        <v>55131</v>
      </c>
      <c r="O31" s="17">
        <v>24203</v>
      </c>
      <c r="P31" s="17">
        <v>6277</v>
      </c>
      <c r="Q31" s="17">
        <v>1791</v>
      </c>
      <c r="R31" s="17">
        <v>82493</v>
      </c>
      <c r="S31" s="17">
        <v>86934</v>
      </c>
      <c r="T31" s="17">
        <v>224454</v>
      </c>
      <c r="U31" s="17">
        <v>411456</v>
      </c>
      <c r="V31" s="17">
        <v>43095</v>
      </c>
      <c r="W31" s="17">
        <v>58025</v>
      </c>
      <c r="X31" s="17">
        <v>21531</v>
      </c>
      <c r="Y31" s="17">
        <v>39072</v>
      </c>
      <c r="Z31" s="17">
        <v>6104</v>
      </c>
      <c r="AA31" s="17">
        <v>4163</v>
      </c>
      <c r="AB31" s="17">
        <v>0</v>
      </c>
      <c r="AC31" s="17">
        <v>4865</v>
      </c>
      <c r="AD31" s="17">
        <v>0</v>
      </c>
      <c r="AE31" s="17">
        <v>0</v>
      </c>
      <c r="AF31" s="17">
        <f t="shared" si="6"/>
        <v>3426862</v>
      </c>
      <c r="AG31" s="18">
        <f t="shared" si="7"/>
        <v>0.85559502978086144</v>
      </c>
      <c r="AH31" s="17">
        <f t="shared" si="8"/>
        <v>-578376.32037418708</v>
      </c>
      <c r="AI31" s="20">
        <f t="shared" si="9"/>
        <v>0.19070967743172274</v>
      </c>
      <c r="AJ31" s="20">
        <f t="shared" si="10"/>
        <v>0.10689573881845187</v>
      </c>
      <c r="AK31" s="21">
        <f t="shared" si="11"/>
        <v>0.1332846172117392</v>
      </c>
      <c r="AL31" s="21">
        <f t="shared" si="12"/>
        <v>-4.5037654381814063E-2</v>
      </c>
      <c r="AO31" s="38">
        <f t="shared" si="13"/>
        <v>46050</v>
      </c>
      <c r="AP31" s="17">
        <f>Tabla2[[#This Row],[Web + APP 2025]]+Tabla2[[#This Row],[Afiliados 2025]]+Tabla2[[#This Row],[TMK 2025]]+Tabla2[[#This Row],[WA 2025]]+Tabla2[[#This Row],[Ent. en Tienda 2025]]</f>
        <v>2582815.6206896552</v>
      </c>
      <c r="AQ31" s="17">
        <f>Tabla2[[#This Row],[Meli Drop 2025]]+Tabla2[[#This Row],[Meli Full 2025]]+Tabla2[[#This Row],[Amazon Drop 2025]]+Tabla2[[#This Row],[Amazon Full 2025]]+Tabla2[[#This Row],[TikTok 2025]]+Tabla2[[#This Row],[Shein 2025]]</f>
        <v>295184</v>
      </c>
      <c r="AR31" s="17">
        <f>Tabla2[[#This Row],[Web + APP 2026]]+Tabla2[[#This Row],[Afiliados 2026]]+Tabla2[[#This Row],[TMK 2026]]+Tabla2[[#This Row],[WA 2026]]+Tabla2[[#This Row],[Ent. en Tienda 2026]]</f>
        <v>2909281</v>
      </c>
      <c r="AS31" s="17">
        <f>Tabla2[[#This Row],[Meli Drop 2026]]+Tabla2[[#This Row],[Meli Full 2026]]+Tabla2[[#This Row],[Amazon Drop 2026]]+Tabla2[[#This Row],[Amazon Full 2026]]+Tabla2[[#This Row],[TikTok 2026]]+Tabla2[[#This Row],[Shein 2026]]</f>
        <v>517581</v>
      </c>
      <c r="AT31" s="18">
        <f t="shared" si="14"/>
        <v>0.12639902620039645</v>
      </c>
      <c r="AU31" s="18">
        <f t="shared" si="14"/>
        <v>0.75341820694888617</v>
      </c>
      <c r="AV31" s="17">
        <f t="shared" si="15"/>
        <v>3569081.8583861999</v>
      </c>
      <c r="AW31" s="17">
        <f t="shared" si="15"/>
        <v>436156.46198798699</v>
      </c>
      <c r="AX31" s="39">
        <f t="shared" si="16"/>
        <v>0.81513428815428279</v>
      </c>
      <c r="AY31" s="39">
        <f t="shared" si="16"/>
        <v>1.1866865336372241</v>
      </c>
      <c r="AZ31" s="39">
        <f t="shared" si="17"/>
        <v>0.85559502978086144</v>
      </c>
      <c r="BA31" s="18">
        <v>1.9558585739371599E-2</v>
      </c>
      <c r="BB31" s="20">
        <v>4.0679434910825998E-2</v>
      </c>
      <c r="BC31" s="17">
        <f t="shared" si="18"/>
        <v>-659800.85838619992</v>
      </c>
      <c r="BD31" s="17">
        <f t="shared" si="18"/>
        <v>81424.538012013014</v>
      </c>
      <c r="BE31" s="32"/>
      <c r="BF31" s="40"/>
    </row>
    <row r="32" spans="1:58" ht="14.25" customHeight="1" x14ac:dyDescent="0.35">
      <c r="A32" s="16">
        <v>45687</v>
      </c>
      <c r="B32" s="17">
        <v>30741390</v>
      </c>
      <c r="C32" s="17">
        <f t="shared" si="4"/>
        <v>2556179.1034482759</v>
      </c>
      <c r="D32" s="18">
        <f>+Tabla22[[#This Row],[Share diario]]</f>
        <v>3.3415386878773629E-2</v>
      </c>
      <c r="E32" s="17">
        <f>+Tabla22[[#This Row],[Global 2026]]</f>
        <v>28535339</v>
      </c>
      <c r="F32" s="19">
        <v>46051</v>
      </c>
      <c r="G32" s="17">
        <f t="shared" si="5"/>
        <v>3673363.8788741999</v>
      </c>
      <c r="H32" s="17">
        <v>3293279.3602577699</v>
      </c>
      <c r="I32" s="17">
        <v>380084.51861643</v>
      </c>
      <c r="J32" s="17">
        <v>2124088</v>
      </c>
      <c r="K32" s="17">
        <v>2450518</v>
      </c>
      <c r="L32" s="17">
        <v>20593.103448275899</v>
      </c>
      <c r="M32" s="17">
        <f>369+128</f>
        <v>497</v>
      </c>
      <c r="N32" s="17">
        <v>61017</v>
      </c>
      <c r="O32" s="17">
        <v>6335</v>
      </c>
      <c r="P32" s="17">
        <v>4303</v>
      </c>
      <c r="Q32" s="17">
        <v>6576</v>
      </c>
      <c r="R32" s="17">
        <v>68703</v>
      </c>
      <c r="S32" s="17">
        <v>61831</v>
      </c>
      <c r="T32" s="17">
        <v>188379</v>
      </c>
      <c r="U32" s="17">
        <v>318201</v>
      </c>
      <c r="V32" s="17">
        <v>64182</v>
      </c>
      <c r="W32" s="17">
        <v>69719</v>
      </c>
      <c r="X32" s="17">
        <v>18890</v>
      </c>
      <c r="Y32" s="17">
        <v>44859</v>
      </c>
      <c r="Z32" s="17">
        <v>6024</v>
      </c>
      <c r="AA32" s="17">
        <v>6441</v>
      </c>
      <c r="AB32" s="17">
        <v>0</v>
      </c>
      <c r="AC32" s="17">
        <v>10362</v>
      </c>
      <c r="AD32" s="17">
        <v>0</v>
      </c>
      <c r="AE32" s="17">
        <v>0</v>
      </c>
      <c r="AF32" s="17">
        <f t="shared" si="6"/>
        <v>2975339</v>
      </c>
      <c r="AG32" s="18">
        <f t="shared" si="7"/>
        <v>0.80997665848227152</v>
      </c>
      <c r="AH32" s="17">
        <f t="shared" si="8"/>
        <v>-698024.87887419993</v>
      </c>
      <c r="AI32" s="20">
        <f t="shared" si="9"/>
        <v>0.16397907955130342</v>
      </c>
      <c r="AJ32" s="20">
        <f t="shared" si="10"/>
        <v>8.3151058018140225E-2</v>
      </c>
      <c r="AK32" s="21">
        <f t="shared" si="11"/>
        <v>0.10426857028052129</v>
      </c>
      <c r="AL32" s="21">
        <f t="shared" si="12"/>
        <v>-7.1761589179929697E-2</v>
      </c>
      <c r="AO32" s="38">
        <f t="shared" si="13"/>
        <v>46051</v>
      </c>
      <c r="AP32" s="17">
        <f>Tabla2[[#This Row],[Web + APP 2025]]+Tabla2[[#This Row],[Afiliados 2025]]+Tabla2[[#This Row],[TMK 2025]]+Tabla2[[#This Row],[WA 2025]]+Tabla2[[#This Row],[Ent. en Tienda 2025]]</f>
        <v>2278704.1034482759</v>
      </c>
      <c r="AQ32" s="17">
        <f>Tabla2[[#This Row],[Meli Drop 2025]]+Tabla2[[#This Row],[Meli Full 2025]]+Tabla2[[#This Row],[Amazon Drop 2025]]+Tabla2[[#This Row],[Amazon Full 2025]]+Tabla2[[#This Row],[TikTok 2025]]+Tabla2[[#This Row],[Shein 2025]]</f>
        <v>277475</v>
      </c>
      <c r="AR32" s="17">
        <f>Tabla2[[#This Row],[Web + APP 2026]]+Tabla2[[#This Row],[Afiliados 2026]]+Tabla2[[#This Row],[TMK 2026]]+Tabla2[[#This Row],[WA 2026]]+Tabla2[[#This Row],[Ent. en Tienda 2026]]</f>
        <v>2525757</v>
      </c>
      <c r="AS32" s="17">
        <f>Tabla2[[#This Row],[Meli Drop 2026]]+Tabla2[[#This Row],[Meli Full 2026]]+Tabla2[[#This Row],[Amazon Drop 2026]]+Tabla2[[#This Row],[Amazon Full 2026]]+Tabla2[[#This Row],[TikTok 2026]]+Tabla2[[#This Row],[Shein 2026]]</f>
        <v>449582</v>
      </c>
      <c r="AT32" s="18">
        <f t="shared" si="14"/>
        <v>0.10841815581841807</v>
      </c>
      <c r="AU32" s="18">
        <f t="shared" si="14"/>
        <v>0.62026128480043252</v>
      </c>
      <c r="AV32" s="17">
        <f t="shared" si="15"/>
        <v>3293279.3602577699</v>
      </c>
      <c r="AW32" s="17">
        <f t="shared" si="15"/>
        <v>380084.51861643</v>
      </c>
      <c r="AX32" s="39">
        <f t="shared" si="16"/>
        <v>0.76694283226622628</v>
      </c>
      <c r="AY32" s="39">
        <f t="shared" si="16"/>
        <v>1.1828474404496985</v>
      </c>
      <c r="AZ32" s="39">
        <f t="shared" si="17"/>
        <v>0.80997665848227152</v>
      </c>
      <c r="BA32" s="18">
        <v>1.7044148816880302E-2</v>
      </c>
      <c r="BB32" s="20">
        <v>3.7535912230196998E-2</v>
      </c>
      <c r="BC32" s="17">
        <f t="shared" si="18"/>
        <v>-767522.36025776993</v>
      </c>
      <c r="BD32" s="17">
        <f t="shared" si="18"/>
        <v>69497.481383570004</v>
      </c>
      <c r="BE32" s="32"/>
      <c r="BF32" s="40"/>
    </row>
    <row r="33" spans="1:58" ht="14.25" customHeight="1" x14ac:dyDescent="0.35">
      <c r="A33" s="19">
        <v>45688</v>
      </c>
      <c r="B33" s="17">
        <v>36726305</v>
      </c>
      <c r="C33" s="17">
        <f t="shared" si="4"/>
        <v>2351622.2068965519</v>
      </c>
      <c r="D33" s="18">
        <f>+Tabla22[[#This Row],[Share diario]]</f>
        <v>2.9678848134348498E-2</v>
      </c>
      <c r="E33" s="17">
        <f>+Tabla22[[#This Row],[Global 2026]]</f>
        <v>32375122</v>
      </c>
      <c r="F33" s="19">
        <v>46052</v>
      </c>
      <c r="G33" s="17">
        <f t="shared" si="5"/>
        <v>3262796.9441023073</v>
      </c>
      <c r="H33" s="17">
        <v>2905514.8698601602</v>
      </c>
      <c r="I33" s="17">
        <v>357282.07424214698</v>
      </c>
      <c r="J33" s="17">
        <v>1896380</v>
      </c>
      <c r="K33" s="17">
        <v>1981506</v>
      </c>
      <c r="L33" s="17">
        <v>18311.206896551699</v>
      </c>
      <c r="M33" s="17">
        <f>13851+10016</f>
        <v>23867</v>
      </c>
      <c r="N33" s="17">
        <v>57647</v>
      </c>
      <c r="O33" s="17">
        <v>19840</v>
      </c>
      <c r="P33" s="17">
        <v>630</v>
      </c>
      <c r="Q33" s="17">
        <v>1512</v>
      </c>
      <c r="R33" s="17">
        <v>46392</v>
      </c>
      <c r="S33" s="17">
        <v>79127</v>
      </c>
      <c r="T33" s="17">
        <v>251795</v>
      </c>
      <c r="U33" s="17">
        <v>341849</v>
      </c>
      <c r="V33" s="17">
        <v>49925</v>
      </c>
      <c r="W33" s="17">
        <v>52697</v>
      </c>
      <c r="X33" s="17">
        <v>25033</v>
      </c>
      <c r="Y33" s="17">
        <v>28869</v>
      </c>
      <c r="Z33" s="17">
        <v>5509</v>
      </c>
      <c r="AA33" s="17">
        <v>3232</v>
      </c>
      <c r="AB33" s="17">
        <v>0</v>
      </c>
      <c r="AC33" s="17">
        <v>4079</v>
      </c>
      <c r="AD33" s="17">
        <v>0</v>
      </c>
      <c r="AE33" s="17">
        <v>0</v>
      </c>
      <c r="AF33" s="17">
        <f t="shared" si="6"/>
        <v>2536578</v>
      </c>
      <c r="AG33" s="18">
        <f t="shared" si="7"/>
        <v>0.77742441330436152</v>
      </c>
      <c r="AH33" s="17">
        <f t="shared" si="8"/>
        <v>-726218.94410230732</v>
      </c>
      <c r="AI33" s="20">
        <f t="shared" si="9"/>
        <v>7.8650300444107257E-2</v>
      </c>
      <c r="AJ33" s="20">
        <f t="shared" si="10"/>
        <v>6.4031004668086047E-2</v>
      </c>
      <c r="AK33" s="21">
        <f t="shared" si="11"/>
        <v>7.8349604365969647E-2</v>
      </c>
      <c r="AL33" s="21">
        <f t="shared" si="12"/>
        <v>-0.11847592617879743</v>
      </c>
      <c r="AO33" s="38">
        <f t="shared" si="13"/>
        <v>46052</v>
      </c>
      <c r="AP33" s="17">
        <f>Tabla2[[#This Row],[Web + APP 2025]]+Tabla2[[#This Row],[Afiliados 2025]]+Tabla2[[#This Row],[TMK 2025]]+Tabla2[[#This Row],[WA 2025]]+Tabla2[[#This Row],[Ent. en Tienda 2025]]</f>
        <v>2019360.2068965517</v>
      </c>
      <c r="AQ33" s="17">
        <f>Tabla2[[#This Row],[Meli Drop 2025]]+Tabla2[[#This Row],[Meli Full 2025]]+Tabla2[[#This Row],[Amazon Drop 2025]]+Tabla2[[#This Row],[Amazon Full 2025]]+Tabla2[[#This Row],[TikTok 2025]]+Tabla2[[#This Row],[Shein 2025]]</f>
        <v>332262</v>
      </c>
      <c r="AR33" s="17">
        <f>Tabla2[[#This Row],[Web + APP 2026]]+Tabla2[[#This Row],[Afiliados 2026]]+Tabla2[[#This Row],[TMK 2026]]+Tabla2[[#This Row],[WA 2026]]+Tabla2[[#This Row],[Ent. en Tienda 2026]]</f>
        <v>2105852</v>
      </c>
      <c r="AS33" s="17">
        <f>Tabla2[[#This Row],[Meli Drop 2026]]+Tabla2[[#This Row],[Meli Full 2026]]+Tabla2[[#This Row],[Amazon Drop 2026]]+Tabla2[[#This Row],[Amazon Full 2026]]+Tabla2[[#This Row],[TikTok 2026]]+Tabla2[[#This Row],[Shein 2026]]</f>
        <v>430726</v>
      </c>
      <c r="AT33" s="18">
        <f t="shared" si="14"/>
        <v>4.2831285279397058E-2</v>
      </c>
      <c r="AU33" s="18">
        <f t="shared" si="14"/>
        <v>0.29634445106572516</v>
      </c>
      <c r="AV33" s="17">
        <f t="shared" si="15"/>
        <v>2905514.8698601602</v>
      </c>
      <c r="AW33" s="17">
        <f t="shared" si="15"/>
        <v>357282.07424214698</v>
      </c>
      <c r="AX33" s="39">
        <f t="shared" si="16"/>
        <v>0.72477756759900969</v>
      </c>
      <c r="AY33" s="39">
        <f t="shared" si="16"/>
        <v>1.2055628620989156</v>
      </c>
      <c r="AZ33" s="39">
        <f t="shared" si="17"/>
        <v>0.77742441330436152</v>
      </c>
      <c r="BA33" s="18">
        <v>1.6021617679019998E-2</v>
      </c>
      <c r="BB33" s="20">
        <v>3.3116276880339399E-2</v>
      </c>
      <c r="BC33" s="17">
        <f t="shared" si="18"/>
        <v>-799662.86986016016</v>
      </c>
      <c r="BD33" s="17">
        <f t="shared" si="18"/>
        <v>73443.925757853023</v>
      </c>
      <c r="BE33" s="32"/>
      <c r="BF33" s="40"/>
    </row>
    <row r="34" spans="1:58" ht="14.25" customHeight="1" x14ac:dyDescent="0.35">
      <c r="A34" s="16">
        <v>45689</v>
      </c>
      <c r="B34" s="17">
        <v>37793760</v>
      </c>
      <c r="C34" s="17">
        <f t="shared" si="4"/>
        <v>1774200.1034482759</v>
      </c>
      <c r="D34" s="18">
        <f>+Tabla22[[#This Row],[Share diario]]</f>
        <v>2.7303813826540225E-2</v>
      </c>
      <c r="E34" s="17">
        <f>+Tabla22[[#This Row],[Global 2026]]</f>
        <v>38921712</v>
      </c>
      <c r="F34" s="19">
        <v>46053</v>
      </c>
      <c r="G34" s="17">
        <f t="shared" si="5"/>
        <v>3002659.2343073953</v>
      </c>
      <c r="H34" s="17">
        <v>2574832.3794489601</v>
      </c>
      <c r="I34" s="17">
        <v>427826.85485843499</v>
      </c>
      <c r="J34" s="17">
        <v>1345714</v>
      </c>
      <c r="K34" s="17">
        <v>1742488</v>
      </c>
      <c r="L34" s="17">
        <v>19268.103448275899</v>
      </c>
      <c r="M34" s="17">
        <f>18139+12919</f>
        <v>31058</v>
      </c>
      <c r="N34" s="17">
        <v>24746</v>
      </c>
      <c r="O34" s="17">
        <v>21274</v>
      </c>
      <c r="P34" s="17">
        <v>1652</v>
      </c>
      <c r="Q34" s="17">
        <v>662</v>
      </c>
      <c r="R34" s="17">
        <v>52485</v>
      </c>
      <c r="S34" s="17">
        <v>34276</v>
      </c>
      <c r="T34" s="17">
        <v>259164</v>
      </c>
      <c r="U34" s="17">
        <v>350135</v>
      </c>
      <c r="V34" s="17">
        <v>40620</v>
      </c>
      <c r="W34" s="17">
        <v>69841</v>
      </c>
      <c r="X34" s="17">
        <v>24306</v>
      </c>
      <c r="Y34" s="17">
        <v>46260</v>
      </c>
      <c r="Z34" s="17">
        <v>6245</v>
      </c>
      <c r="AA34" s="17">
        <v>4173</v>
      </c>
      <c r="AB34" s="17">
        <v>0</v>
      </c>
      <c r="AC34" s="17">
        <v>418</v>
      </c>
      <c r="AD34" s="17">
        <v>0</v>
      </c>
      <c r="AE34" s="17">
        <v>0</v>
      </c>
      <c r="AF34" s="17">
        <f t="shared" si="6"/>
        <v>2300585</v>
      </c>
      <c r="AG34" s="18">
        <f t="shared" si="7"/>
        <v>0.76618251372459245</v>
      </c>
      <c r="AH34" s="17">
        <f t="shared" si="8"/>
        <v>-702074.23430739529</v>
      </c>
      <c r="AI34" s="20">
        <f t="shared" si="9"/>
        <v>0.29668857279889682</v>
      </c>
      <c r="AJ34" s="20">
        <f t="shared" si="10"/>
        <v>4.6944260201903065E-2</v>
      </c>
      <c r="AK34" s="21">
        <f t="shared" si="11"/>
        <v>5.9108011487264488E-2</v>
      </c>
      <c r="AL34" s="21">
        <f t="shared" si="12"/>
        <v>2.9844926781563919E-2</v>
      </c>
      <c r="AO34" s="38">
        <f t="shared" si="13"/>
        <v>46053</v>
      </c>
      <c r="AP34" s="17">
        <f>Tabla2[[#This Row],[Web + APP 2025]]+Tabla2[[#This Row],[Afiliados 2025]]+Tabla2[[#This Row],[TMK 2025]]+Tabla2[[#This Row],[WA 2025]]+Tabla2[[#This Row],[Ent. en Tienda 2025]]</f>
        <v>1443865.1034482759</v>
      </c>
      <c r="AQ34" s="17">
        <f>Tabla2[[#This Row],[Meli Drop 2025]]+Tabla2[[#This Row],[Meli Full 2025]]+Tabla2[[#This Row],[Amazon Drop 2025]]+Tabla2[[#This Row],[Amazon Full 2025]]+Tabla2[[#This Row],[TikTok 2025]]+Tabla2[[#This Row],[Shein 2025]]</f>
        <v>330335</v>
      </c>
      <c r="AR34" s="17">
        <f>Tabla2[[#This Row],[Web + APP 2026]]+Tabla2[[#This Row],[Afiliados 2026]]+Tabla2[[#This Row],[TMK 2026]]+Tabla2[[#This Row],[WA 2026]]+Tabla2[[#This Row],[Ent. en Tienda 2026]]</f>
        <v>1829758</v>
      </c>
      <c r="AS34" s="17">
        <f>Tabla2[[#This Row],[Meli Drop 2026]]+Tabla2[[#This Row],[Meli Full 2026]]+Tabla2[[#This Row],[Amazon Drop 2026]]+Tabla2[[#This Row],[Amazon Full 2026]]+Tabla2[[#This Row],[TikTok 2026]]+Tabla2[[#This Row],[Shein 2026]]</f>
        <v>470827</v>
      </c>
      <c r="AT34" s="18">
        <f t="shared" si="14"/>
        <v>0.26726381545625322</v>
      </c>
      <c r="AU34" s="18">
        <f t="shared" si="14"/>
        <v>0.42530158778210003</v>
      </c>
      <c r="AV34" s="17">
        <f t="shared" si="15"/>
        <v>2574832.3794489601</v>
      </c>
      <c r="AW34" s="17">
        <f t="shared" si="15"/>
        <v>427826.85485843499</v>
      </c>
      <c r="AX34" s="39">
        <f t="shared" si="16"/>
        <v>0.71063188990639714</v>
      </c>
      <c r="AY34" s="39">
        <f t="shared" si="16"/>
        <v>1.1005082889333664</v>
      </c>
      <c r="AZ34" s="39">
        <f t="shared" si="17"/>
        <v>0.76618251372459245</v>
      </c>
      <c r="BA34" s="18">
        <v>1.9185060755983599E-2</v>
      </c>
      <c r="BB34" s="20">
        <v>2.93472468108203E-2</v>
      </c>
      <c r="BC34" s="17">
        <f t="shared" si="18"/>
        <v>-745074.37944896007</v>
      </c>
      <c r="BD34" s="17">
        <f t="shared" si="18"/>
        <v>43000.145141565008</v>
      </c>
      <c r="BE34" s="32"/>
      <c r="BF34" s="40"/>
    </row>
    <row r="35" spans="1:58" ht="14.25" customHeight="1" x14ac:dyDescent="0.35">
      <c r="A35" s="19">
        <v>45690</v>
      </c>
      <c r="B35" s="17">
        <v>31352601</v>
      </c>
      <c r="C35" s="17">
        <f t="shared" si="4"/>
        <v>1727235.7931034483</v>
      </c>
      <c r="D35" s="18">
        <f>+Tabla22[[#This Row],[Share diario]]</f>
        <v>2.2985735780986245E-2</v>
      </c>
      <c r="E35" s="17">
        <f>+Tabla22[[#This Row],[Global 2026]]</f>
        <v>37738958</v>
      </c>
      <c r="F35" s="19">
        <v>46054</v>
      </c>
      <c r="G35" s="17">
        <f t="shared" si="5"/>
        <v>2165003.3801577878</v>
      </c>
      <c r="H35" s="17">
        <v>1726695.11515695</v>
      </c>
      <c r="I35" s="17">
        <v>438308.26500083797</v>
      </c>
      <c r="J35" s="17">
        <v>1308491</v>
      </c>
      <c r="K35" s="17">
        <v>2180837</v>
      </c>
      <c r="L35" s="17">
        <v>20338.793103448301</v>
      </c>
      <c r="M35" s="17">
        <f>18122+13547</f>
        <v>31669</v>
      </c>
      <c r="N35" s="17">
        <v>36076</v>
      </c>
      <c r="O35" s="17">
        <v>-2281</v>
      </c>
      <c r="P35" s="17">
        <v>6773</v>
      </c>
      <c r="Q35" s="17">
        <v>715</v>
      </c>
      <c r="R35" s="17">
        <v>66898</v>
      </c>
      <c r="S35" s="17">
        <v>55760</v>
      </c>
      <c r="T35" s="17">
        <v>214500</v>
      </c>
      <c r="U35" s="17">
        <v>327974</v>
      </c>
      <c r="V35" s="17">
        <v>45990</v>
      </c>
      <c r="W35" s="17">
        <v>76980</v>
      </c>
      <c r="X35" s="17">
        <v>25758</v>
      </c>
      <c r="Y35" s="17">
        <v>25893</v>
      </c>
      <c r="Z35" s="17">
        <v>2411</v>
      </c>
      <c r="AA35" s="17">
        <v>4383</v>
      </c>
      <c r="AB35" s="17">
        <v>0</v>
      </c>
      <c r="AC35" s="17">
        <v>774</v>
      </c>
      <c r="AD35" s="17">
        <v>0</v>
      </c>
      <c r="AE35" s="17">
        <v>0</v>
      </c>
      <c r="AF35" s="17">
        <f t="shared" si="6"/>
        <v>2702704</v>
      </c>
      <c r="AG35" s="18">
        <f t="shared" si="7"/>
        <v>1.2483601756792748</v>
      </c>
      <c r="AH35" s="17">
        <f t="shared" si="8"/>
        <v>537700.61984221218</v>
      </c>
      <c r="AI35" s="20">
        <f t="shared" si="9"/>
        <v>0.5647568275225805</v>
      </c>
      <c r="AJ35" s="20">
        <f t="shared" si="10"/>
        <v>5.5090669928898349E-2</v>
      </c>
      <c r="AK35" s="21">
        <f t="shared" si="11"/>
        <v>7.1615755792727498E-2</v>
      </c>
      <c r="AL35" s="21">
        <f t="shared" si="12"/>
        <v>0.2036946472160317</v>
      </c>
      <c r="AO35" s="38">
        <f t="shared" si="13"/>
        <v>46054</v>
      </c>
      <c r="AP35" s="17">
        <f>Tabla2[[#This Row],[Web + APP 2025]]+Tabla2[[#This Row],[Afiliados 2025]]+Tabla2[[#This Row],[TMK 2025]]+Tabla2[[#This Row],[WA 2025]]+Tabla2[[#This Row],[Ent. en Tienda 2025]]</f>
        <v>1438576.7931034483</v>
      </c>
      <c r="AQ35" s="17">
        <f>Tabla2[[#This Row],[Meli Drop 2025]]+Tabla2[[#This Row],[Meli Full 2025]]+Tabla2[[#This Row],[Amazon Drop 2025]]+Tabla2[[#This Row],[Amazon Full 2025]]+Tabla2[[#This Row],[TikTok 2025]]+Tabla2[[#This Row],[Shein 2025]]</f>
        <v>288659</v>
      </c>
      <c r="AR35" s="17">
        <f>Tabla2[[#This Row],[Web + APP 2026]]+Tabla2[[#This Row],[Afiliados 2026]]+Tabla2[[#This Row],[TMK 2026]]+Tabla2[[#This Row],[WA 2026]]+Tabla2[[#This Row],[Ent. en Tienda 2026]]</f>
        <v>2266700</v>
      </c>
      <c r="AS35" s="17">
        <f>Tabla2[[#This Row],[Meli Drop 2026]]+Tabla2[[#This Row],[Meli Full 2026]]+Tabla2[[#This Row],[Amazon Drop 2026]]+Tabla2[[#This Row],[Amazon Full 2026]]+Tabla2[[#This Row],[TikTok 2026]]+Tabla2[[#This Row],[Shein 2026]]</f>
        <v>436004</v>
      </c>
      <c r="AT35" s="18">
        <f t="shared" si="14"/>
        <v>0.57565450163424203</v>
      </c>
      <c r="AU35" s="18">
        <f t="shared" si="14"/>
        <v>0.51044658229952988</v>
      </c>
      <c r="AV35" s="17">
        <f t="shared" si="15"/>
        <v>1726695.11515695</v>
      </c>
      <c r="AW35" s="17">
        <f t="shared" si="15"/>
        <v>438308.26500083797</v>
      </c>
      <c r="AX35" s="39">
        <f t="shared" si="16"/>
        <v>1.3127389891260366</v>
      </c>
      <c r="AY35" s="39">
        <f t="shared" si="16"/>
        <v>0.99474282101243616</v>
      </c>
      <c r="AZ35" s="39">
        <f t="shared" si="17"/>
        <v>1.2483601756792748</v>
      </c>
      <c r="BA35" s="18">
        <v>3.1307733214345601E-2</v>
      </c>
      <c r="BB35" s="20">
        <v>2.1668015982361701E-2</v>
      </c>
      <c r="BC35" s="17">
        <f t="shared" si="18"/>
        <v>540004.88484305004</v>
      </c>
      <c r="BD35" s="17">
        <f t="shared" si="18"/>
        <v>-2304.2650008379715</v>
      </c>
      <c r="BE35" s="32"/>
      <c r="BF35" s="40"/>
    </row>
    <row r="36" spans="1:58" ht="14.25" customHeight="1" x14ac:dyDescent="0.35">
      <c r="A36" s="16">
        <v>45691</v>
      </c>
      <c r="B36" s="17">
        <v>36434352</v>
      </c>
      <c r="C36" s="17">
        <f t="shared" si="4"/>
        <v>2412188.7931034481</v>
      </c>
      <c r="D36" s="18">
        <f>+Tabla22[[#This Row],[Share diario]]</f>
        <v>2.2377287372813828E-2</v>
      </c>
      <c r="E36" s="17">
        <f>+Tabla22[[#This Row],[Global 2026]]</f>
        <v>33698919</v>
      </c>
      <c r="F36" s="19">
        <v>46055</v>
      </c>
      <c r="G36" s="17">
        <f t="shared" si="5"/>
        <v>2103380.961465802</v>
      </c>
      <c r="H36" s="17">
        <v>1720370.9096490799</v>
      </c>
      <c r="I36" s="17">
        <v>383010.05181672203</v>
      </c>
      <c r="J36" s="17">
        <v>2010759</v>
      </c>
      <c r="K36" s="17">
        <v>2671764</v>
      </c>
      <c r="L36" s="17">
        <v>23738.793103448301</v>
      </c>
      <c r="M36" s="17">
        <f>17032+13323</f>
        <v>30355</v>
      </c>
      <c r="N36" s="17">
        <v>37153</v>
      </c>
      <c r="O36" s="17">
        <v>15499</v>
      </c>
      <c r="P36" s="17">
        <v>756</v>
      </c>
      <c r="Q36" s="17">
        <v>3214</v>
      </c>
      <c r="R36" s="17">
        <v>54921</v>
      </c>
      <c r="S36" s="17">
        <v>64407</v>
      </c>
      <c r="T36" s="17">
        <v>213227</v>
      </c>
      <c r="U36" s="17">
        <v>374619</v>
      </c>
      <c r="V36" s="17">
        <v>32459</v>
      </c>
      <c r="W36" s="17">
        <v>115869</v>
      </c>
      <c r="X36" s="17">
        <v>34007</v>
      </c>
      <c r="Y36" s="17">
        <v>34782</v>
      </c>
      <c r="Z36" s="17">
        <v>5168</v>
      </c>
      <c r="AA36" s="17">
        <v>5635</v>
      </c>
      <c r="AB36" s="17">
        <v>0</v>
      </c>
      <c r="AC36" s="17">
        <v>-148</v>
      </c>
      <c r="AD36" s="17">
        <v>0</v>
      </c>
      <c r="AE36" s="17">
        <v>0</v>
      </c>
      <c r="AF36" s="17">
        <f t="shared" si="6"/>
        <v>3315996</v>
      </c>
      <c r="AG36" s="18">
        <f t="shared" si="7"/>
        <v>1.5765075660327132</v>
      </c>
      <c r="AH36" s="17">
        <f t="shared" si="8"/>
        <v>1212615.038534198</v>
      </c>
      <c r="AI36" s="20">
        <f t="shared" si="9"/>
        <v>0.3746834449610974</v>
      </c>
      <c r="AJ36" s="20">
        <f t="shared" ref="AJ36:AJ67" si="19">+C36/B36</f>
        <v>6.6206441467751315E-2</v>
      </c>
      <c r="AK36" s="21">
        <f t="shared" si="11"/>
        <v>9.8400663831382837E-2</v>
      </c>
      <c r="AL36" s="21">
        <f t="shared" ref="AL36:AL67" si="20">+E36/B36-1</f>
        <v>-7.5078404029252366E-2</v>
      </c>
      <c r="AO36" s="38">
        <f t="shared" si="13"/>
        <v>46055</v>
      </c>
      <c r="AP36" s="17">
        <f>Tabla2[[#This Row],[Web + APP 2025]]+Tabla2[[#This Row],[Afiliados 2025]]+Tabla2[[#This Row],[TMK 2025]]+Tabla2[[#This Row],[WA 2025]]+Tabla2[[#This Row],[Ent. en Tienda 2025]]</f>
        <v>2127327.7931034481</v>
      </c>
      <c r="AQ36" s="17">
        <f>Tabla2[[#This Row],[Meli Drop 2025]]+Tabla2[[#This Row],[Meli Full 2025]]+Tabla2[[#This Row],[Amazon Drop 2025]]+Tabla2[[#This Row],[Amazon Full 2025]]+Tabla2[[#This Row],[TikTok 2025]]+Tabla2[[#This Row],[Shein 2025]]</f>
        <v>284861</v>
      </c>
      <c r="AR36" s="17">
        <f>Tabla2[[#This Row],[Web + APP 2026]]+Tabla2[[#This Row],[Afiliados 2026]]+Tabla2[[#This Row],[TMK 2026]]+Tabla2[[#This Row],[WA 2026]]+Tabla2[[#This Row],[Ent. en Tienda 2026]]</f>
        <v>2785239</v>
      </c>
      <c r="AS36" s="17">
        <f>Tabla2[[#This Row],[Meli Drop 2026]]+Tabla2[[#This Row],[Meli Full 2026]]+Tabla2[[#This Row],[Amazon Drop 2026]]+Tabla2[[#This Row],[Amazon Full 2026]]+Tabla2[[#This Row],[TikTok 2026]]+Tabla2[[#This Row],[Shein 2026]]</f>
        <v>530757</v>
      </c>
      <c r="AT36" s="18">
        <f t="shared" si="14"/>
        <v>0.30926649340521206</v>
      </c>
      <c r="AU36" s="18">
        <f t="shared" si="14"/>
        <v>0.86321398857688481</v>
      </c>
      <c r="AV36" s="17">
        <f t="shared" si="15"/>
        <v>1720370.9096490799</v>
      </c>
      <c r="AW36" s="17">
        <f t="shared" si="15"/>
        <v>383010.05181672203</v>
      </c>
      <c r="AX36" s="39">
        <f t="shared" si="16"/>
        <v>1.6189758757128316</v>
      </c>
      <c r="AY36" s="39">
        <f t="shared" si="16"/>
        <v>1.3857521427504933</v>
      </c>
      <c r="AZ36" s="39">
        <f t="shared" si="17"/>
        <v>1.5765075660327132</v>
      </c>
      <c r="BA36" s="18">
        <v>2.7357860844051601E-2</v>
      </c>
      <c r="BB36" s="20">
        <v>2.1588654556700899E-2</v>
      </c>
      <c r="BC36" s="17">
        <f t="shared" si="18"/>
        <v>1064868.0903509201</v>
      </c>
      <c r="BD36" s="17">
        <f t="shared" si="18"/>
        <v>147746.94818327797</v>
      </c>
      <c r="BE36" s="32"/>
      <c r="BF36" s="40"/>
    </row>
    <row r="37" spans="1:58" ht="14.25" customHeight="1" x14ac:dyDescent="0.35">
      <c r="A37" s="19">
        <v>45692</v>
      </c>
      <c r="B37" s="17">
        <v>22395022</v>
      </c>
      <c r="C37" s="17">
        <f t="shared" si="4"/>
        <v>2754754.931034483</v>
      </c>
      <c r="D37" s="18">
        <f>+Tabla22[[#This Row],[Share diario]]</f>
        <v>3.1251229297286756E-2</v>
      </c>
      <c r="E37" s="17">
        <f>+Tabla22[[#This Row],[Global 2026]]</f>
        <v>22551540</v>
      </c>
      <c r="F37" s="19">
        <v>46056</v>
      </c>
      <c r="G37" s="17">
        <f t="shared" si="5"/>
        <v>2922007.819726577</v>
      </c>
      <c r="H37" s="17">
        <v>2544037.1818093001</v>
      </c>
      <c r="I37" s="17">
        <v>377970.637917277</v>
      </c>
      <c r="J37" s="17">
        <v>2354728</v>
      </c>
      <c r="K37" s="17">
        <v>3181814</v>
      </c>
      <c r="L37" s="17">
        <v>23787.931034482801</v>
      </c>
      <c r="M37" s="17">
        <f>13064+9710</f>
        <v>22774</v>
      </c>
      <c r="N37" s="17">
        <v>132035</v>
      </c>
      <c r="O37" s="17">
        <v>13358</v>
      </c>
      <c r="P37" s="17">
        <v>2563</v>
      </c>
      <c r="Q37" s="17">
        <v>6483</v>
      </c>
      <c r="R37" s="17">
        <v>50149</v>
      </c>
      <c r="S37" s="17">
        <v>67690</v>
      </c>
      <c r="T37" s="17">
        <v>79913</v>
      </c>
      <c r="U37" s="17">
        <v>395638</v>
      </c>
      <c r="V37" s="17">
        <v>56003</v>
      </c>
      <c r="W37" s="17">
        <v>87196</v>
      </c>
      <c r="X37" s="17">
        <v>51486</v>
      </c>
      <c r="Y37" s="17">
        <v>25879</v>
      </c>
      <c r="Z37" s="17">
        <v>4090</v>
      </c>
      <c r="AA37" s="17">
        <v>4357</v>
      </c>
      <c r="AB37" s="17">
        <v>0</v>
      </c>
      <c r="AC37" s="17">
        <v>4453</v>
      </c>
      <c r="AD37" s="17">
        <v>0</v>
      </c>
      <c r="AE37" s="17">
        <v>0</v>
      </c>
      <c r="AF37" s="17">
        <f t="shared" si="6"/>
        <v>3809642</v>
      </c>
      <c r="AG37" s="18">
        <f t="shared" si="7"/>
        <v>1.3037754294430608</v>
      </c>
      <c r="AH37" s="17">
        <f t="shared" si="8"/>
        <v>887634.18027342297</v>
      </c>
      <c r="AI37" s="20">
        <f t="shared" si="9"/>
        <v>0.38293318112670693</v>
      </c>
      <c r="AJ37" s="20">
        <f t="shared" si="19"/>
        <v>0.12300746706274648</v>
      </c>
      <c r="AK37" s="21">
        <f t="shared" si="11"/>
        <v>0.16893045885114719</v>
      </c>
      <c r="AL37" s="21">
        <f t="shared" si="20"/>
        <v>6.9889638867066672E-3</v>
      </c>
      <c r="AO37" s="38">
        <f t="shared" si="13"/>
        <v>46056</v>
      </c>
      <c r="AP37" s="17">
        <f>Tabla2[[#This Row],[Web + APP 2025]]+Tabla2[[#This Row],[Afiliados 2025]]+Tabla2[[#This Row],[TMK 2025]]+Tabla2[[#This Row],[WA 2025]]+Tabla2[[#This Row],[Ent. en Tienda 2025]]</f>
        <v>2563262.931034483</v>
      </c>
      <c r="AQ37" s="17">
        <f>Tabla2[[#This Row],[Meli Drop 2025]]+Tabla2[[#This Row],[Meli Full 2025]]+Tabla2[[#This Row],[Amazon Drop 2025]]+Tabla2[[#This Row],[Amazon Full 2025]]+Tabla2[[#This Row],[TikTok 2025]]+Tabla2[[#This Row],[Shein 2025]]</f>
        <v>191492</v>
      </c>
      <c r="AR37" s="17">
        <f>Tabla2[[#This Row],[Web + APP 2026]]+Tabla2[[#This Row],[Afiliados 2026]]+Tabla2[[#This Row],[TMK 2026]]+Tabla2[[#This Row],[WA 2026]]+Tabla2[[#This Row],[Ent. en Tienda 2026]]</f>
        <v>3292119</v>
      </c>
      <c r="AS37" s="17">
        <f>Tabla2[[#This Row],[Meli Drop 2026]]+Tabla2[[#This Row],[Meli Full 2026]]+Tabla2[[#This Row],[Amazon Drop 2026]]+Tabla2[[#This Row],[Amazon Full 2026]]+Tabla2[[#This Row],[TikTok 2026]]+Tabla2[[#This Row],[Shein 2026]]</f>
        <v>517523</v>
      </c>
      <c r="AT37" s="18">
        <f t="shared" si="14"/>
        <v>0.28434697827560163</v>
      </c>
      <c r="AU37" s="18">
        <f t="shared" si="14"/>
        <v>1.702582875524826</v>
      </c>
      <c r="AV37" s="17">
        <f t="shared" si="15"/>
        <v>2544037.1818093001</v>
      </c>
      <c r="AW37" s="17">
        <f t="shared" si="15"/>
        <v>377970.637917277</v>
      </c>
      <c r="AX37" s="39">
        <f t="shared" si="16"/>
        <v>1.2940530207418863</v>
      </c>
      <c r="AY37" s="39">
        <f t="shared" si="16"/>
        <v>1.3692148227483891</v>
      </c>
      <c r="AZ37" s="39">
        <f t="shared" si="17"/>
        <v>1.3037754294430608</v>
      </c>
      <c r="BA37" s="18">
        <v>2.6997902708377E-2</v>
      </c>
      <c r="BB37" s="20">
        <v>3.1924708555253901E-2</v>
      </c>
      <c r="BC37" s="17">
        <f t="shared" si="18"/>
        <v>748081.81819069991</v>
      </c>
      <c r="BD37" s="17">
        <f t="shared" si="18"/>
        <v>139552.362082723</v>
      </c>
      <c r="BE37" s="32"/>
      <c r="BF37" s="40"/>
    </row>
    <row r="38" spans="1:58" ht="14.25" customHeight="1" x14ac:dyDescent="0.35">
      <c r="A38" s="16">
        <v>45693</v>
      </c>
      <c r="B38" s="17">
        <v>25539612</v>
      </c>
      <c r="C38" s="17">
        <f t="shared" si="4"/>
        <v>2807800.5862068967</v>
      </c>
      <c r="D38" s="18">
        <f>+Tabla22[[#This Row],[Share diario]]</f>
        <v>3.5689361568100944E-2</v>
      </c>
      <c r="E38" s="17">
        <f>+Tabla22[[#This Row],[Global 2026]]</f>
        <v>25170911</v>
      </c>
      <c r="F38" s="19">
        <v>46057</v>
      </c>
      <c r="G38" s="17">
        <f t="shared" si="5"/>
        <v>3319448.0760512371</v>
      </c>
      <c r="H38" s="17">
        <v>3065365.0201185001</v>
      </c>
      <c r="I38" s="17">
        <v>254083.05593273701</v>
      </c>
      <c r="J38" s="17">
        <v>2362602</v>
      </c>
      <c r="K38" s="17">
        <v>3050065</v>
      </c>
      <c r="L38" s="17">
        <v>24452.5862068965</v>
      </c>
      <c r="M38" s="17">
        <f>11845+11364</f>
        <v>23209</v>
      </c>
      <c r="N38" s="17">
        <v>110188</v>
      </c>
      <c r="O38" s="17">
        <v>39499</v>
      </c>
      <c r="P38" s="17">
        <v>-697</v>
      </c>
      <c r="Q38" s="17">
        <v>6199</v>
      </c>
      <c r="R38" s="17">
        <v>48254</v>
      </c>
      <c r="S38" s="17">
        <v>60063</v>
      </c>
      <c r="T38" s="17">
        <v>151535</v>
      </c>
      <c r="U38" s="17">
        <v>318098</v>
      </c>
      <c r="V38" s="17">
        <v>57305</v>
      </c>
      <c r="W38" s="17">
        <v>80270</v>
      </c>
      <c r="X38" s="17">
        <v>46066</v>
      </c>
      <c r="Y38" s="17">
        <v>22916</v>
      </c>
      <c r="Z38" s="17">
        <v>8095</v>
      </c>
      <c r="AA38" s="17">
        <v>4100</v>
      </c>
      <c r="AB38" s="17">
        <v>0</v>
      </c>
      <c r="AC38" s="17">
        <v>2376</v>
      </c>
      <c r="AD38" s="17">
        <v>0</v>
      </c>
      <c r="AE38" s="17">
        <v>0</v>
      </c>
      <c r="AF38" s="17">
        <f t="shared" si="6"/>
        <v>3606795</v>
      </c>
      <c r="AG38" s="18">
        <f t="shared" si="7"/>
        <v>1.0865646689947885</v>
      </c>
      <c r="AH38" s="17">
        <f t="shared" si="8"/>
        <v>287346.92394876294</v>
      </c>
      <c r="AI38" s="20">
        <f t="shared" si="9"/>
        <v>0.28456237872379608</v>
      </c>
      <c r="AJ38" s="20">
        <f t="shared" si="19"/>
        <v>0.10993904630214808</v>
      </c>
      <c r="AK38" s="21">
        <f t="shared" si="11"/>
        <v>0.14329219153013573</v>
      </c>
      <c r="AL38" s="21">
        <f t="shared" si="20"/>
        <v>-1.4436437014000103E-2</v>
      </c>
      <c r="AO38" s="38">
        <f t="shared" si="13"/>
        <v>46057</v>
      </c>
      <c r="AP38" s="17">
        <f>Tabla2[[#This Row],[Web + APP 2025]]+Tabla2[[#This Row],[Afiliados 2025]]+Tabla2[[#This Row],[TMK 2025]]+Tabla2[[#This Row],[WA 2025]]+Tabla2[[#This Row],[Ent. en Tienda 2025]]</f>
        <v>2544799.5862068967</v>
      </c>
      <c r="AQ38" s="17">
        <f>Tabla2[[#This Row],[Meli Drop 2025]]+Tabla2[[#This Row],[Meli Full 2025]]+Tabla2[[#This Row],[Amazon Drop 2025]]+Tabla2[[#This Row],[Amazon Full 2025]]+Tabla2[[#This Row],[TikTok 2025]]+Tabla2[[#This Row],[Shein 2025]]</f>
        <v>263001</v>
      </c>
      <c r="AR38" s="17">
        <f>Tabla2[[#This Row],[Web + APP 2026]]+Tabla2[[#This Row],[Afiliados 2026]]+Tabla2[[#This Row],[TMK 2026]]+Tabla2[[#This Row],[WA 2026]]+Tabla2[[#This Row],[Ent. en Tienda 2026]]</f>
        <v>3179035</v>
      </c>
      <c r="AS38" s="17">
        <f>Tabla2[[#This Row],[Meli Drop 2026]]+Tabla2[[#This Row],[Meli Full 2026]]+Tabla2[[#This Row],[Amazon Drop 2026]]+Tabla2[[#This Row],[Amazon Full 2026]]+Tabla2[[#This Row],[TikTok 2026]]+Tabla2[[#This Row],[Shein 2026]]</f>
        <v>427760</v>
      </c>
      <c r="AT38" s="18">
        <f t="shared" si="14"/>
        <v>0.24922804028683876</v>
      </c>
      <c r="AU38" s="18">
        <f t="shared" si="14"/>
        <v>0.62645769407720886</v>
      </c>
      <c r="AV38" s="17">
        <f t="shared" si="15"/>
        <v>3065365.0201185001</v>
      </c>
      <c r="AW38" s="17">
        <f t="shared" si="15"/>
        <v>254083.05593273701</v>
      </c>
      <c r="AX38" s="39">
        <f t="shared" si="16"/>
        <v>1.0370820372567264</v>
      </c>
      <c r="AY38" s="39">
        <f t="shared" si="16"/>
        <v>1.6835439830086119</v>
      </c>
      <c r="AZ38" s="39">
        <f t="shared" si="17"/>
        <v>1.0865646689947885</v>
      </c>
      <c r="BA38" s="18">
        <v>1.8148789709481201E-2</v>
      </c>
      <c r="BB38" s="20">
        <v>3.84667667526601E-2</v>
      </c>
      <c r="BC38" s="17">
        <f t="shared" si="18"/>
        <v>113669.97988149989</v>
      </c>
      <c r="BD38" s="17">
        <f t="shared" si="18"/>
        <v>173676.94406726299</v>
      </c>
      <c r="BE38" s="32"/>
      <c r="BF38" s="40"/>
    </row>
    <row r="39" spans="1:58" ht="14.25" customHeight="1" x14ac:dyDescent="0.35">
      <c r="A39" s="19">
        <v>45694</v>
      </c>
      <c r="B39" s="17">
        <v>29401665</v>
      </c>
      <c r="C39" s="17">
        <f t="shared" si="4"/>
        <v>2311807.3448275859</v>
      </c>
      <c r="D39" s="18">
        <f>+Tabla22[[#This Row],[Share diario]]</f>
        <v>3.637659713513345E-2</v>
      </c>
      <c r="E39" s="17">
        <f>+Tabla22[[#This Row],[Global 2026]]</f>
        <v>29563607</v>
      </c>
      <c r="F39" s="19">
        <v>46058</v>
      </c>
      <c r="G39" s="17">
        <f t="shared" si="5"/>
        <v>3392250.4827303328</v>
      </c>
      <c r="H39" s="17">
        <v>3043285.0022227098</v>
      </c>
      <c r="I39" s="17">
        <v>348965.480507623</v>
      </c>
      <c r="J39" s="17">
        <v>1988730</v>
      </c>
      <c r="K39" s="17">
        <v>2711541</v>
      </c>
      <c r="L39" s="17">
        <v>22460.344827586199</v>
      </c>
      <c r="M39" s="17">
        <f>13034+9391</f>
        <v>22425</v>
      </c>
      <c r="N39" s="17">
        <v>52855</v>
      </c>
      <c r="O39" s="17">
        <v>48724</v>
      </c>
      <c r="P39" s="17">
        <v>2503</v>
      </c>
      <c r="Q39" s="17">
        <v>4521</v>
      </c>
      <c r="R39" s="17">
        <v>40300</v>
      </c>
      <c r="S39" s="17">
        <v>63963</v>
      </c>
      <c r="T39" s="17">
        <v>119932</v>
      </c>
      <c r="U39" s="17">
        <v>334593</v>
      </c>
      <c r="V39" s="17">
        <v>56342</v>
      </c>
      <c r="W39" s="17">
        <v>91963</v>
      </c>
      <c r="X39" s="17">
        <v>22237</v>
      </c>
      <c r="Y39" s="17">
        <v>28657</v>
      </c>
      <c r="Z39" s="17">
        <v>6448</v>
      </c>
      <c r="AA39" s="17">
        <v>3153</v>
      </c>
      <c r="AB39" s="17">
        <v>0</v>
      </c>
      <c r="AC39" s="17">
        <v>5982</v>
      </c>
      <c r="AD39" s="17">
        <v>0</v>
      </c>
      <c r="AE39" s="17">
        <v>0</v>
      </c>
      <c r="AF39" s="17">
        <f t="shared" si="6"/>
        <v>3315522</v>
      </c>
      <c r="AG39" s="18">
        <f t="shared" si="7"/>
        <v>0.97738124495200129</v>
      </c>
      <c r="AH39" s="17">
        <f t="shared" si="8"/>
        <v>-76728.482730332762</v>
      </c>
      <c r="AI39" s="20">
        <f t="shared" si="9"/>
        <v>0.43416881489632564</v>
      </c>
      <c r="AJ39" s="20">
        <f t="shared" si="19"/>
        <v>7.8628449947565418E-2</v>
      </c>
      <c r="AK39" s="21">
        <f t="shared" si="11"/>
        <v>0.11214876452660191</v>
      </c>
      <c r="AL39" s="21">
        <f t="shared" si="20"/>
        <v>5.5079193644305136E-3</v>
      </c>
      <c r="AO39" s="38">
        <f t="shared" si="13"/>
        <v>46058</v>
      </c>
      <c r="AP39" s="17">
        <f>Tabla2[[#This Row],[Web + APP 2025]]+Tabla2[[#This Row],[Afiliados 2025]]+Tabla2[[#This Row],[TMK 2025]]+Tabla2[[#This Row],[WA 2025]]+Tabla2[[#This Row],[Ent. en Tienda 2025]]</f>
        <v>2106848.3448275859</v>
      </c>
      <c r="AQ39" s="17">
        <f>Tabla2[[#This Row],[Meli Drop 2025]]+Tabla2[[#This Row],[Meli Full 2025]]+Tabla2[[#This Row],[Amazon Drop 2025]]+Tabla2[[#This Row],[Amazon Full 2025]]+Tabla2[[#This Row],[TikTok 2025]]+Tabla2[[#This Row],[Shein 2025]]</f>
        <v>204959</v>
      </c>
      <c r="AR39" s="17">
        <f>Tabla2[[#This Row],[Web + APP 2026]]+Tabla2[[#This Row],[Afiliados 2026]]+Tabla2[[#This Row],[TMK 2026]]+Tabla2[[#This Row],[WA 2026]]+Tabla2[[#This Row],[Ent. en Tienda 2026]]</f>
        <v>2851174</v>
      </c>
      <c r="AS39" s="17">
        <f>Tabla2[[#This Row],[Meli Drop 2026]]+Tabla2[[#This Row],[Meli Full 2026]]+Tabla2[[#This Row],[Amazon Drop 2026]]+Tabla2[[#This Row],[Amazon Full 2026]]+Tabla2[[#This Row],[TikTok 2026]]+Tabla2[[#This Row],[Shein 2026]]</f>
        <v>464348</v>
      </c>
      <c r="AT39" s="18">
        <f t="shared" si="14"/>
        <v>0.35328867262789432</v>
      </c>
      <c r="AU39" s="18">
        <f t="shared" si="14"/>
        <v>1.265565308183588</v>
      </c>
      <c r="AV39" s="17">
        <f t="shared" si="15"/>
        <v>3043285.0022227098</v>
      </c>
      <c r="AW39" s="17">
        <f t="shared" si="15"/>
        <v>348965.480507623</v>
      </c>
      <c r="AX39" s="39">
        <f t="shared" si="16"/>
        <v>0.93687380508812068</v>
      </c>
      <c r="AY39" s="39">
        <f t="shared" si="16"/>
        <v>1.3306416420459002</v>
      </c>
      <c r="AZ39" s="39">
        <f t="shared" si="17"/>
        <v>0.97738124495200129</v>
      </c>
      <c r="BA39" s="18">
        <v>2.4926105750544499E-2</v>
      </c>
      <c r="BB39" s="20">
        <v>3.8189688201584603E-2</v>
      </c>
      <c r="BC39" s="17">
        <f t="shared" si="18"/>
        <v>-192111.00222270982</v>
      </c>
      <c r="BD39" s="17">
        <f t="shared" si="18"/>
        <v>115382.519492377</v>
      </c>
      <c r="BE39" s="32"/>
      <c r="BF39" s="40"/>
    </row>
    <row r="40" spans="1:58" ht="14.25" customHeight="1" x14ac:dyDescent="0.35">
      <c r="A40" s="16">
        <v>45695</v>
      </c>
      <c r="B40" s="17">
        <v>32016485</v>
      </c>
      <c r="C40" s="17">
        <f t="shared" si="4"/>
        <v>2129533.7931034481</v>
      </c>
      <c r="D40" s="18">
        <f>+Tabla22[[#This Row],[Share diario]]</f>
        <v>2.9950732559124452E-2</v>
      </c>
      <c r="E40" s="17">
        <f>+Tabla22[[#This Row],[Global 2026]]</f>
        <v>30256382</v>
      </c>
      <c r="F40" s="19">
        <v>46059</v>
      </c>
      <c r="G40" s="17">
        <f t="shared" si="5"/>
        <v>2791498.0163448001</v>
      </c>
      <c r="H40" s="17">
        <v>2519546.1381414402</v>
      </c>
      <c r="I40" s="17">
        <v>271951.87820336001</v>
      </c>
      <c r="J40" s="17">
        <v>1675481</v>
      </c>
      <c r="K40" s="17">
        <v>2349247</v>
      </c>
      <c r="L40" s="17">
        <v>23913.793103448301</v>
      </c>
      <c r="M40" s="17">
        <f>13643+8748</f>
        <v>22391</v>
      </c>
      <c r="N40" s="17">
        <v>91347</v>
      </c>
      <c r="O40" s="17">
        <v>29006</v>
      </c>
      <c r="P40" s="17">
        <v>4838</v>
      </c>
      <c r="Q40" s="17">
        <v>4581</v>
      </c>
      <c r="R40" s="17">
        <v>53316</v>
      </c>
      <c r="S40" s="17">
        <v>74959</v>
      </c>
      <c r="T40" s="17">
        <v>166819</v>
      </c>
      <c r="U40" s="17">
        <v>291618</v>
      </c>
      <c r="V40" s="17">
        <v>60494</v>
      </c>
      <c r="W40" s="17">
        <v>85249</v>
      </c>
      <c r="X40" s="17">
        <v>49141</v>
      </c>
      <c r="Y40" s="17">
        <v>20982</v>
      </c>
      <c r="Z40" s="17">
        <v>4184</v>
      </c>
      <c r="AA40" s="17">
        <v>3548</v>
      </c>
      <c r="AB40" s="17">
        <v>0</v>
      </c>
      <c r="AC40" s="17">
        <v>3560</v>
      </c>
      <c r="AD40" s="17">
        <v>0</v>
      </c>
      <c r="AE40" s="17">
        <v>0</v>
      </c>
      <c r="AF40" s="17">
        <f t="shared" si="6"/>
        <v>2885141</v>
      </c>
      <c r="AG40" s="18">
        <f t="shared" si="7"/>
        <v>1.0335457819088176</v>
      </c>
      <c r="AH40" s="17">
        <f t="shared" si="8"/>
        <v>93642.983655199874</v>
      </c>
      <c r="AI40" s="20">
        <f t="shared" si="9"/>
        <v>0.35482282992813063</v>
      </c>
      <c r="AJ40" s="20">
        <f t="shared" si="19"/>
        <v>6.6513666103679037E-2</v>
      </c>
      <c r="AK40" s="21">
        <f t="shared" si="11"/>
        <v>9.5356444137967317E-2</v>
      </c>
      <c r="AL40" s="21">
        <f t="shared" si="20"/>
        <v>-5.4974898087656987E-2</v>
      </c>
      <c r="AO40" s="38">
        <f t="shared" si="13"/>
        <v>46059</v>
      </c>
      <c r="AP40" s="17">
        <f>Tabla2[[#This Row],[Web + APP 2025]]+Tabla2[[#This Row],[Afiliados 2025]]+Tabla2[[#This Row],[TMK 2025]]+Tabla2[[#This Row],[WA 2025]]+Tabla2[[#This Row],[Ent. en Tienda 2025]]</f>
        <v>1848895.7931034483</v>
      </c>
      <c r="AQ40" s="17">
        <f>Tabla2[[#This Row],[Meli Drop 2025]]+Tabla2[[#This Row],[Meli Full 2025]]+Tabla2[[#This Row],[Amazon Drop 2025]]+Tabla2[[#This Row],[Amazon Full 2025]]+Tabla2[[#This Row],[TikTok 2025]]+Tabla2[[#This Row],[Shein 2025]]</f>
        <v>280638</v>
      </c>
      <c r="AR40" s="17">
        <f>Tabla2[[#This Row],[Web + APP 2026]]+Tabla2[[#This Row],[Afiliados 2026]]+Tabla2[[#This Row],[TMK 2026]]+Tabla2[[#This Row],[WA 2026]]+Tabla2[[#This Row],[Ent. en Tienda 2026]]</f>
        <v>2480184</v>
      </c>
      <c r="AS40" s="17">
        <f>Tabla2[[#This Row],[Meli Drop 2026]]+Tabla2[[#This Row],[Meli Full 2026]]+Tabla2[[#This Row],[Amazon Drop 2026]]+Tabla2[[#This Row],[Amazon Full 2026]]+Tabla2[[#This Row],[TikTok 2026]]+Tabla2[[#This Row],[Shein 2026]]</f>
        <v>404957</v>
      </c>
      <c r="AT40" s="18">
        <f t="shared" si="14"/>
        <v>0.34144066380123461</v>
      </c>
      <c r="AU40" s="18">
        <f t="shared" si="14"/>
        <v>0.4429870509339433</v>
      </c>
      <c r="AV40" s="17">
        <f t="shared" si="15"/>
        <v>2519546.1381414402</v>
      </c>
      <c r="AW40" s="17">
        <f t="shared" si="15"/>
        <v>271951.87820336001</v>
      </c>
      <c r="AX40" s="39">
        <f t="shared" si="16"/>
        <v>0.98437729020097409</v>
      </c>
      <c r="AY40" s="39">
        <f t="shared" si="16"/>
        <v>1.4890759448889759</v>
      </c>
      <c r="AZ40" s="39">
        <f t="shared" si="17"/>
        <v>1.0335457819088176</v>
      </c>
      <c r="BA40" s="18">
        <v>1.9425134157382801E-2</v>
      </c>
      <c r="BB40" s="20">
        <v>3.1617374434156603E-2</v>
      </c>
      <c r="BC40" s="17">
        <f t="shared" si="18"/>
        <v>-39362.138141440228</v>
      </c>
      <c r="BD40" s="17">
        <f t="shared" si="18"/>
        <v>133005.12179663999</v>
      </c>
      <c r="BE40" s="32"/>
      <c r="BF40" s="40"/>
    </row>
    <row r="41" spans="1:58" ht="14.25" customHeight="1" x14ac:dyDescent="0.35">
      <c r="A41" s="19">
        <v>45696</v>
      </c>
      <c r="B41" s="17">
        <v>42648094</v>
      </c>
      <c r="C41" s="17">
        <f t="shared" si="4"/>
        <v>1975582.4827586208</v>
      </c>
      <c r="D41" s="18">
        <f>+Tabla22[[#This Row],[Share diario]]</f>
        <v>2.758927868949046E-2</v>
      </c>
      <c r="E41" s="17">
        <f>+Tabla22[[#This Row],[Global 2026]]</f>
        <v>41295456</v>
      </c>
      <c r="F41" s="19">
        <v>46060</v>
      </c>
      <c r="G41" s="17">
        <f t="shared" si="5"/>
        <v>2583432.1280934871</v>
      </c>
      <c r="H41" s="17">
        <v>2211064.8195330701</v>
      </c>
      <c r="I41" s="17">
        <v>372367.30856041698</v>
      </c>
      <c r="J41" s="17">
        <v>1541898</v>
      </c>
      <c r="K41" s="17">
        <v>2093587</v>
      </c>
      <c r="L41" s="17">
        <v>17559.482758620699</v>
      </c>
      <c r="M41" s="17">
        <f>14334+12342</f>
        <v>26676</v>
      </c>
      <c r="N41" s="17">
        <v>13396</v>
      </c>
      <c r="O41" s="17">
        <v>31006</v>
      </c>
      <c r="P41" s="17">
        <v>921</v>
      </c>
      <c r="Q41" s="17">
        <v>2429</v>
      </c>
      <c r="R41" s="17">
        <v>40059</v>
      </c>
      <c r="S41" s="17">
        <v>69984</v>
      </c>
      <c r="T41" s="17">
        <v>260206</v>
      </c>
      <c r="U41" s="17">
        <v>282237</v>
      </c>
      <c r="V41" s="17">
        <v>70792</v>
      </c>
      <c r="W41" s="17">
        <v>81965</v>
      </c>
      <c r="X41" s="17">
        <v>28263</v>
      </c>
      <c r="Y41" s="17">
        <v>25885</v>
      </c>
      <c r="Z41" s="17">
        <v>2488</v>
      </c>
      <c r="AA41" s="17">
        <v>5353</v>
      </c>
      <c r="AB41" s="17">
        <v>0</v>
      </c>
      <c r="AC41" s="17">
        <v>-930</v>
      </c>
      <c r="AD41" s="17">
        <v>0</v>
      </c>
      <c r="AE41" s="17">
        <v>0</v>
      </c>
      <c r="AF41" s="17">
        <f t="shared" si="6"/>
        <v>2618192</v>
      </c>
      <c r="AG41" s="18">
        <f t="shared" si="7"/>
        <v>1.013454919728108</v>
      </c>
      <c r="AH41" s="17">
        <f t="shared" si="8"/>
        <v>34759.871906512883</v>
      </c>
      <c r="AI41" s="20">
        <f t="shared" si="9"/>
        <v>0.32527597447820367</v>
      </c>
      <c r="AJ41" s="20">
        <f t="shared" si="19"/>
        <v>4.6322878643969896E-2</v>
      </c>
      <c r="AK41" s="21">
        <f t="shared" si="11"/>
        <v>6.3401455114092939E-2</v>
      </c>
      <c r="AL41" s="21">
        <f t="shared" si="20"/>
        <v>-3.1716259113478751E-2</v>
      </c>
      <c r="AO41" s="38">
        <f t="shared" si="13"/>
        <v>46060</v>
      </c>
      <c r="AP41" s="17">
        <f>Tabla2[[#This Row],[Web + APP 2025]]+Tabla2[[#This Row],[Afiliados 2025]]+Tabla2[[#This Row],[TMK 2025]]+Tabla2[[#This Row],[WA 2025]]+Tabla2[[#This Row],[Ent. en Tienda 2025]]</f>
        <v>1613833.4827586208</v>
      </c>
      <c r="AQ41" s="17">
        <f>Tabla2[[#This Row],[Meli Drop 2025]]+Tabla2[[#This Row],[Meli Full 2025]]+Tabla2[[#This Row],[Amazon Drop 2025]]+Tabla2[[#This Row],[Amazon Full 2025]]+Tabla2[[#This Row],[TikTok 2025]]+Tabla2[[#This Row],[Shein 2025]]</f>
        <v>361749</v>
      </c>
      <c r="AR41" s="17">
        <f>Tabla2[[#This Row],[Web + APP 2026]]+Tabla2[[#This Row],[Afiliados 2026]]+Tabla2[[#This Row],[TMK 2026]]+Tabla2[[#This Row],[WA 2026]]+Tabla2[[#This Row],[Ent. en Tienda 2026]]</f>
        <v>2223682</v>
      </c>
      <c r="AS41" s="17">
        <f>Tabla2[[#This Row],[Meli Drop 2026]]+Tabla2[[#This Row],[Meli Full 2026]]+Tabla2[[#This Row],[Amazon Drop 2026]]+Tabla2[[#This Row],[Amazon Full 2026]]+Tabla2[[#This Row],[TikTok 2026]]+Tabla2[[#This Row],[Shein 2026]]</f>
        <v>394510</v>
      </c>
      <c r="AT41" s="18">
        <f t="shared" si="14"/>
        <v>0.37788813019229783</v>
      </c>
      <c r="AU41" s="18">
        <f t="shared" si="14"/>
        <v>9.0562793539166631E-2</v>
      </c>
      <c r="AV41" s="17">
        <f t="shared" si="15"/>
        <v>2211064.8195330701</v>
      </c>
      <c r="AW41" s="17">
        <f t="shared" si="15"/>
        <v>372367.30856041698</v>
      </c>
      <c r="AX41" s="39">
        <f t="shared" si="16"/>
        <v>1.0057063819909153</v>
      </c>
      <c r="AY41" s="39">
        <f t="shared" si="16"/>
        <v>1.0594646493678173</v>
      </c>
      <c r="AZ41" s="39">
        <f t="shared" si="17"/>
        <v>1.013454919728108</v>
      </c>
      <c r="BA41" s="18">
        <v>2.65976648971726E-2</v>
      </c>
      <c r="BB41" s="20">
        <v>2.77462925719376E-2</v>
      </c>
      <c r="BC41" s="17">
        <f t="shared" si="18"/>
        <v>12617.180466929916</v>
      </c>
      <c r="BD41" s="17">
        <f t="shared" si="18"/>
        <v>22142.691439583024</v>
      </c>
      <c r="BE41" s="32"/>
      <c r="BF41" s="40"/>
    </row>
    <row r="42" spans="1:58" ht="14.25" customHeight="1" x14ac:dyDescent="0.35">
      <c r="A42" s="16">
        <v>45697</v>
      </c>
      <c r="B42" s="17">
        <v>41791699</v>
      </c>
      <c r="C42" s="17">
        <f t="shared" si="4"/>
        <v>2325398.2413793104</v>
      </c>
      <c r="D42" s="18">
        <f>+Tabla22[[#This Row],[Share diario]]</f>
        <v>2.5594754996337052E-2</v>
      </c>
      <c r="E42" s="17">
        <f>+Tabla22[[#This Row],[Global 2026]]</f>
        <v>41339084</v>
      </c>
      <c r="F42" s="19">
        <v>46061</v>
      </c>
      <c r="G42" s="17">
        <f t="shared" si="5"/>
        <v>2409947.8152849339</v>
      </c>
      <c r="H42" s="17">
        <v>1929957.57339174</v>
      </c>
      <c r="I42" s="17">
        <v>479990.24189319398</v>
      </c>
      <c r="J42" s="17">
        <v>1896294</v>
      </c>
      <c r="K42" s="17">
        <v>2397497</v>
      </c>
      <c r="L42" s="17">
        <v>21667.241379310301</v>
      </c>
      <c r="M42" s="17">
        <f>13709+11462</f>
        <v>25171</v>
      </c>
      <c r="N42" s="17">
        <v>30139</v>
      </c>
      <c r="O42" s="17">
        <v>5807</v>
      </c>
      <c r="P42" s="17">
        <v>3695</v>
      </c>
      <c r="Q42" s="17">
        <v>4467</v>
      </c>
      <c r="R42" s="17">
        <v>40975</v>
      </c>
      <c r="S42" s="17">
        <v>69643</v>
      </c>
      <c r="T42" s="17">
        <v>191313</v>
      </c>
      <c r="U42" s="17">
        <v>234501</v>
      </c>
      <c r="V42" s="17">
        <v>87339</v>
      </c>
      <c r="W42" s="17">
        <v>58072</v>
      </c>
      <c r="X42" s="17">
        <v>48851</v>
      </c>
      <c r="Y42" s="17">
        <v>17667</v>
      </c>
      <c r="Z42" s="17">
        <v>5125</v>
      </c>
      <c r="AA42" s="17">
        <v>2741</v>
      </c>
      <c r="AB42" s="17">
        <v>0</v>
      </c>
      <c r="AC42" s="17">
        <v>0</v>
      </c>
      <c r="AD42" s="17">
        <v>0</v>
      </c>
      <c r="AE42" s="17">
        <v>0</v>
      </c>
      <c r="AF42" s="17">
        <f t="shared" si="6"/>
        <v>2815566</v>
      </c>
      <c r="AG42" s="18">
        <f t="shared" si="7"/>
        <v>1.1683099451956842</v>
      </c>
      <c r="AH42" s="17">
        <f t="shared" si="8"/>
        <v>405618.18471506611</v>
      </c>
      <c r="AI42" s="20">
        <f t="shared" si="9"/>
        <v>0.21078873712828927</v>
      </c>
      <c r="AJ42" s="20">
        <f t="shared" si="19"/>
        <v>5.5642586853894366E-2</v>
      </c>
      <c r="AK42" s="21">
        <f t="shared" si="11"/>
        <v>6.8109056310971958E-2</v>
      </c>
      <c r="AL42" s="21">
        <f t="shared" si="20"/>
        <v>-1.0830260813277759E-2</v>
      </c>
      <c r="AO42" s="38">
        <f t="shared" si="13"/>
        <v>46061</v>
      </c>
      <c r="AP42" s="17">
        <f>Tabla2[[#This Row],[Web + APP 2025]]+Tabla2[[#This Row],[Afiliados 2025]]+Tabla2[[#This Row],[TMK 2025]]+Tabla2[[#This Row],[WA 2025]]+Tabla2[[#This Row],[Ent. en Tienda 2025]]</f>
        <v>1992770.2413793104</v>
      </c>
      <c r="AQ42" s="17">
        <f>Tabla2[[#This Row],[Meli Drop 2025]]+Tabla2[[#This Row],[Meli Full 2025]]+Tabla2[[#This Row],[Amazon Drop 2025]]+Tabla2[[#This Row],[Amazon Full 2025]]+Tabla2[[#This Row],[TikTok 2025]]+Tabla2[[#This Row],[Shein 2025]]</f>
        <v>332628</v>
      </c>
      <c r="AR42" s="17">
        <f>Tabla2[[#This Row],[Web + APP 2026]]+Tabla2[[#This Row],[Afiliados 2026]]+Tabla2[[#This Row],[TMK 2026]]+Tabla2[[#This Row],[WA 2026]]+Tabla2[[#This Row],[Ent. en Tienda 2026]]</f>
        <v>2502585</v>
      </c>
      <c r="AS42" s="17">
        <f>Tabla2[[#This Row],[Meli Drop 2026]]+Tabla2[[#This Row],[Meli Full 2026]]+Tabla2[[#This Row],[Amazon Drop 2026]]+Tabla2[[#This Row],[Amazon Full 2026]]+Tabla2[[#This Row],[TikTok 2026]]+Tabla2[[#This Row],[Shein 2026]]</f>
        <v>312981</v>
      </c>
      <c r="AT42" s="18">
        <f t="shared" si="14"/>
        <v>0.25583218177114975</v>
      </c>
      <c r="AU42" s="18">
        <f t="shared" si="14"/>
        <v>-5.9065983621342744E-2</v>
      </c>
      <c r="AV42" s="17">
        <f t="shared" si="15"/>
        <v>1929957.57339174</v>
      </c>
      <c r="AW42" s="17">
        <f t="shared" si="15"/>
        <v>479990.24189319398</v>
      </c>
      <c r="AX42" s="39">
        <f t="shared" si="16"/>
        <v>1.2967046708710364</v>
      </c>
      <c r="AY42" s="39">
        <f t="shared" si="16"/>
        <v>0.65205700592064042</v>
      </c>
      <c r="AZ42" s="39">
        <f t="shared" si="17"/>
        <v>1.1683099451956842</v>
      </c>
      <c r="BA42" s="18">
        <v>3.4285017278085299E-2</v>
      </c>
      <c r="BB42" s="20">
        <v>2.4218723490007001E-2</v>
      </c>
      <c r="BC42" s="17">
        <f t="shared" si="18"/>
        <v>572627.42660826002</v>
      </c>
      <c r="BD42" s="17">
        <f t="shared" si="18"/>
        <v>-167009.24189319398</v>
      </c>
      <c r="BE42" s="32"/>
      <c r="BF42" s="40"/>
    </row>
    <row r="43" spans="1:58" ht="14.25" customHeight="1" x14ac:dyDescent="0.35">
      <c r="A43" s="19">
        <v>45698</v>
      </c>
      <c r="B43" s="17">
        <v>26406954</v>
      </c>
      <c r="C43" s="17">
        <f t="shared" si="4"/>
        <v>4228681.6551724132</v>
      </c>
      <c r="D43" s="18">
        <f>+Tabla22[[#This Row],[Share diario]]</f>
        <v>3.0126810080796044E-2</v>
      </c>
      <c r="E43" s="17">
        <f>+Tabla22[[#This Row],[Global 2026]]</f>
        <v>22422064</v>
      </c>
      <c r="F43" s="19">
        <v>46062</v>
      </c>
      <c r="G43" s="17">
        <f t="shared" si="5"/>
        <v>2824472.7189859231</v>
      </c>
      <c r="H43" s="17">
        <v>2383121.9642348401</v>
      </c>
      <c r="I43" s="17">
        <v>441350.75475108298</v>
      </c>
      <c r="J43" s="17">
        <v>3630208</v>
      </c>
      <c r="K43" s="17">
        <v>2252123</v>
      </c>
      <c r="L43" s="17">
        <v>20464.655172413801</v>
      </c>
      <c r="M43" s="17">
        <f>6100+3966</f>
        <v>10066</v>
      </c>
      <c r="N43" s="17">
        <v>83992</v>
      </c>
      <c r="O43" s="17">
        <v>16050</v>
      </c>
      <c r="P43" s="17">
        <v>8959</v>
      </c>
      <c r="Q43" s="17">
        <v>1868</v>
      </c>
      <c r="R43" s="17">
        <v>63382</v>
      </c>
      <c r="S43" s="17">
        <v>58213</v>
      </c>
      <c r="T43" s="17">
        <v>281151</v>
      </c>
      <c r="U43" s="17">
        <v>451605</v>
      </c>
      <c r="V43" s="17">
        <v>78555</v>
      </c>
      <c r="W43" s="17">
        <v>67176</v>
      </c>
      <c r="X43" s="17">
        <v>59569</v>
      </c>
      <c r="Y43" s="17">
        <v>11686</v>
      </c>
      <c r="Z43" s="17">
        <v>2401</v>
      </c>
      <c r="AA43" s="17">
        <v>3093</v>
      </c>
      <c r="AB43" s="17">
        <v>0</v>
      </c>
      <c r="AC43" s="17">
        <v>586</v>
      </c>
      <c r="AD43" s="17">
        <v>0</v>
      </c>
      <c r="AE43" s="17">
        <v>0</v>
      </c>
      <c r="AF43" s="17">
        <f t="shared" si="6"/>
        <v>2872466</v>
      </c>
      <c r="AG43" s="18">
        <f t="shared" si="7"/>
        <v>1.0169919435551524</v>
      </c>
      <c r="AH43" s="17">
        <f t="shared" si="8"/>
        <v>47993.2810140769</v>
      </c>
      <c r="AI43" s="20">
        <f t="shared" si="9"/>
        <v>-0.32071831501279491</v>
      </c>
      <c r="AJ43" s="20">
        <f t="shared" si="19"/>
        <v>0.16013515436776288</v>
      </c>
      <c r="AK43" s="21">
        <f t="shared" si="11"/>
        <v>0.12810890201722733</v>
      </c>
      <c r="AL43" s="21">
        <f t="shared" si="20"/>
        <v>-0.15090305379408775</v>
      </c>
      <c r="AO43" s="38">
        <f t="shared" si="13"/>
        <v>46062</v>
      </c>
      <c r="AP43" s="17">
        <f>Tabla2[[#This Row],[Web + APP 2025]]+Tabla2[[#This Row],[Afiliados 2025]]+Tabla2[[#This Row],[TMK 2025]]+Tabla2[[#This Row],[WA 2025]]+Tabla2[[#This Row],[Ent. en Tienda 2025]]</f>
        <v>3807005.6551724137</v>
      </c>
      <c r="AQ43" s="17">
        <f>Tabla2[[#This Row],[Meli Drop 2025]]+Tabla2[[#This Row],[Meli Full 2025]]+Tabla2[[#This Row],[Amazon Drop 2025]]+Tabla2[[#This Row],[Amazon Full 2025]]+Tabla2[[#This Row],[TikTok 2025]]+Tabla2[[#This Row],[Shein 2025]]</f>
        <v>421676</v>
      </c>
      <c r="AR43" s="17">
        <f>Tabla2[[#This Row],[Web + APP 2026]]+Tabla2[[#This Row],[Afiliados 2026]]+Tabla2[[#This Row],[TMK 2026]]+Tabla2[[#This Row],[WA 2026]]+Tabla2[[#This Row],[Ent. en Tienda 2026]]</f>
        <v>2338320</v>
      </c>
      <c r="AS43" s="17">
        <f>Tabla2[[#This Row],[Meli Drop 2026]]+Tabla2[[#This Row],[Meli Full 2026]]+Tabla2[[#This Row],[Amazon Drop 2026]]+Tabla2[[#This Row],[Amazon Full 2026]]+Tabla2[[#This Row],[TikTok 2026]]+Tabla2[[#This Row],[Shein 2026]]</f>
        <v>534146</v>
      </c>
      <c r="AT43" s="18">
        <f t="shared" si="14"/>
        <v>-0.38578499435034308</v>
      </c>
      <c r="AU43" s="18">
        <f t="shared" si="14"/>
        <v>0.266721369013176</v>
      </c>
      <c r="AV43" s="17">
        <f t="shared" si="15"/>
        <v>2383121.9642348401</v>
      </c>
      <c r="AW43" s="17">
        <f t="shared" si="15"/>
        <v>441350.75475108298</v>
      </c>
      <c r="AX43" s="39">
        <f t="shared" si="16"/>
        <v>0.98120030577233808</v>
      </c>
      <c r="AY43" s="39">
        <f t="shared" si="16"/>
        <v>1.210252830090327</v>
      </c>
      <c r="AZ43" s="39">
        <f t="shared" si="17"/>
        <v>1.0169919435551524</v>
      </c>
      <c r="BA43" s="18">
        <v>3.1525053910791599E-2</v>
      </c>
      <c r="BB43" s="20">
        <v>2.9905409678687801E-2</v>
      </c>
      <c r="BC43" s="17">
        <f t="shared" si="18"/>
        <v>-44801.964234840125</v>
      </c>
      <c r="BD43" s="17">
        <f t="shared" si="18"/>
        <v>92795.245248917025</v>
      </c>
      <c r="BE43" s="32"/>
      <c r="BF43" s="40"/>
    </row>
    <row r="44" spans="1:58" ht="14.25" customHeight="1" x14ac:dyDescent="0.35">
      <c r="A44" s="16">
        <v>45699</v>
      </c>
      <c r="B44" s="17">
        <v>28764494</v>
      </c>
      <c r="C44" s="17">
        <f t="shared" si="4"/>
        <v>3584756.2413793104</v>
      </c>
      <c r="D44" s="18">
        <f>+Tabla22[[#This Row],[Share diario]]</f>
        <v>5.4784890970744092E-2</v>
      </c>
      <c r="E44" s="17">
        <f>+Tabla22[[#This Row],[Global 2026]]</f>
        <v>27571599</v>
      </c>
      <c r="F44" s="19">
        <v>46063</v>
      </c>
      <c r="G44" s="17">
        <f t="shared" si="5"/>
        <v>5112241.9672708018</v>
      </c>
      <c r="H44" s="17">
        <v>4552736.9921622202</v>
      </c>
      <c r="I44" s="17">
        <v>559504.97510858194</v>
      </c>
      <c r="J44" s="17">
        <v>2855454</v>
      </c>
      <c r="K44" s="17">
        <v>4002151</v>
      </c>
      <c r="L44" s="17">
        <v>16592.241379310301</v>
      </c>
      <c r="M44" s="17">
        <f>10914+11047</f>
        <v>21961</v>
      </c>
      <c r="N44" s="17">
        <v>62364</v>
      </c>
      <c r="O44" s="17">
        <v>55589</v>
      </c>
      <c r="P44" s="17">
        <v>4603</v>
      </c>
      <c r="Q44" s="17">
        <v>3319</v>
      </c>
      <c r="R44" s="17">
        <v>42383</v>
      </c>
      <c r="S44" s="17">
        <v>62975</v>
      </c>
      <c r="T44" s="17">
        <v>448251</v>
      </c>
      <c r="U44" s="17">
        <v>557077</v>
      </c>
      <c r="V44" s="17">
        <v>107546</v>
      </c>
      <c r="W44" s="17">
        <v>78209</v>
      </c>
      <c r="X44" s="17">
        <v>43052</v>
      </c>
      <c r="Y44" s="17">
        <v>21078</v>
      </c>
      <c r="Z44" s="17">
        <v>4511</v>
      </c>
      <c r="AA44" s="17">
        <v>953</v>
      </c>
      <c r="AB44" s="17">
        <v>0</v>
      </c>
      <c r="AC44" s="17">
        <v>844</v>
      </c>
      <c r="AD44" s="17">
        <v>0</v>
      </c>
      <c r="AE44" s="17">
        <v>0</v>
      </c>
      <c r="AF44" s="17">
        <f t="shared" si="6"/>
        <v>4804156</v>
      </c>
      <c r="AG44" s="18">
        <f t="shared" si="7"/>
        <v>0.93973564450915947</v>
      </c>
      <c r="AH44" s="17">
        <f t="shared" si="8"/>
        <v>-308085.96727080178</v>
      </c>
      <c r="AI44" s="20">
        <f t="shared" si="9"/>
        <v>0.34016253170717681</v>
      </c>
      <c r="AJ44" s="20">
        <f t="shared" si="19"/>
        <v>0.12462434560396962</v>
      </c>
      <c r="AK44" s="21">
        <f t="shared" si="11"/>
        <v>0.17424292294400481</v>
      </c>
      <c r="AL44" s="21">
        <f t="shared" si="20"/>
        <v>-4.1471092799337916E-2</v>
      </c>
      <c r="AO44" s="38">
        <f t="shared" si="13"/>
        <v>46063</v>
      </c>
      <c r="AP44" s="17">
        <f>Tabla2[[#This Row],[Web + APP 2025]]+Tabla2[[#This Row],[Afiliados 2025]]+Tabla2[[#This Row],[TMK 2025]]+Tabla2[[#This Row],[WA 2025]]+Tabla2[[#This Row],[Ent. en Tienda 2025]]</f>
        <v>2981396.2413793104</v>
      </c>
      <c r="AQ44" s="17">
        <f>Tabla2[[#This Row],[Meli Drop 2025]]+Tabla2[[#This Row],[Meli Full 2025]]+Tabla2[[#This Row],[Amazon Drop 2025]]+Tabla2[[#This Row],[Amazon Full 2025]]+Tabla2[[#This Row],[TikTok 2025]]+Tabla2[[#This Row],[Shein 2025]]</f>
        <v>603360</v>
      </c>
      <c r="AR44" s="17">
        <f>Tabla2[[#This Row],[Web + APP 2026]]+Tabla2[[#This Row],[Afiliados 2026]]+Tabla2[[#This Row],[TMK 2026]]+Tabla2[[#This Row],[WA 2026]]+Tabla2[[#This Row],[Ent. en Tienda 2026]]</f>
        <v>4145995</v>
      </c>
      <c r="AS44" s="17">
        <f>Tabla2[[#This Row],[Meli Drop 2026]]+Tabla2[[#This Row],[Meli Full 2026]]+Tabla2[[#This Row],[Amazon Drop 2026]]+Tabla2[[#This Row],[Amazon Full 2026]]+Tabla2[[#This Row],[TikTok 2026]]+Tabla2[[#This Row],[Shein 2026]]</f>
        <v>658161</v>
      </c>
      <c r="AT44" s="18">
        <f t="shared" si="14"/>
        <v>0.39062193158260006</v>
      </c>
      <c r="AU44" s="18">
        <f t="shared" si="14"/>
        <v>9.0826372315035764E-2</v>
      </c>
      <c r="AV44" s="17">
        <f t="shared" si="15"/>
        <v>4552736.9921622202</v>
      </c>
      <c r="AW44" s="17">
        <f t="shared" si="15"/>
        <v>559504.97510858194</v>
      </c>
      <c r="AX44" s="39">
        <f t="shared" si="16"/>
        <v>0.9106598969230052</v>
      </c>
      <c r="AY44" s="39">
        <f t="shared" si="16"/>
        <v>1.1763273416331501</v>
      </c>
      <c r="AZ44" s="39">
        <f t="shared" si="17"/>
        <v>0.93973564450915947</v>
      </c>
      <c r="BA44" s="18">
        <v>3.9964641079184397E-2</v>
      </c>
      <c r="BB44" s="20">
        <v>5.7131555561673798E-2</v>
      </c>
      <c r="BC44" s="17">
        <f t="shared" si="18"/>
        <v>-406741.99216222018</v>
      </c>
      <c r="BD44" s="17">
        <f t="shared" si="18"/>
        <v>98656.024891418056</v>
      </c>
      <c r="BE44" s="32"/>
      <c r="BF44" s="40"/>
    </row>
    <row r="45" spans="1:58" ht="14.25" customHeight="1" x14ac:dyDescent="0.35">
      <c r="A45" s="19">
        <v>45700</v>
      </c>
      <c r="B45" s="17">
        <v>34103254</v>
      </c>
      <c r="C45" s="17">
        <f t="shared" si="4"/>
        <v>3527108.7586206896</v>
      </c>
      <c r="D45" s="18">
        <f>+Tabla22[[#This Row],[Share diario]]</f>
        <v>4.6442483935966235E-2</v>
      </c>
      <c r="E45" s="17">
        <f>+Tabla22[[#This Row],[Global 2026]]</f>
        <v>29524043</v>
      </c>
      <c r="F45" s="19">
        <v>46064</v>
      </c>
      <c r="G45" s="17">
        <f t="shared" si="5"/>
        <v>4365978.1275330884</v>
      </c>
      <c r="H45" s="17">
        <v>3565403.93838902</v>
      </c>
      <c r="I45" s="17">
        <v>800574.18914406805</v>
      </c>
      <c r="J45" s="17">
        <v>2929364</v>
      </c>
      <c r="K45" s="17">
        <v>3104553</v>
      </c>
      <c r="L45" s="17">
        <v>19632.758620689601</v>
      </c>
      <c r="M45" s="17">
        <f>12075+10720</f>
        <v>22795</v>
      </c>
      <c r="N45" s="17">
        <v>23666</v>
      </c>
      <c r="O45" s="17">
        <v>17436</v>
      </c>
      <c r="P45" s="17">
        <v>8628</v>
      </c>
      <c r="Q45" s="17">
        <v>696</v>
      </c>
      <c r="R45" s="17">
        <v>92989</v>
      </c>
      <c r="S45" s="17">
        <v>83559</v>
      </c>
      <c r="T45" s="17">
        <v>286849</v>
      </c>
      <c r="U45" s="17">
        <v>555761</v>
      </c>
      <c r="V45" s="17">
        <v>127459</v>
      </c>
      <c r="W45" s="17">
        <v>71762</v>
      </c>
      <c r="X45" s="17">
        <v>36103</v>
      </c>
      <c r="Y45" s="17">
        <v>24671</v>
      </c>
      <c r="Z45" s="17">
        <v>2418</v>
      </c>
      <c r="AA45" s="17">
        <v>4503</v>
      </c>
      <c r="AB45" s="17">
        <v>0</v>
      </c>
      <c r="AC45" s="17">
        <v>-435</v>
      </c>
      <c r="AD45" s="17">
        <v>0</v>
      </c>
      <c r="AE45" s="17">
        <v>0</v>
      </c>
      <c r="AF45" s="17">
        <f t="shared" si="6"/>
        <v>3885301</v>
      </c>
      <c r="AG45" s="18">
        <f t="shared" si="7"/>
        <v>0.88990390847315448</v>
      </c>
      <c r="AH45" s="17">
        <f t="shared" si="8"/>
        <v>-480677.12753308844</v>
      </c>
      <c r="AI45" s="20">
        <f t="shared" si="9"/>
        <v>0.10155406762092167</v>
      </c>
      <c r="AJ45" s="20">
        <f t="shared" si="19"/>
        <v>0.10342440514974581</v>
      </c>
      <c r="AK45" s="21">
        <f t="shared" si="11"/>
        <v>0.13159786415430977</v>
      </c>
      <c r="AL45" s="21">
        <f t="shared" si="20"/>
        <v>-0.13427489939816295</v>
      </c>
      <c r="AO45" s="38">
        <f t="shared" si="13"/>
        <v>46064</v>
      </c>
      <c r="AP45" s="17">
        <f>Tabla2[[#This Row],[Web + APP 2025]]+Tabla2[[#This Row],[Afiliados 2025]]+Tabla2[[#This Row],[TMK 2025]]+Tabla2[[#This Row],[WA 2025]]+Tabla2[[#This Row],[Ent. en Tienda 2025]]</f>
        <v>3074279.7586206896</v>
      </c>
      <c r="AQ45" s="17">
        <f>Tabla2[[#This Row],[Meli Drop 2025]]+Tabla2[[#This Row],[Meli Full 2025]]+Tabla2[[#This Row],[Amazon Drop 2025]]+Tabla2[[#This Row],[Amazon Full 2025]]+Tabla2[[#This Row],[TikTok 2025]]+Tabla2[[#This Row],[Shein 2025]]</f>
        <v>452829</v>
      </c>
      <c r="AR45" s="17">
        <f>Tabla2[[#This Row],[Web + APP 2026]]+Tabla2[[#This Row],[Afiliados 2026]]+Tabla2[[#This Row],[TMK 2026]]+Tabla2[[#This Row],[WA 2026]]+Tabla2[[#This Row],[Ent. en Tienda 2026]]</f>
        <v>3229039</v>
      </c>
      <c r="AS45" s="17">
        <f>Tabla2[[#This Row],[Meli Drop 2026]]+Tabla2[[#This Row],[Meli Full 2026]]+Tabla2[[#This Row],[Amazon Drop 2026]]+Tabla2[[#This Row],[Amazon Full 2026]]+Tabla2[[#This Row],[TikTok 2026]]+Tabla2[[#This Row],[Shein 2026]]</f>
        <v>656262</v>
      </c>
      <c r="AT45" s="18">
        <f t="shared" si="14"/>
        <v>5.0339999456895601E-2</v>
      </c>
      <c r="AU45" s="18">
        <f t="shared" si="14"/>
        <v>0.44924905427876749</v>
      </c>
      <c r="AV45" s="17">
        <f t="shared" si="15"/>
        <v>3565403.93838902</v>
      </c>
      <c r="AW45" s="17">
        <f t="shared" si="15"/>
        <v>800574.18914406805</v>
      </c>
      <c r="AX45" s="39">
        <f t="shared" si="16"/>
        <v>0.90565867312610815</v>
      </c>
      <c r="AY45" s="39">
        <f t="shared" si="16"/>
        <v>0.81973914335364839</v>
      </c>
      <c r="AZ45" s="39">
        <f t="shared" si="17"/>
        <v>0.88990390847315448</v>
      </c>
      <c r="BA45" s="18">
        <v>5.71838706531477E-2</v>
      </c>
      <c r="BB45" s="20">
        <v>4.4741673757249398E-2</v>
      </c>
      <c r="BC45" s="17">
        <f t="shared" si="18"/>
        <v>-336364.93838902004</v>
      </c>
      <c r="BD45" s="17">
        <f t="shared" si="18"/>
        <v>-144312.18914406805</v>
      </c>
      <c r="BE45" s="32"/>
      <c r="BF45" s="40"/>
    </row>
    <row r="46" spans="1:58" ht="14.25" customHeight="1" x14ac:dyDescent="0.35">
      <c r="A46" s="16">
        <v>45701</v>
      </c>
      <c r="B46" s="17">
        <v>39504620</v>
      </c>
      <c r="C46" s="17">
        <f t="shared" si="4"/>
        <v>2181176.4482758623</v>
      </c>
      <c r="D46" s="18">
        <f>+Tabla22[[#This Row],[Share diario]]</f>
        <v>4.5695629167694457E-2</v>
      </c>
      <c r="E46" s="17">
        <f>+Tabla22[[#This Row],[Global 2026]]</f>
        <v>33200957</v>
      </c>
      <c r="F46" s="19">
        <v>46065</v>
      </c>
      <c r="G46" s="17">
        <f t="shared" si="5"/>
        <v>4277322.4882151699</v>
      </c>
      <c r="H46" s="17">
        <v>3676481.8466480798</v>
      </c>
      <c r="I46" s="17">
        <v>600840.64156708994</v>
      </c>
      <c r="J46" s="17">
        <v>1665220</v>
      </c>
      <c r="K46" s="17">
        <v>2317644</v>
      </c>
      <c r="L46" s="17">
        <v>18078.448275862102</v>
      </c>
      <c r="M46" s="17">
        <f>13963+11447</f>
        <v>25410</v>
      </c>
      <c r="N46" s="17">
        <v>39150</v>
      </c>
      <c r="O46" s="17">
        <v>26530</v>
      </c>
      <c r="P46" s="17">
        <v>4561</v>
      </c>
      <c r="Q46" s="17">
        <v>5396</v>
      </c>
      <c r="R46" s="17">
        <v>81122</v>
      </c>
      <c r="S46" s="17">
        <v>99852</v>
      </c>
      <c r="T46" s="17">
        <v>288539</v>
      </c>
      <c r="U46" s="17">
        <v>459284</v>
      </c>
      <c r="V46" s="17">
        <v>74526</v>
      </c>
      <c r="W46" s="17">
        <v>89138</v>
      </c>
      <c r="X46" s="17">
        <v>6407</v>
      </c>
      <c r="Y46" s="17">
        <v>11692</v>
      </c>
      <c r="Z46" s="17">
        <v>3573</v>
      </c>
      <c r="AA46" s="17">
        <v>1959</v>
      </c>
      <c r="AB46" s="17">
        <v>0</v>
      </c>
      <c r="AC46" s="17">
        <v>3313</v>
      </c>
      <c r="AD46" s="17">
        <v>0</v>
      </c>
      <c r="AE46" s="17">
        <v>0</v>
      </c>
      <c r="AF46" s="17">
        <f t="shared" si="6"/>
        <v>3040218</v>
      </c>
      <c r="AG46" s="18">
        <f t="shared" si="7"/>
        <v>0.7107759605165086</v>
      </c>
      <c r="AH46" s="17">
        <f t="shared" si="8"/>
        <v>-1237104.4882151699</v>
      </c>
      <c r="AI46" s="20">
        <f t="shared" si="9"/>
        <v>0.39384321814183254</v>
      </c>
      <c r="AJ46" s="20">
        <f t="shared" si="19"/>
        <v>5.521319907078874E-2</v>
      </c>
      <c r="AK46" s="21">
        <f t="shared" si="11"/>
        <v>9.1570191786941563E-2</v>
      </c>
      <c r="AL46" s="21">
        <f t="shared" si="20"/>
        <v>-0.15956774169704713</v>
      </c>
      <c r="AO46" s="38">
        <f t="shared" si="13"/>
        <v>46065</v>
      </c>
      <c r="AP46" s="17">
        <f>Tabla2[[#This Row],[Web + APP 2025]]+Tabla2[[#This Row],[Afiliados 2025]]+Tabla2[[#This Row],[TMK 2025]]+Tabla2[[#This Row],[WA 2025]]+Tabla2[[#This Row],[Ent. en Tienda 2025]]</f>
        <v>1808131.448275862</v>
      </c>
      <c r="AQ46" s="17">
        <f>Tabla2[[#This Row],[Meli Drop 2025]]+Tabla2[[#This Row],[Meli Full 2025]]+Tabla2[[#This Row],[Amazon Drop 2025]]+Tabla2[[#This Row],[Amazon Full 2025]]+Tabla2[[#This Row],[TikTok 2025]]+Tabla2[[#This Row],[Shein 2025]]</f>
        <v>373045</v>
      </c>
      <c r="AR46" s="17">
        <f>Tabla2[[#This Row],[Web + APP 2026]]+Tabla2[[#This Row],[Afiliados 2026]]+Tabla2[[#This Row],[TMK 2026]]+Tabla2[[#This Row],[WA 2026]]+Tabla2[[#This Row],[Ent. en Tienda 2026]]</f>
        <v>2474832</v>
      </c>
      <c r="AS46" s="17">
        <f>Tabla2[[#This Row],[Meli Drop 2026]]+Tabla2[[#This Row],[Meli Full 2026]]+Tabla2[[#This Row],[Amazon Drop 2026]]+Tabla2[[#This Row],[Amazon Full 2026]]+Tabla2[[#This Row],[TikTok 2026]]+Tabla2[[#This Row],[Shein 2026]]</f>
        <v>565386</v>
      </c>
      <c r="AT46" s="18">
        <f t="shared" si="14"/>
        <v>0.36872349759740541</v>
      </c>
      <c r="AU46" s="18">
        <f t="shared" si="14"/>
        <v>0.51559731399697095</v>
      </c>
      <c r="AV46" s="17">
        <f t="shared" si="15"/>
        <v>3676481.8466480798</v>
      </c>
      <c r="AW46" s="17">
        <f t="shared" si="15"/>
        <v>600840.64156708994</v>
      </c>
      <c r="AX46" s="39">
        <f t="shared" si="16"/>
        <v>0.67315224261377837</v>
      </c>
      <c r="AY46" s="39">
        <f t="shared" si="16"/>
        <v>0.94099160557012507</v>
      </c>
      <c r="AZ46" s="39">
        <f t="shared" si="17"/>
        <v>0.7107759605165086</v>
      </c>
      <c r="BA46" s="18">
        <v>4.2917188683363597E-2</v>
      </c>
      <c r="BB46" s="20">
        <v>4.6135572350184097E-2</v>
      </c>
      <c r="BC46" s="17">
        <f t="shared" si="18"/>
        <v>-1201649.8466480798</v>
      </c>
      <c r="BD46" s="17">
        <f t="shared" si="18"/>
        <v>-35454.641567089944</v>
      </c>
      <c r="BE46" s="32"/>
      <c r="BF46" s="40"/>
    </row>
    <row r="47" spans="1:58" ht="14.25" customHeight="1" x14ac:dyDescent="0.35">
      <c r="A47" s="19">
        <v>45702</v>
      </c>
      <c r="B47" s="17">
        <v>32593735</v>
      </c>
      <c r="C47" s="17">
        <f t="shared" si="4"/>
        <v>1866043.3793103448</v>
      </c>
      <c r="D47" s="18">
        <f>+Tabla22[[#This Row],[Share diario]]</f>
        <v>2.825833762174652E-2</v>
      </c>
      <c r="E47" s="17">
        <f>+Tabla22[[#This Row],[Global 2026]]</f>
        <v>35824613</v>
      </c>
      <c r="F47" s="19">
        <v>46066</v>
      </c>
      <c r="G47" s="17">
        <f t="shared" si="5"/>
        <v>2657293.8448046688</v>
      </c>
      <c r="H47" s="17">
        <v>2162315.3934833198</v>
      </c>
      <c r="I47" s="17">
        <v>494978.45132134901</v>
      </c>
      <c r="J47" s="17">
        <v>1401802</v>
      </c>
      <c r="K47" s="17">
        <v>1758784</v>
      </c>
      <c r="L47" s="17">
        <v>14241.379310344801</v>
      </c>
      <c r="M47" s="17">
        <f>8886+9726</f>
        <v>18612</v>
      </c>
      <c r="N47" s="17">
        <v>55802</v>
      </c>
      <c r="O47" s="17">
        <v>25664</v>
      </c>
      <c r="P47" s="17">
        <v>2882</v>
      </c>
      <c r="Q47" s="17">
        <v>3330</v>
      </c>
      <c r="R47" s="17">
        <v>95242</v>
      </c>
      <c r="S47" s="17">
        <v>68260</v>
      </c>
      <c r="T47" s="17">
        <v>211719</v>
      </c>
      <c r="U47" s="17">
        <v>399606</v>
      </c>
      <c r="V47" s="17">
        <v>60511</v>
      </c>
      <c r="W47" s="17">
        <v>59102</v>
      </c>
      <c r="X47" s="17">
        <v>20710</v>
      </c>
      <c r="Y47" s="17">
        <v>14235</v>
      </c>
      <c r="Z47" s="17">
        <v>3134</v>
      </c>
      <c r="AA47" s="17">
        <v>7832</v>
      </c>
      <c r="AB47" s="17">
        <v>0</v>
      </c>
      <c r="AC47" s="17">
        <v>2440</v>
      </c>
      <c r="AD47" s="17">
        <v>0</v>
      </c>
      <c r="AE47" s="17">
        <v>0</v>
      </c>
      <c r="AF47" s="17">
        <f t="shared" si="6"/>
        <v>2357865</v>
      </c>
      <c r="AG47" s="18">
        <f t="shared" si="7"/>
        <v>0.88731812803085797</v>
      </c>
      <c r="AH47" s="17">
        <f t="shared" si="8"/>
        <v>-299428.8448046688</v>
      </c>
      <c r="AI47" s="20">
        <f t="shared" si="9"/>
        <v>0.26356387324255204</v>
      </c>
      <c r="AJ47" s="20">
        <f t="shared" si="19"/>
        <v>5.7251596949853857E-2</v>
      </c>
      <c r="AK47" s="21">
        <f t="shared" si="11"/>
        <v>6.5816900799458747E-2</v>
      </c>
      <c r="AL47" s="21">
        <f t="shared" si="20"/>
        <v>9.912573689391535E-2</v>
      </c>
      <c r="AO47" s="38">
        <f t="shared" si="13"/>
        <v>46066</v>
      </c>
      <c r="AP47" s="17">
        <f>Tabla2[[#This Row],[Web + APP 2025]]+Tabla2[[#This Row],[Afiliados 2025]]+Tabla2[[#This Row],[TMK 2025]]+Tabla2[[#This Row],[WA 2025]]+Tabla2[[#This Row],[Ent. en Tienda 2025]]</f>
        <v>1569969.3793103448</v>
      </c>
      <c r="AQ47" s="17">
        <f>Tabla2[[#This Row],[Meli Drop 2025]]+Tabla2[[#This Row],[Meli Full 2025]]+Tabla2[[#This Row],[Amazon Drop 2025]]+Tabla2[[#This Row],[Amazon Full 2025]]+Tabla2[[#This Row],[TikTok 2025]]+Tabla2[[#This Row],[Shein 2025]]</f>
        <v>296074</v>
      </c>
      <c r="AR47" s="17">
        <f>Tabla2[[#This Row],[Web + APP 2026]]+Tabla2[[#This Row],[Afiliados 2026]]+Tabla2[[#This Row],[TMK 2026]]+Tabla2[[#This Row],[WA 2026]]+Tabla2[[#This Row],[Ent. en Tienda 2026]]</f>
        <v>1874650</v>
      </c>
      <c r="AS47" s="17">
        <f>Tabla2[[#This Row],[Meli Drop 2026]]+Tabla2[[#This Row],[Meli Full 2026]]+Tabla2[[#This Row],[Amazon Drop 2026]]+Tabla2[[#This Row],[Amazon Full 2026]]+Tabla2[[#This Row],[TikTok 2026]]+Tabla2[[#This Row],[Shein 2026]]</f>
        <v>483215</v>
      </c>
      <c r="AT47" s="18">
        <f t="shared" si="14"/>
        <v>0.19406787463809971</v>
      </c>
      <c r="AU47" s="18">
        <f t="shared" si="14"/>
        <v>0.63207508933577405</v>
      </c>
      <c r="AV47" s="17">
        <f t="shared" si="15"/>
        <v>2162315.3934833198</v>
      </c>
      <c r="AW47" s="17">
        <f t="shared" si="15"/>
        <v>494978.45132134901</v>
      </c>
      <c r="AX47" s="39">
        <f t="shared" si="16"/>
        <v>0.8669641836938905</v>
      </c>
      <c r="AY47" s="39">
        <f t="shared" si="16"/>
        <v>0.97623441729645732</v>
      </c>
      <c r="AZ47" s="39">
        <f t="shared" si="17"/>
        <v>0.88731812803085797</v>
      </c>
      <c r="BA47" s="18">
        <v>3.53556036658106E-2</v>
      </c>
      <c r="BB47" s="20">
        <v>2.7134543958355101E-2</v>
      </c>
      <c r="BC47" s="17">
        <f t="shared" si="18"/>
        <v>-287665.39348331979</v>
      </c>
      <c r="BD47" s="17">
        <f t="shared" si="18"/>
        <v>-11763.451321349014</v>
      </c>
      <c r="BE47" s="32"/>
      <c r="BF47" s="40"/>
    </row>
    <row r="48" spans="1:58" ht="14.25" customHeight="1" x14ac:dyDescent="0.35">
      <c r="A48" s="16">
        <v>45703</v>
      </c>
      <c r="B48" s="17">
        <v>42356911</v>
      </c>
      <c r="C48" s="17">
        <f t="shared" si="4"/>
        <v>1856484.5172413792</v>
      </c>
      <c r="D48" s="18">
        <f>+Tabla22[[#This Row],[Share diario]]</f>
        <v>2.4175615810934793E-2</v>
      </c>
      <c r="E48" s="17">
        <f>+Tabla22[[#This Row],[Global 2026]]</f>
        <v>40028256</v>
      </c>
      <c r="F48" s="19">
        <v>46067</v>
      </c>
      <c r="G48" s="17">
        <f t="shared" si="5"/>
        <v>2270349.9137066589</v>
      </c>
      <c r="H48" s="17">
        <v>1877501.19573291</v>
      </c>
      <c r="I48" s="17">
        <v>392848.71797374898</v>
      </c>
      <c r="J48" s="17">
        <v>1480367</v>
      </c>
      <c r="K48" s="17">
        <v>1400645</v>
      </c>
      <c r="L48" s="17">
        <v>20915.517241379301</v>
      </c>
      <c r="M48" s="17">
        <f>11423+8165</f>
        <v>19588</v>
      </c>
      <c r="N48" s="17">
        <v>13567</v>
      </c>
      <c r="O48" s="17">
        <v>-861</v>
      </c>
      <c r="P48" s="17">
        <v>1142</v>
      </c>
      <c r="Q48" s="17">
        <v>1446</v>
      </c>
      <c r="R48" s="17">
        <v>55048</v>
      </c>
      <c r="S48" s="17">
        <v>76825</v>
      </c>
      <c r="T48" s="17">
        <v>234704</v>
      </c>
      <c r="U48" s="17">
        <v>365354</v>
      </c>
      <c r="V48" s="17">
        <v>34552</v>
      </c>
      <c r="W48" s="17">
        <v>48474</v>
      </c>
      <c r="X48" s="17">
        <v>16189</v>
      </c>
      <c r="Y48" s="17">
        <v>16510</v>
      </c>
      <c r="Z48" s="17">
        <v>0</v>
      </c>
      <c r="AA48" s="17">
        <v>7433</v>
      </c>
      <c r="AB48" s="17">
        <v>0</v>
      </c>
      <c r="AC48" s="17">
        <v>0</v>
      </c>
      <c r="AD48" s="17">
        <v>0</v>
      </c>
      <c r="AE48" s="17">
        <v>0</v>
      </c>
      <c r="AF48" s="17">
        <f t="shared" si="6"/>
        <v>1935414</v>
      </c>
      <c r="AG48" s="18">
        <f t="shared" si="7"/>
        <v>0.85247388004616875</v>
      </c>
      <c r="AH48" s="17">
        <f t="shared" si="8"/>
        <v>-334935.91370665887</v>
      </c>
      <c r="AI48" s="20">
        <f t="shared" si="9"/>
        <v>4.2515562088233816E-2</v>
      </c>
      <c r="AJ48" s="20">
        <f t="shared" si="19"/>
        <v>4.3829553983324686E-2</v>
      </c>
      <c r="AK48" s="21">
        <f t="shared" si="11"/>
        <v>4.8351194716052578E-2</v>
      </c>
      <c r="AL48" s="21">
        <f t="shared" si="20"/>
        <v>-5.4976978845317603E-2</v>
      </c>
      <c r="AO48" s="38">
        <f t="shared" si="13"/>
        <v>46067</v>
      </c>
      <c r="AP48" s="17">
        <f>Tabla2[[#This Row],[Web + APP 2025]]+Tabla2[[#This Row],[Afiliados 2025]]+Tabla2[[#This Row],[TMK 2025]]+Tabla2[[#This Row],[WA 2025]]+Tabla2[[#This Row],[Ent. en Tienda 2025]]</f>
        <v>1571039.5172413792</v>
      </c>
      <c r="AQ48" s="17">
        <f>Tabla2[[#This Row],[Meli Drop 2025]]+Tabla2[[#This Row],[Meli Full 2025]]+Tabla2[[#This Row],[Amazon Drop 2025]]+Tabla2[[#This Row],[Amazon Full 2025]]+Tabla2[[#This Row],[TikTok 2025]]+Tabla2[[#This Row],[Shein 2025]]</f>
        <v>285445</v>
      </c>
      <c r="AR48" s="17">
        <f>Tabla2[[#This Row],[Web + APP 2026]]+Tabla2[[#This Row],[Afiliados 2026]]+Tabla2[[#This Row],[TMK 2026]]+Tabla2[[#This Row],[WA 2026]]+Tabla2[[#This Row],[Ent. en Tienda 2026]]</f>
        <v>1497643</v>
      </c>
      <c r="AS48" s="17">
        <f>Tabla2[[#This Row],[Meli Drop 2026]]+Tabla2[[#This Row],[Meli Full 2026]]+Tabla2[[#This Row],[Amazon Drop 2026]]+Tabla2[[#This Row],[Amazon Full 2026]]+Tabla2[[#This Row],[TikTok 2026]]+Tabla2[[#This Row],[Shein 2026]]</f>
        <v>437771</v>
      </c>
      <c r="AT48" s="18">
        <f t="shared" si="14"/>
        <v>-4.6718441156882951E-2</v>
      </c>
      <c r="AU48" s="18">
        <f t="shared" si="14"/>
        <v>0.53364395943176435</v>
      </c>
      <c r="AV48" s="17">
        <f t="shared" si="15"/>
        <v>1877501.19573291</v>
      </c>
      <c r="AW48" s="17">
        <f t="shared" si="15"/>
        <v>392848.71797374898</v>
      </c>
      <c r="AX48" s="39">
        <f t="shared" si="16"/>
        <v>0.79767885283043627</v>
      </c>
      <c r="AY48" s="39">
        <f t="shared" si="16"/>
        <v>1.1143500792313972</v>
      </c>
      <c r="AZ48" s="39">
        <f t="shared" si="17"/>
        <v>0.85247388004616875</v>
      </c>
      <c r="BA48" s="18">
        <v>2.80606227124106E-2</v>
      </c>
      <c r="BB48" s="20">
        <v>2.3560456943984599E-2</v>
      </c>
      <c r="BC48" s="17">
        <f t="shared" si="18"/>
        <v>-379858.19573290995</v>
      </c>
      <c r="BD48" s="17">
        <f t="shared" si="18"/>
        <v>44922.282026251021</v>
      </c>
      <c r="BE48" s="32"/>
      <c r="BF48" s="40"/>
    </row>
    <row r="49" spans="1:58" ht="14.25" customHeight="1" x14ac:dyDescent="0.35">
      <c r="A49" s="19">
        <v>45704</v>
      </c>
      <c r="B49" s="17">
        <v>44382937</v>
      </c>
      <c r="C49" s="17">
        <f t="shared" si="4"/>
        <v>2548266.7241379311</v>
      </c>
      <c r="D49" s="18">
        <f>+Tabla22[[#This Row],[Share diario]]</f>
        <v>2.4051775508221979E-2</v>
      </c>
      <c r="E49" s="17">
        <f>+Tabla22[[#This Row],[Global 2026]]</f>
        <v>41384863</v>
      </c>
      <c r="F49" s="19">
        <v>46068</v>
      </c>
      <c r="G49" s="17">
        <f t="shared" si="5"/>
        <v>2257526.4806165611</v>
      </c>
      <c r="H49" s="17">
        <v>1878780.9565178</v>
      </c>
      <c r="I49" s="17">
        <v>378745.52409876097</v>
      </c>
      <c r="J49" s="17">
        <v>1932100</v>
      </c>
      <c r="K49" s="17">
        <v>2149329</v>
      </c>
      <c r="L49" s="17">
        <v>24901.724137931</v>
      </c>
      <c r="M49" s="17">
        <f>17478+10892</f>
        <v>28370</v>
      </c>
      <c r="N49" s="17">
        <v>13663</v>
      </c>
      <c r="O49" s="17">
        <v>178</v>
      </c>
      <c r="P49" s="17">
        <v>2471</v>
      </c>
      <c r="Q49" s="17">
        <v>0</v>
      </c>
      <c r="R49" s="17">
        <v>72548</v>
      </c>
      <c r="S49" s="17">
        <v>68941</v>
      </c>
      <c r="T49" s="17">
        <v>370770</v>
      </c>
      <c r="U49" s="17">
        <v>492948</v>
      </c>
      <c r="V49" s="17">
        <v>101714</v>
      </c>
      <c r="W49" s="17">
        <v>50253</v>
      </c>
      <c r="X49" s="17">
        <v>26966</v>
      </c>
      <c r="Y49" s="17">
        <v>25710</v>
      </c>
      <c r="Z49" s="17">
        <v>3133</v>
      </c>
      <c r="AA49" s="17">
        <v>9189</v>
      </c>
      <c r="AB49" s="17">
        <v>0</v>
      </c>
      <c r="AC49" s="17">
        <v>0</v>
      </c>
      <c r="AD49" s="17">
        <v>0</v>
      </c>
      <c r="AE49" s="17">
        <v>0</v>
      </c>
      <c r="AF49" s="17">
        <f t="shared" si="6"/>
        <v>2824918</v>
      </c>
      <c r="AG49" s="18">
        <f t="shared" si="7"/>
        <v>1.2513332730557722</v>
      </c>
      <c r="AH49" s="17">
        <f t="shared" si="8"/>
        <v>567391.51938343886</v>
      </c>
      <c r="AI49" s="20">
        <f t="shared" si="9"/>
        <v>0.10856448943964403</v>
      </c>
      <c r="AJ49" s="20">
        <f t="shared" si="19"/>
        <v>5.7415459552348488E-2</v>
      </c>
      <c r="AK49" s="21">
        <f t="shared" si="11"/>
        <v>6.8259691955486243E-2</v>
      </c>
      <c r="AL49" s="21">
        <f t="shared" si="20"/>
        <v>-6.7550148833097734E-2</v>
      </c>
      <c r="AO49" s="38">
        <f t="shared" si="13"/>
        <v>46068</v>
      </c>
      <c r="AP49" s="17">
        <f>Tabla2[[#This Row],[Web + APP 2025]]+Tabla2[[#This Row],[Afiliados 2025]]+Tabla2[[#This Row],[TMK 2025]]+Tabla2[[#This Row],[WA 2025]]+Tabla2[[#This Row],[Ent. en Tienda 2025]]</f>
        <v>2045683.7241379309</v>
      </c>
      <c r="AQ49" s="17">
        <f>Tabla2[[#This Row],[Meli Drop 2025]]+Tabla2[[#This Row],[Meli Full 2025]]+Tabla2[[#This Row],[Amazon Drop 2025]]+Tabla2[[#This Row],[Amazon Full 2025]]+Tabla2[[#This Row],[TikTok 2025]]+Tabla2[[#This Row],[Shein 2025]]</f>
        <v>502583</v>
      </c>
      <c r="AR49" s="17">
        <f>Tabla2[[#This Row],[Web + APP 2026]]+Tabla2[[#This Row],[Afiliados 2026]]+Tabla2[[#This Row],[TMK 2026]]+Tabla2[[#This Row],[WA 2026]]+Tabla2[[#This Row],[Ent. en Tienda 2026]]</f>
        <v>2246818</v>
      </c>
      <c r="AS49" s="17">
        <f>Tabla2[[#This Row],[Meli Drop 2026]]+Tabla2[[#This Row],[Meli Full 2026]]+Tabla2[[#This Row],[Amazon Drop 2026]]+Tabla2[[#This Row],[Amazon Full 2026]]+Tabla2[[#This Row],[TikTok 2026]]+Tabla2[[#This Row],[Shein 2026]]</f>
        <v>578100</v>
      </c>
      <c r="AT49" s="18">
        <f t="shared" si="14"/>
        <v>9.8321296439325634E-2</v>
      </c>
      <c r="AU49" s="18">
        <f t="shared" si="14"/>
        <v>0.15025776836860771</v>
      </c>
      <c r="AV49" s="17">
        <f t="shared" si="15"/>
        <v>1878780.9565178</v>
      </c>
      <c r="AW49" s="17">
        <f t="shared" si="15"/>
        <v>378745.52409876097</v>
      </c>
      <c r="AX49" s="39">
        <f t="shared" si="16"/>
        <v>1.1958914061830459</v>
      </c>
      <c r="AY49" s="39">
        <f t="shared" si="16"/>
        <v>1.5263546714528453</v>
      </c>
      <c r="AZ49" s="39">
        <f t="shared" si="17"/>
        <v>1.2513332730557722</v>
      </c>
      <c r="BA49" s="18">
        <v>2.7053251721340099E-2</v>
      </c>
      <c r="BB49" s="20">
        <v>2.3576516453794501E-2</v>
      </c>
      <c r="BC49" s="17">
        <f t="shared" si="18"/>
        <v>368037.04348220001</v>
      </c>
      <c r="BD49" s="17">
        <f t="shared" si="18"/>
        <v>199354.47590123903</v>
      </c>
      <c r="BE49" s="32"/>
      <c r="BF49" s="40"/>
    </row>
    <row r="50" spans="1:58" ht="14.25" customHeight="1" x14ac:dyDescent="0.35">
      <c r="A50" s="16">
        <v>45705</v>
      </c>
      <c r="B50" s="17">
        <v>24063181</v>
      </c>
      <c r="C50" s="17">
        <f t="shared" si="4"/>
        <v>3727592.2068965519</v>
      </c>
      <c r="D50" s="18">
        <f>+Tabla22[[#This Row],[Share diario]]</f>
        <v>3.3014193554983903E-2</v>
      </c>
      <c r="E50" s="17">
        <f>+Tabla22[[#This Row],[Global 2026]]</f>
        <v>23766868</v>
      </c>
      <c r="F50" s="19">
        <v>46069</v>
      </c>
      <c r="G50" s="17">
        <f t="shared" si="5"/>
        <v>3113257.5784652401</v>
      </c>
      <c r="H50" s="17">
        <v>2446400.3494434399</v>
      </c>
      <c r="I50" s="17">
        <v>666857.22902179998</v>
      </c>
      <c r="J50" s="17">
        <v>3064112</v>
      </c>
      <c r="K50" s="17">
        <v>3080170</v>
      </c>
      <c r="L50" s="17">
        <v>18136.206896551699</v>
      </c>
      <c r="M50" s="17">
        <f>12628+12367</f>
        <v>24995</v>
      </c>
      <c r="N50" s="17">
        <v>41372</v>
      </c>
      <c r="O50" s="17">
        <v>27259</v>
      </c>
      <c r="P50" s="17">
        <v>9059</v>
      </c>
      <c r="Q50" s="17">
        <v>2265</v>
      </c>
      <c r="R50" s="17">
        <v>59366</v>
      </c>
      <c r="S50" s="17">
        <v>98172</v>
      </c>
      <c r="T50" s="17">
        <v>381579</v>
      </c>
      <c r="U50" s="17">
        <v>460199</v>
      </c>
      <c r="V50" s="17">
        <v>106292</v>
      </c>
      <c r="W50" s="17">
        <v>48934</v>
      </c>
      <c r="X50" s="17">
        <v>40654</v>
      </c>
      <c r="Y50" s="17">
        <v>24099</v>
      </c>
      <c r="Z50" s="17">
        <v>7022</v>
      </c>
      <c r="AA50" s="17">
        <v>5432</v>
      </c>
      <c r="AB50" s="17">
        <v>0</v>
      </c>
      <c r="AC50" s="17">
        <v>430</v>
      </c>
      <c r="AD50" s="17">
        <v>0</v>
      </c>
      <c r="AE50" s="17">
        <v>0</v>
      </c>
      <c r="AF50" s="17">
        <f t="shared" si="6"/>
        <v>3771955</v>
      </c>
      <c r="AG50" s="18">
        <f t="shared" si="7"/>
        <v>1.2115781958071974</v>
      </c>
      <c r="AH50" s="17">
        <f t="shared" si="8"/>
        <v>658697.42153475992</v>
      </c>
      <c r="AI50" s="20">
        <f t="shared" si="9"/>
        <v>1.1901192684481643E-2</v>
      </c>
      <c r="AJ50" s="20">
        <f t="shared" si="19"/>
        <v>0.15490853877118541</v>
      </c>
      <c r="AK50" s="21">
        <f t="shared" si="11"/>
        <v>0.15870643956957223</v>
      </c>
      <c r="AL50" s="21">
        <f t="shared" si="20"/>
        <v>-1.2313957992503122E-2</v>
      </c>
      <c r="AO50" s="38">
        <f t="shared" si="13"/>
        <v>46069</v>
      </c>
      <c r="AP50" s="17">
        <f>Tabla2[[#This Row],[Web + APP 2025]]+Tabla2[[#This Row],[Afiliados 2025]]+Tabla2[[#This Row],[TMK 2025]]+Tabla2[[#This Row],[WA 2025]]+Tabla2[[#This Row],[Ent. en Tienda 2025]]</f>
        <v>3192045.2068965519</v>
      </c>
      <c r="AQ50" s="17">
        <f>Tabla2[[#This Row],[Meli Drop 2025]]+Tabla2[[#This Row],[Meli Full 2025]]+Tabla2[[#This Row],[Amazon Drop 2025]]+Tabla2[[#This Row],[Amazon Full 2025]]+Tabla2[[#This Row],[TikTok 2025]]+Tabla2[[#This Row],[Shein 2025]]</f>
        <v>535547</v>
      </c>
      <c r="AR50" s="17">
        <f>Tabla2[[#This Row],[Web + APP 2026]]+Tabla2[[#This Row],[Afiliados 2026]]+Tabla2[[#This Row],[TMK 2026]]+Tabla2[[#This Row],[WA 2026]]+Tabla2[[#This Row],[Ent. en Tienda 2026]]</f>
        <v>3232861</v>
      </c>
      <c r="AS50" s="17">
        <f>Tabla2[[#This Row],[Meli Drop 2026]]+Tabla2[[#This Row],[Meli Full 2026]]+Tabla2[[#This Row],[Amazon Drop 2026]]+Tabla2[[#This Row],[Amazon Full 2026]]+Tabla2[[#This Row],[TikTok 2026]]+Tabla2[[#This Row],[Shein 2026]]</f>
        <v>539094</v>
      </c>
      <c r="AT50" s="18">
        <f t="shared" si="14"/>
        <v>1.2786721508600163E-2</v>
      </c>
      <c r="AU50" s="18">
        <f t="shared" si="14"/>
        <v>6.6231348509093735E-3</v>
      </c>
      <c r="AV50" s="17">
        <f t="shared" si="15"/>
        <v>2446400.3494434399</v>
      </c>
      <c r="AW50" s="17">
        <f t="shared" si="15"/>
        <v>666857.22902179998</v>
      </c>
      <c r="AX50" s="39">
        <f t="shared" si="16"/>
        <v>1.3214766752038281</v>
      </c>
      <c r="AY50" s="39">
        <f t="shared" si="16"/>
        <v>0.80840992125223954</v>
      </c>
      <c r="AZ50" s="39">
        <f t="shared" si="17"/>
        <v>1.2115781958071974</v>
      </c>
      <c r="BA50" s="18">
        <v>4.76326592158429E-2</v>
      </c>
      <c r="BB50" s="20">
        <v>3.0699479836182399E-2</v>
      </c>
      <c r="BC50" s="17">
        <f t="shared" si="18"/>
        <v>786460.65055656014</v>
      </c>
      <c r="BD50" s="17">
        <f t="shared" si="18"/>
        <v>-127763.22902179998</v>
      </c>
      <c r="BE50" s="32"/>
      <c r="BF50" s="40"/>
    </row>
    <row r="51" spans="1:58" ht="14.25" customHeight="1" x14ac:dyDescent="0.35">
      <c r="A51" s="19">
        <v>45706</v>
      </c>
      <c r="B51" s="17">
        <v>28049331</v>
      </c>
      <c r="C51" s="17">
        <f t="shared" si="4"/>
        <v>3637684.9655172415</v>
      </c>
      <c r="D51" s="18">
        <f>+Tabla22[[#This Row],[Share diario]]</f>
        <v>4.8293002238281896E-2</v>
      </c>
      <c r="E51" s="17">
        <f>+Tabla22[[#This Row],[Global 2026]]</f>
        <v>26877030</v>
      </c>
      <c r="F51" s="19">
        <v>46070</v>
      </c>
      <c r="G51" s="17">
        <f t="shared" si="5"/>
        <v>4527911.4958415478</v>
      </c>
      <c r="H51" s="17">
        <v>3817315.6570827002</v>
      </c>
      <c r="I51" s="17">
        <v>710595.83875884803</v>
      </c>
      <c r="J51" s="17">
        <v>3088415</v>
      </c>
      <c r="K51" s="17">
        <v>3594147</v>
      </c>
      <c r="L51" s="17">
        <v>23043.965517241399</v>
      </c>
      <c r="M51" s="17">
        <f>15370+11491</f>
        <v>26861</v>
      </c>
      <c r="N51" s="17">
        <v>65981</v>
      </c>
      <c r="O51" s="17">
        <v>48038</v>
      </c>
      <c r="P51" s="17">
        <v>7052</v>
      </c>
      <c r="Q51" s="17">
        <v>4918</v>
      </c>
      <c r="R51" s="17">
        <v>29733</v>
      </c>
      <c r="S51" s="17">
        <v>78213</v>
      </c>
      <c r="T51" s="17">
        <v>361184</v>
      </c>
      <c r="U51" s="17">
        <v>470863</v>
      </c>
      <c r="V51" s="17">
        <v>44740</v>
      </c>
      <c r="W51" s="17">
        <v>44216</v>
      </c>
      <c r="X51" s="17">
        <v>15384</v>
      </c>
      <c r="Y51" s="17">
        <v>21475</v>
      </c>
      <c r="Z51" s="17">
        <v>2152</v>
      </c>
      <c r="AA51" s="17">
        <v>6664</v>
      </c>
      <c r="AB51" s="17">
        <v>0</v>
      </c>
      <c r="AC51" s="17">
        <v>0</v>
      </c>
      <c r="AD51" s="17">
        <v>0</v>
      </c>
      <c r="AE51" s="17">
        <v>947</v>
      </c>
      <c r="AF51" s="17">
        <f t="shared" si="6"/>
        <v>4296342</v>
      </c>
      <c r="AG51" s="18">
        <f t="shared" si="7"/>
        <v>0.94885732725689931</v>
      </c>
      <c r="AH51" s="17">
        <f t="shared" si="8"/>
        <v>-231569.49584154785</v>
      </c>
      <c r="AI51" s="20">
        <f t="shared" si="9"/>
        <v>0.18106489174471552</v>
      </c>
      <c r="AJ51" s="20">
        <f t="shared" si="19"/>
        <v>0.12968883163442441</v>
      </c>
      <c r="AK51" s="21">
        <f t="shared" si="11"/>
        <v>0.15985181398391116</v>
      </c>
      <c r="AL51" s="21">
        <f t="shared" si="20"/>
        <v>-4.1794258836333698E-2</v>
      </c>
      <c r="AO51" s="38">
        <f t="shared" si="13"/>
        <v>46070</v>
      </c>
      <c r="AP51" s="17">
        <f>Tabla2[[#This Row],[Web + APP 2025]]+Tabla2[[#This Row],[Afiliados 2025]]+Tabla2[[#This Row],[TMK 2025]]+Tabla2[[#This Row],[WA 2025]]+Tabla2[[#This Row],[Ent. en Tienda 2025]]</f>
        <v>3214224.9655172415</v>
      </c>
      <c r="AQ51" s="17">
        <f>Tabla2[[#This Row],[Meli Drop 2025]]+Tabla2[[#This Row],[Meli Full 2025]]+Tabla2[[#This Row],[Amazon Drop 2025]]+Tabla2[[#This Row],[Amazon Full 2025]]+Tabla2[[#This Row],[TikTok 2025]]+Tabla2[[#This Row],[Shein 2025]]</f>
        <v>423460</v>
      </c>
      <c r="AR51" s="17">
        <f>Tabla2[[#This Row],[Web + APP 2026]]+Tabla2[[#This Row],[Afiliados 2026]]+Tabla2[[#This Row],[TMK 2026]]+Tabla2[[#This Row],[WA 2026]]+Tabla2[[#This Row],[Ent. en Tienda 2026]]</f>
        <v>3752177</v>
      </c>
      <c r="AS51" s="17">
        <f>Tabla2[[#This Row],[Meli Drop 2026]]+Tabla2[[#This Row],[Meli Full 2026]]+Tabla2[[#This Row],[Amazon Drop 2026]]+Tabla2[[#This Row],[Amazon Full 2026]]+Tabla2[[#This Row],[TikTok 2026]]+Tabla2[[#This Row],[Shein 2026]]</f>
        <v>544165</v>
      </c>
      <c r="AT51" s="18">
        <f t="shared" si="14"/>
        <v>0.16736601832603526</v>
      </c>
      <c r="AU51" s="18">
        <f t="shared" si="14"/>
        <v>0.28504463231474042</v>
      </c>
      <c r="AV51" s="17">
        <f t="shared" si="15"/>
        <v>3817315.6570827002</v>
      </c>
      <c r="AW51" s="17">
        <f t="shared" si="15"/>
        <v>710595.83875884803</v>
      </c>
      <c r="AX51" s="39">
        <f t="shared" si="16"/>
        <v>0.98293600452929775</v>
      </c>
      <c r="AY51" s="39">
        <f t="shared" si="16"/>
        <v>0.76578692179011065</v>
      </c>
      <c r="AZ51" s="39">
        <f t="shared" si="17"/>
        <v>0.94885732725689931</v>
      </c>
      <c r="BA51" s="18">
        <v>5.0756845625631999E-2</v>
      </c>
      <c r="BB51" s="20">
        <v>4.7902872916779499E-2</v>
      </c>
      <c r="BC51" s="17">
        <f t="shared" si="18"/>
        <v>-65138.657082700171</v>
      </c>
      <c r="BD51" s="17">
        <f t="shared" si="18"/>
        <v>-166430.83875884803</v>
      </c>
      <c r="BE51" s="32"/>
      <c r="BF51" s="40"/>
    </row>
    <row r="52" spans="1:58" ht="14.25" customHeight="1" x14ac:dyDescent="0.35">
      <c r="A52" s="16">
        <v>45707</v>
      </c>
      <c r="B52" s="17">
        <v>28881637</v>
      </c>
      <c r="C52" s="17">
        <f t="shared" si="4"/>
        <v>3611181.0344827585</v>
      </c>
      <c r="D52" s="18">
        <f>+Tabla22[[#This Row],[Share diario]]</f>
        <v>4.7128204597291098E-2</v>
      </c>
      <c r="E52" s="17">
        <f>+Tabla22[[#This Row],[Global 2026]]</f>
        <v>29417270</v>
      </c>
      <c r="F52" s="19">
        <v>46071</v>
      </c>
      <c r="G52" s="17">
        <f t="shared" si="5"/>
        <v>4405712.1677858885</v>
      </c>
      <c r="H52" s="17">
        <v>3843840.0746160601</v>
      </c>
      <c r="I52" s="17">
        <v>561872.09316982795</v>
      </c>
      <c r="J52" s="17">
        <v>3113676</v>
      </c>
      <c r="K52" s="17">
        <v>3559563</v>
      </c>
      <c r="L52" s="17">
        <v>21506.034482758601</v>
      </c>
      <c r="M52" s="17">
        <f>13096+10747</f>
        <v>23843</v>
      </c>
      <c r="N52" s="17">
        <v>65670</v>
      </c>
      <c r="O52" s="17">
        <v>14662</v>
      </c>
      <c r="P52" s="17">
        <v>2633</v>
      </c>
      <c r="Q52" s="17">
        <v>1851</v>
      </c>
      <c r="R52" s="17">
        <v>66784</v>
      </c>
      <c r="S52" s="17">
        <v>91613</v>
      </c>
      <c r="T52" s="17">
        <v>295101</v>
      </c>
      <c r="U52" s="17">
        <v>453814</v>
      </c>
      <c r="V52" s="17">
        <v>30136</v>
      </c>
      <c r="W52" s="17">
        <v>39979</v>
      </c>
      <c r="X52" s="17">
        <v>13695</v>
      </c>
      <c r="Y52" s="17">
        <v>30090</v>
      </c>
      <c r="Z52" s="17">
        <v>1980</v>
      </c>
      <c r="AA52" s="17">
        <v>3873</v>
      </c>
      <c r="AB52" s="17">
        <v>0</v>
      </c>
      <c r="AC52" s="17">
        <v>3359</v>
      </c>
      <c r="AD52" s="17">
        <v>0</v>
      </c>
      <c r="AE52" s="17">
        <v>0</v>
      </c>
      <c r="AF52" s="17">
        <f t="shared" si="6"/>
        <v>4222647</v>
      </c>
      <c r="AG52" s="18">
        <f t="shared" si="7"/>
        <v>0.9584482233940651</v>
      </c>
      <c r="AH52" s="17">
        <f t="shared" si="8"/>
        <v>-183065.16778588854</v>
      </c>
      <c r="AI52" s="20">
        <f t="shared" si="9"/>
        <v>0.16932575788320281</v>
      </c>
      <c r="AJ52" s="20">
        <f t="shared" si="19"/>
        <v>0.12503380727632435</v>
      </c>
      <c r="AK52" s="21">
        <f t="shared" si="11"/>
        <v>0.14354312959700202</v>
      </c>
      <c r="AL52" s="21">
        <f t="shared" si="20"/>
        <v>1.8545797802250519E-2</v>
      </c>
      <c r="AO52" s="38">
        <f t="shared" si="13"/>
        <v>46071</v>
      </c>
      <c r="AP52" s="17">
        <f>Tabla2[[#This Row],[Web + APP 2025]]+Tabla2[[#This Row],[Afiliados 2025]]+Tabla2[[#This Row],[TMK 2025]]+Tabla2[[#This Row],[WA 2025]]+Tabla2[[#This Row],[Ent. en Tienda 2025]]</f>
        <v>3270269.0344827585</v>
      </c>
      <c r="AQ52" s="17">
        <f>Tabla2[[#This Row],[Meli Drop 2025]]+Tabla2[[#This Row],[Meli Full 2025]]+Tabla2[[#This Row],[Amazon Drop 2025]]+Tabla2[[#This Row],[Amazon Full 2025]]+Tabla2[[#This Row],[TikTok 2025]]+Tabla2[[#This Row],[Shein 2025]]</f>
        <v>340912</v>
      </c>
      <c r="AR52" s="17">
        <f>Tabla2[[#This Row],[Web + APP 2026]]+Tabla2[[#This Row],[Afiliados 2026]]+Tabla2[[#This Row],[TMK 2026]]+Tabla2[[#This Row],[WA 2026]]+Tabla2[[#This Row],[Ent. en Tienda 2026]]</f>
        <v>3691532</v>
      </c>
      <c r="AS52" s="17">
        <f>Tabla2[[#This Row],[Meli Drop 2026]]+Tabla2[[#This Row],[Meli Full 2026]]+Tabla2[[#This Row],[Amazon Drop 2026]]+Tabla2[[#This Row],[Amazon Full 2026]]+Tabla2[[#This Row],[TikTok 2026]]+Tabla2[[#This Row],[Shein 2026]]</f>
        <v>531115</v>
      </c>
      <c r="AT52" s="18">
        <f t="shared" si="14"/>
        <v>0.12881599681106071</v>
      </c>
      <c r="AU52" s="18">
        <f t="shared" si="14"/>
        <v>0.55792403904820009</v>
      </c>
      <c r="AV52" s="17">
        <f t="shared" si="15"/>
        <v>3843840.0746160601</v>
      </c>
      <c r="AW52" s="17">
        <f t="shared" si="15"/>
        <v>561872.09316982795</v>
      </c>
      <c r="AX52" s="39">
        <f t="shared" si="16"/>
        <v>0.96037606360840255</v>
      </c>
      <c r="AY52" s="39">
        <f t="shared" si="16"/>
        <v>0.9452596177248983</v>
      </c>
      <c r="AZ52" s="39">
        <f t="shared" si="17"/>
        <v>0.9584482233940651</v>
      </c>
      <c r="BA52" s="18">
        <v>4.0133720940702E-2</v>
      </c>
      <c r="BB52" s="20">
        <v>4.8235723515585603E-2</v>
      </c>
      <c r="BC52" s="17">
        <f t="shared" si="18"/>
        <v>-152308.07461606013</v>
      </c>
      <c r="BD52" s="17">
        <f t="shared" si="18"/>
        <v>-30757.093169827946</v>
      </c>
      <c r="BE52" s="32"/>
      <c r="BF52" s="40"/>
    </row>
    <row r="53" spans="1:58" ht="14.25" customHeight="1" x14ac:dyDescent="0.35">
      <c r="A53" s="19">
        <v>45708</v>
      </c>
      <c r="B53" s="17">
        <v>35987596</v>
      </c>
      <c r="C53" s="17">
        <f t="shared" si="4"/>
        <v>2980934.1724137929</v>
      </c>
      <c r="D53" s="18">
        <f>+Tabla22[[#This Row],[Share diario]]</f>
        <v>4.6784831628970291E-2</v>
      </c>
      <c r="E53" s="17">
        <f>+Tabla22[[#This Row],[Global 2026]]</f>
        <v>35456665</v>
      </c>
      <c r="F53" s="19">
        <v>46072</v>
      </c>
      <c r="G53" s="17">
        <f t="shared" si="5"/>
        <v>4363204.7398105757</v>
      </c>
      <c r="H53" s="17">
        <v>3910862.27764954</v>
      </c>
      <c r="I53" s="17">
        <v>452342.46216103598</v>
      </c>
      <c r="J53" s="17">
        <v>2421357</v>
      </c>
      <c r="K53" s="17">
        <v>3329797</v>
      </c>
      <c r="L53" s="17">
        <v>22405.172413793101</v>
      </c>
      <c r="M53" s="17">
        <f>15937+12034</f>
        <v>27971</v>
      </c>
      <c r="N53" s="17">
        <v>55891</v>
      </c>
      <c r="O53" s="17">
        <v>23965</v>
      </c>
      <c r="P53" s="17">
        <v>2576</v>
      </c>
      <c r="Q53" s="17">
        <v>344</v>
      </c>
      <c r="R53" s="17">
        <v>61430</v>
      </c>
      <c r="S53" s="17">
        <v>65256</v>
      </c>
      <c r="T53" s="17">
        <v>357973</v>
      </c>
      <c r="U53" s="17">
        <v>368888</v>
      </c>
      <c r="V53" s="17">
        <v>24350</v>
      </c>
      <c r="W53" s="17">
        <v>35313</v>
      </c>
      <c r="X53" s="17">
        <v>28074</v>
      </c>
      <c r="Y53" s="17">
        <v>25716</v>
      </c>
      <c r="Z53" s="17">
        <v>6878</v>
      </c>
      <c r="AA53" s="17">
        <v>7482</v>
      </c>
      <c r="AB53" s="17">
        <v>0</v>
      </c>
      <c r="AC53" s="17">
        <v>1990</v>
      </c>
      <c r="AD53" s="17">
        <v>0</v>
      </c>
      <c r="AE53" s="17">
        <v>689</v>
      </c>
      <c r="AF53" s="17">
        <f t="shared" si="6"/>
        <v>3887411</v>
      </c>
      <c r="AG53" s="18">
        <f t="shared" si="7"/>
        <v>0.89095314838899087</v>
      </c>
      <c r="AH53" s="17">
        <f t="shared" si="8"/>
        <v>-475793.73981057573</v>
      </c>
      <c r="AI53" s="20">
        <f t="shared" si="9"/>
        <v>0.30409152807698292</v>
      </c>
      <c r="AJ53" s="20">
        <f t="shared" si="19"/>
        <v>8.2832267329381856E-2</v>
      </c>
      <c r="AK53" s="21">
        <f t="shared" si="11"/>
        <v>0.10963837123429403</v>
      </c>
      <c r="AL53" s="21">
        <f t="shared" si="20"/>
        <v>-1.4753166618853841E-2</v>
      </c>
      <c r="AO53" s="38">
        <f t="shared" si="13"/>
        <v>46072</v>
      </c>
      <c r="AP53" s="17">
        <f>Tabla2[[#This Row],[Web + APP 2025]]+Tabla2[[#This Row],[Afiliados 2025]]+Tabla2[[#This Row],[TMK 2025]]+Tabla2[[#This Row],[WA 2025]]+Tabla2[[#This Row],[Ent. en Tienda 2025]]</f>
        <v>2563659.1724137929</v>
      </c>
      <c r="AQ53" s="17">
        <f>Tabla2[[#This Row],[Meli Drop 2025]]+Tabla2[[#This Row],[Meli Full 2025]]+Tabla2[[#This Row],[Amazon Drop 2025]]+Tabla2[[#This Row],[Amazon Full 2025]]+Tabla2[[#This Row],[TikTok 2025]]+Tabla2[[#This Row],[Shein 2025]]</f>
        <v>417275</v>
      </c>
      <c r="AR53" s="17">
        <f>Tabla2[[#This Row],[Web + APP 2026]]+Tabla2[[#This Row],[Afiliados 2026]]+Tabla2[[#This Row],[TMK 2026]]+Tabla2[[#This Row],[WA 2026]]+Tabla2[[#This Row],[Ent. en Tienda 2026]]</f>
        <v>3447333</v>
      </c>
      <c r="AS53" s="17">
        <f>Tabla2[[#This Row],[Meli Drop 2026]]+Tabla2[[#This Row],[Meli Full 2026]]+Tabla2[[#This Row],[Amazon Drop 2026]]+Tabla2[[#This Row],[Amazon Full 2026]]+Tabla2[[#This Row],[TikTok 2026]]+Tabla2[[#This Row],[Shein 2026]]</f>
        <v>440078</v>
      </c>
      <c r="AT53" s="18">
        <f t="shared" si="14"/>
        <v>0.34469239791894446</v>
      </c>
      <c r="AU53" s="18">
        <f t="shared" si="14"/>
        <v>5.4647414774429359E-2</v>
      </c>
      <c r="AV53" s="17">
        <f t="shared" si="15"/>
        <v>3910862.27764954</v>
      </c>
      <c r="AW53" s="17">
        <f t="shared" si="15"/>
        <v>452342.46216103598</v>
      </c>
      <c r="AX53" s="39">
        <f t="shared" si="16"/>
        <v>0.88147645078207026</v>
      </c>
      <c r="AY53" s="39">
        <f t="shared" si="16"/>
        <v>0.97288677675219049</v>
      </c>
      <c r="AZ53" s="39">
        <f t="shared" si="17"/>
        <v>0.89095314838899087</v>
      </c>
      <c r="BA53" s="18">
        <v>3.2310175868645402E-2</v>
      </c>
      <c r="BB53" s="20">
        <v>4.9076774233662503E-2</v>
      </c>
      <c r="BC53" s="17">
        <f t="shared" si="18"/>
        <v>-463529.27764953999</v>
      </c>
      <c r="BD53" s="17">
        <f t="shared" si="18"/>
        <v>-12264.462161035975</v>
      </c>
      <c r="BE53" s="32"/>
      <c r="BF53" s="40"/>
    </row>
    <row r="54" spans="1:58" ht="14.25" customHeight="1" x14ac:dyDescent="0.35">
      <c r="A54" s="16">
        <v>45709</v>
      </c>
      <c r="B54" s="17">
        <v>36080831</v>
      </c>
      <c r="C54" s="17">
        <f t="shared" si="4"/>
        <v>2474773.3793103448</v>
      </c>
      <c r="D54" s="18">
        <f>+Tabla22[[#This Row],[Share diario]]</f>
        <v>3.861963773671593E-2</v>
      </c>
      <c r="E54" s="17">
        <f>+Tabla22[[#This Row],[Global 2026]]</f>
        <v>36977163</v>
      </c>
      <c r="F54" s="19">
        <v>46073</v>
      </c>
      <c r="G54" s="17">
        <f t="shared" si="5"/>
        <v>3619504.3435171871</v>
      </c>
      <c r="H54" s="17">
        <v>3065838.8788276301</v>
      </c>
      <c r="I54" s="17">
        <v>553665.46468955697</v>
      </c>
      <c r="J54" s="17">
        <v>1897795</v>
      </c>
      <c r="K54" s="17">
        <v>2545784</v>
      </c>
      <c r="L54" s="17">
        <v>20191.379310344801</v>
      </c>
      <c r="M54" s="17">
        <f>11741+8386</f>
        <v>20127</v>
      </c>
      <c r="N54" s="17">
        <v>54966</v>
      </c>
      <c r="O54" s="17">
        <v>11485</v>
      </c>
      <c r="P54" s="17">
        <v>2375</v>
      </c>
      <c r="Q54" s="17">
        <v>1656</v>
      </c>
      <c r="R54" s="17">
        <v>91325</v>
      </c>
      <c r="S54" s="17">
        <v>148228</v>
      </c>
      <c r="T54" s="17">
        <v>346747</v>
      </c>
      <c r="U54" s="17">
        <v>360812</v>
      </c>
      <c r="V54" s="17">
        <v>33465</v>
      </c>
      <c r="W54" s="17">
        <v>21316</v>
      </c>
      <c r="X54" s="17">
        <v>19690</v>
      </c>
      <c r="Y54" s="17">
        <v>16275</v>
      </c>
      <c r="Z54" s="17">
        <v>8219</v>
      </c>
      <c r="AA54" s="17">
        <v>3147</v>
      </c>
      <c r="AB54" s="17">
        <v>0</v>
      </c>
      <c r="AC54" s="17">
        <v>1306</v>
      </c>
      <c r="AD54" s="17">
        <v>0</v>
      </c>
      <c r="AE54" s="17">
        <v>0</v>
      </c>
      <c r="AF54" s="17">
        <f t="shared" si="6"/>
        <v>3130136</v>
      </c>
      <c r="AG54" s="18">
        <f t="shared" si="7"/>
        <v>0.86479686247823306</v>
      </c>
      <c r="AH54" s="17">
        <f t="shared" si="8"/>
        <v>-489368.34351718705</v>
      </c>
      <c r="AI54" s="20">
        <f t="shared" si="9"/>
        <v>0.2648172257583794</v>
      </c>
      <c r="AJ54" s="20">
        <f t="shared" si="19"/>
        <v>6.8589700146051091E-2</v>
      </c>
      <c r="AK54" s="21">
        <f t="shared" si="11"/>
        <v>8.4650517942655573E-2</v>
      </c>
      <c r="AL54" s="21">
        <f t="shared" si="20"/>
        <v>2.4842332483971941E-2</v>
      </c>
      <c r="AO54" s="38">
        <f t="shared" si="13"/>
        <v>46073</v>
      </c>
      <c r="AP54" s="17">
        <f>Tabla2[[#This Row],[Web + APP 2025]]+Tabla2[[#This Row],[Afiliados 2025]]+Tabla2[[#This Row],[TMK 2025]]+Tabla2[[#This Row],[WA 2025]]+Tabla2[[#This Row],[Ent. en Tienda 2025]]</f>
        <v>2066652.3793103448</v>
      </c>
      <c r="AQ54" s="17">
        <f>Tabla2[[#This Row],[Meli Drop 2025]]+Tabla2[[#This Row],[Meli Full 2025]]+Tabla2[[#This Row],[Amazon Drop 2025]]+Tabla2[[#This Row],[Amazon Full 2025]]+Tabla2[[#This Row],[TikTok 2025]]+Tabla2[[#This Row],[Shein 2025]]</f>
        <v>408121</v>
      </c>
      <c r="AR54" s="17">
        <f>Tabla2[[#This Row],[Web + APP 2026]]+Tabla2[[#This Row],[Afiliados 2026]]+Tabla2[[#This Row],[TMK 2026]]+Tabla2[[#This Row],[WA 2026]]+Tabla2[[#This Row],[Ent. en Tienda 2026]]</f>
        <v>2727280</v>
      </c>
      <c r="AS54" s="17">
        <f>Tabla2[[#This Row],[Meli Drop 2026]]+Tabla2[[#This Row],[Meli Full 2026]]+Tabla2[[#This Row],[Amazon Drop 2026]]+Tabla2[[#This Row],[Amazon Full 2026]]+Tabla2[[#This Row],[TikTok 2026]]+Tabla2[[#This Row],[Shein 2026]]</f>
        <v>402856</v>
      </c>
      <c r="AT54" s="18">
        <f t="shared" si="14"/>
        <v>0.31966073603056122</v>
      </c>
      <c r="AU54" s="18">
        <f t="shared" si="14"/>
        <v>-1.2900585855665336E-2</v>
      </c>
      <c r="AV54" s="17">
        <f t="shared" si="15"/>
        <v>3065838.8788276301</v>
      </c>
      <c r="AW54" s="17">
        <f t="shared" si="15"/>
        <v>553665.46468955697</v>
      </c>
      <c r="AX54" s="39">
        <f t="shared" si="16"/>
        <v>0.8895705572899858</v>
      </c>
      <c r="AY54" s="39">
        <f t="shared" si="16"/>
        <v>0.72761626955707526</v>
      </c>
      <c r="AZ54" s="39">
        <f t="shared" si="17"/>
        <v>0.86479686247823306</v>
      </c>
      <c r="BA54" s="18">
        <v>3.9547533192111198E-2</v>
      </c>
      <c r="BB54" s="20">
        <v>3.8472713128481002E-2</v>
      </c>
      <c r="BC54" s="17">
        <f t="shared" si="18"/>
        <v>-338558.87882763008</v>
      </c>
      <c r="BD54" s="17">
        <f t="shared" si="18"/>
        <v>-150809.46468955697</v>
      </c>
      <c r="BE54" s="32"/>
      <c r="BF54" s="40"/>
    </row>
    <row r="55" spans="1:58" ht="14.25" customHeight="1" x14ac:dyDescent="0.35">
      <c r="A55" s="19">
        <v>45710</v>
      </c>
      <c r="B55" s="17">
        <v>47042220</v>
      </c>
      <c r="C55" s="17">
        <f t="shared" si="4"/>
        <v>2208107.7241379311</v>
      </c>
      <c r="D55" s="18">
        <f>+Tabla22[[#This Row],[Share diario]]</f>
        <v>3.2062046949544898E-2</v>
      </c>
      <c r="E55" s="17">
        <f>+Tabla22[[#This Row],[Global 2026]]</f>
        <v>49550104</v>
      </c>
      <c r="F55" s="19">
        <v>46074</v>
      </c>
      <c r="G55" s="17">
        <f t="shared" si="5"/>
        <v>3012995.8169579371</v>
      </c>
      <c r="H55" s="17">
        <v>2471476.4277911601</v>
      </c>
      <c r="I55" s="17">
        <v>541519.38916677702</v>
      </c>
      <c r="J55" s="17">
        <v>1719612</v>
      </c>
      <c r="K55" s="17">
        <v>2157328</v>
      </c>
      <c r="L55" s="17">
        <v>22776.724137931</v>
      </c>
      <c r="M55" s="17">
        <f>16471+12358</f>
        <v>28829</v>
      </c>
      <c r="N55" s="17">
        <v>25877</v>
      </c>
      <c r="O55" s="17">
        <v>12510</v>
      </c>
      <c r="P55" s="17">
        <v>3459</v>
      </c>
      <c r="Q55" s="17">
        <v>215</v>
      </c>
      <c r="R55" s="17">
        <v>44179</v>
      </c>
      <c r="S55" s="17">
        <v>61838</v>
      </c>
      <c r="T55" s="17">
        <v>327055</v>
      </c>
      <c r="U55" s="17">
        <v>366612</v>
      </c>
      <c r="V55" s="17">
        <v>34049</v>
      </c>
      <c r="W55" s="17">
        <v>23690</v>
      </c>
      <c r="X55" s="17">
        <v>21382</v>
      </c>
      <c r="Y55" s="17">
        <v>14858</v>
      </c>
      <c r="Z55" s="17">
        <v>9718</v>
      </c>
      <c r="AA55" s="17">
        <v>4463</v>
      </c>
      <c r="AB55" s="17">
        <v>0</v>
      </c>
      <c r="AC55" s="17">
        <v>1379</v>
      </c>
      <c r="AD55" s="17">
        <v>0</v>
      </c>
      <c r="AE55" s="17">
        <v>0</v>
      </c>
      <c r="AF55" s="17">
        <f t="shared" si="6"/>
        <v>2671722</v>
      </c>
      <c r="AG55" s="18">
        <f t="shared" si="7"/>
        <v>0.88673272792575486</v>
      </c>
      <c r="AH55" s="17">
        <f t="shared" si="8"/>
        <v>-341273.81695793709</v>
      </c>
      <c r="AI55" s="20">
        <f t="shared" si="9"/>
        <v>0.20995999008294253</v>
      </c>
      <c r="AJ55" s="20">
        <f t="shared" si="19"/>
        <v>4.6938850337801472E-2</v>
      </c>
      <c r="AK55" s="21">
        <f t="shared" si="11"/>
        <v>5.3919604285795245E-2</v>
      </c>
      <c r="AL55" s="21">
        <f t="shared" si="20"/>
        <v>5.3311344575149633E-2</v>
      </c>
      <c r="AO55" s="38">
        <f t="shared" si="13"/>
        <v>46074</v>
      </c>
      <c r="AP55" s="17">
        <f>Tabla2[[#This Row],[Web + APP 2025]]+Tabla2[[#This Row],[Afiliados 2025]]+Tabla2[[#This Row],[TMK 2025]]+Tabla2[[#This Row],[WA 2025]]+Tabla2[[#This Row],[Ent. en Tienda 2025]]</f>
        <v>1815903.7241379309</v>
      </c>
      <c r="AQ55" s="17">
        <f>Tabla2[[#This Row],[Meli Drop 2025]]+Tabla2[[#This Row],[Meli Full 2025]]+Tabla2[[#This Row],[Amazon Drop 2025]]+Tabla2[[#This Row],[Amazon Full 2025]]+Tabla2[[#This Row],[TikTok 2025]]+Tabla2[[#This Row],[Shein 2025]]</f>
        <v>392204</v>
      </c>
      <c r="AR55" s="17">
        <f>Tabla2[[#This Row],[Web + APP 2026]]+Tabla2[[#This Row],[Afiliados 2026]]+Tabla2[[#This Row],[TMK 2026]]+Tabla2[[#This Row],[WA 2026]]+Tabla2[[#This Row],[Ent. en Tienda 2026]]</f>
        <v>2260720</v>
      </c>
      <c r="AS55" s="17">
        <f>Tabla2[[#This Row],[Meli Drop 2026]]+Tabla2[[#This Row],[Meli Full 2026]]+Tabla2[[#This Row],[Amazon Drop 2026]]+Tabla2[[#This Row],[Amazon Full 2026]]+Tabla2[[#This Row],[TikTok 2026]]+Tabla2[[#This Row],[Shein 2026]]</f>
        <v>411002</v>
      </c>
      <c r="AT55" s="18">
        <f t="shared" si="14"/>
        <v>0.24495586960329518</v>
      </c>
      <c r="AU55" s="18">
        <f t="shared" si="14"/>
        <v>4.7929138917502057E-2</v>
      </c>
      <c r="AV55" s="17">
        <f t="shared" si="15"/>
        <v>2471476.4277911601</v>
      </c>
      <c r="AW55" s="17">
        <f t="shared" si="15"/>
        <v>541519.38916677702</v>
      </c>
      <c r="AX55" s="39">
        <f t="shared" si="16"/>
        <v>0.91472448394762962</v>
      </c>
      <c r="AY55" s="39">
        <f t="shared" si="16"/>
        <v>0.75897928720963992</v>
      </c>
      <c r="AZ55" s="39">
        <f t="shared" si="17"/>
        <v>0.88673272792575486</v>
      </c>
      <c r="BA55" s="18">
        <v>3.8679956369055503E-2</v>
      </c>
      <c r="BB55" s="20">
        <v>3.1014155462263701E-2</v>
      </c>
      <c r="BC55" s="17">
        <f t="shared" si="18"/>
        <v>-210756.42779116007</v>
      </c>
      <c r="BD55" s="17">
        <f t="shared" si="18"/>
        <v>-130517.38916677702</v>
      </c>
      <c r="BE55" s="32"/>
      <c r="BF55" s="40"/>
    </row>
    <row r="56" spans="1:58" ht="14.25" customHeight="1" x14ac:dyDescent="0.35">
      <c r="A56" s="16">
        <v>45711</v>
      </c>
      <c r="B56" s="17">
        <v>46157405</v>
      </c>
      <c r="C56" s="17">
        <f t="shared" si="4"/>
        <v>2545543.6206896552</v>
      </c>
      <c r="D56" s="18">
        <f>+Tabla22[[#This Row],[Share diario]]</f>
        <v>2.860724707677768E-2</v>
      </c>
      <c r="E56" s="17">
        <f>+Tabla22[[#This Row],[Global 2026]]</f>
        <v>40534030</v>
      </c>
      <c r="F56" s="19">
        <v>46075</v>
      </c>
      <c r="G56" s="17">
        <f t="shared" si="5"/>
        <v>2692009.8936478598</v>
      </c>
      <c r="H56" s="17">
        <v>2171610.1335062198</v>
      </c>
      <c r="I56" s="17">
        <v>520399.76014164003</v>
      </c>
      <c r="J56" s="17">
        <v>1980647</v>
      </c>
      <c r="K56" s="17">
        <v>2371363</v>
      </c>
      <c r="L56" s="17">
        <v>20783.620689655199</v>
      </c>
      <c r="M56" s="17">
        <f>18154+11801</f>
        <v>29955</v>
      </c>
      <c r="N56" s="17">
        <v>20320</v>
      </c>
      <c r="O56" s="17">
        <v>-835</v>
      </c>
      <c r="P56" s="17">
        <v>1308</v>
      </c>
      <c r="Q56" s="17">
        <v>361</v>
      </c>
      <c r="R56" s="17">
        <v>92867</v>
      </c>
      <c r="S56" s="17">
        <v>73803</v>
      </c>
      <c r="T56" s="17">
        <v>375118</v>
      </c>
      <c r="U56" s="17">
        <v>303085</v>
      </c>
      <c r="V56" s="17">
        <v>29980</v>
      </c>
      <c r="W56" s="17">
        <v>29461</v>
      </c>
      <c r="X56" s="17">
        <v>15301</v>
      </c>
      <c r="Y56" s="17">
        <v>21582</v>
      </c>
      <c r="Z56" s="17">
        <v>9219</v>
      </c>
      <c r="AA56" s="17">
        <v>4347</v>
      </c>
      <c r="AB56" s="17">
        <v>0</v>
      </c>
      <c r="AC56" s="17">
        <v>413</v>
      </c>
      <c r="AD56" s="17">
        <v>0</v>
      </c>
      <c r="AE56" s="17">
        <v>0</v>
      </c>
      <c r="AF56" s="17">
        <f t="shared" si="6"/>
        <v>2833535</v>
      </c>
      <c r="AG56" s="18">
        <f t="shared" si="7"/>
        <v>1.0525722831428246</v>
      </c>
      <c r="AH56" s="17">
        <f t="shared" si="8"/>
        <v>141525.1063521402</v>
      </c>
      <c r="AI56" s="20">
        <f t="shared" si="9"/>
        <v>0.11313551139709799</v>
      </c>
      <c r="AJ56" s="20">
        <f t="shared" si="19"/>
        <v>5.5149192652612408E-2</v>
      </c>
      <c r="AK56" s="21">
        <f t="shared" si="11"/>
        <v>6.9905089624693134E-2</v>
      </c>
      <c r="AL56" s="21">
        <f t="shared" si="20"/>
        <v>-0.12183039752776392</v>
      </c>
      <c r="AO56" s="38">
        <f t="shared" si="13"/>
        <v>46075</v>
      </c>
      <c r="AP56" s="17">
        <f>Tabla2[[#This Row],[Web + APP 2025]]+Tabla2[[#This Row],[Afiliados 2025]]+Tabla2[[#This Row],[TMK 2025]]+Tabla2[[#This Row],[WA 2025]]+Tabla2[[#This Row],[Ent. en Tienda 2025]]</f>
        <v>2115925.6206896552</v>
      </c>
      <c r="AQ56" s="17">
        <f>Tabla2[[#This Row],[Meli Drop 2025]]+Tabla2[[#This Row],[Meli Full 2025]]+Tabla2[[#This Row],[Amazon Drop 2025]]+Tabla2[[#This Row],[Amazon Full 2025]]+Tabla2[[#This Row],[TikTok 2025]]+Tabla2[[#This Row],[Shein 2025]]</f>
        <v>429618</v>
      </c>
      <c r="AR56" s="17">
        <f>Tabla2[[#This Row],[Web + APP 2026]]+Tabla2[[#This Row],[Afiliados 2026]]+Tabla2[[#This Row],[TMK 2026]]+Tabla2[[#This Row],[WA 2026]]+Tabla2[[#This Row],[Ent. en Tienda 2026]]</f>
        <v>2474647</v>
      </c>
      <c r="AS56" s="17">
        <f>Tabla2[[#This Row],[Meli Drop 2026]]+Tabla2[[#This Row],[Meli Full 2026]]+Tabla2[[#This Row],[Amazon Drop 2026]]+Tabla2[[#This Row],[Amazon Full 2026]]+Tabla2[[#This Row],[TikTok 2026]]+Tabla2[[#This Row],[Shein 2026]]</f>
        <v>358888</v>
      </c>
      <c r="AT56" s="18">
        <f t="shared" si="14"/>
        <v>0.1695340213298353</v>
      </c>
      <c r="AU56" s="18">
        <f t="shared" si="14"/>
        <v>-0.16463462890288583</v>
      </c>
      <c r="AV56" s="17">
        <f t="shared" si="15"/>
        <v>2171610.1335062198</v>
      </c>
      <c r="AW56" s="17">
        <f t="shared" si="15"/>
        <v>520399.76014164003</v>
      </c>
      <c r="AX56" s="39">
        <f t="shared" si="16"/>
        <v>1.1395447837612112</v>
      </c>
      <c r="AY56" s="39">
        <f t="shared" si="16"/>
        <v>0.68963905729379948</v>
      </c>
      <c r="AZ56" s="39">
        <f t="shared" si="17"/>
        <v>1.0525722831428246</v>
      </c>
      <c r="BA56" s="18">
        <v>3.7171411438688601E-2</v>
      </c>
      <c r="BB56" s="20">
        <v>2.7251182138193601E-2</v>
      </c>
      <c r="BC56" s="17">
        <f t="shared" si="18"/>
        <v>303036.86649378017</v>
      </c>
      <c r="BD56" s="17">
        <f t="shared" si="18"/>
        <v>-161511.76014164003</v>
      </c>
      <c r="BE56" s="32"/>
      <c r="BF56" s="40"/>
    </row>
    <row r="57" spans="1:58" ht="14.25" customHeight="1" x14ac:dyDescent="0.35">
      <c r="A57" s="19">
        <v>45712</v>
      </c>
      <c r="B57" s="17">
        <v>26433260</v>
      </c>
      <c r="C57" s="17">
        <f t="shared" si="4"/>
        <v>3325119.4827586208</v>
      </c>
      <c r="D57" s="18">
        <f>+Tabla22[[#This Row],[Share diario]]</f>
        <v>3.2978914255740989E-2</v>
      </c>
      <c r="E57" s="17">
        <f>+Tabla22[[#This Row],[Global 2026]]</f>
        <v>22062756</v>
      </c>
      <c r="F57" s="19">
        <v>46076</v>
      </c>
      <c r="G57" s="17">
        <f t="shared" si="5"/>
        <v>3100444.4031627239</v>
      </c>
      <c r="H57" s="17">
        <v>2530401.5067299199</v>
      </c>
      <c r="I57" s="17">
        <v>570042.89643280394</v>
      </c>
      <c r="J57" s="17">
        <v>2773046</v>
      </c>
      <c r="K57" s="17">
        <v>3389716</v>
      </c>
      <c r="L57" s="17">
        <v>19384.482758620699</v>
      </c>
      <c r="M57" s="17">
        <f>12794+10935</f>
        <v>23729</v>
      </c>
      <c r="N57" s="17">
        <v>44133</v>
      </c>
      <c r="O57" s="17">
        <v>28866</v>
      </c>
      <c r="P57" s="17">
        <v>1728</v>
      </c>
      <c r="Q57" s="17">
        <v>2677</v>
      </c>
      <c r="R57" s="17">
        <v>54932</v>
      </c>
      <c r="S57" s="17">
        <v>76508</v>
      </c>
      <c r="T57" s="17">
        <v>362431</v>
      </c>
      <c r="U57" s="17">
        <v>327888</v>
      </c>
      <c r="V57" s="17">
        <v>32310</v>
      </c>
      <c r="W57" s="17">
        <v>34023</v>
      </c>
      <c r="X57" s="17">
        <v>32251</v>
      </c>
      <c r="Y57" s="17">
        <v>20904</v>
      </c>
      <c r="Z57" s="17">
        <v>4904</v>
      </c>
      <c r="AA57" s="17">
        <v>3447</v>
      </c>
      <c r="AB57" s="17">
        <v>0</v>
      </c>
      <c r="AC57" s="17">
        <v>430</v>
      </c>
      <c r="AD57" s="17">
        <v>0</v>
      </c>
      <c r="AE57" s="17">
        <v>0</v>
      </c>
      <c r="AF57" s="17">
        <f t="shared" si="6"/>
        <v>3908188</v>
      </c>
      <c r="AG57" s="18">
        <f t="shared" si="7"/>
        <v>1.2605251027927826</v>
      </c>
      <c r="AH57" s="17">
        <f t="shared" si="8"/>
        <v>807743.59683727613</v>
      </c>
      <c r="AI57" s="20">
        <f t="shared" si="9"/>
        <v>0.17535265131514843</v>
      </c>
      <c r="AJ57" s="20">
        <f t="shared" si="19"/>
        <v>0.12579301541915833</v>
      </c>
      <c r="AK57" s="21">
        <f t="shared" si="11"/>
        <v>0.17713961030072581</v>
      </c>
      <c r="AL57" s="21">
        <f t="shared" si="20"/>
        <v>-0.16534108921865864</v>
      </c>
      <c r="AO57" s="38">
        <f t="shared" si="13"/>
        <v>46076</v>
      </c>
      <c r="AP57" s="17">
        <f>Tabla2[[#This Row],[Web + APP 2025]]+Tabla2[[#This Row],[Afiliados 2025]]+Tabla2[[#This Row],[TMK 2025]]+Tabla2[[#This Row],[WA 2025]]+Tabla2[[#This Row],[Ent. en Tienda 2025]]</f>
        <v>2893223.4827586208</v>
      </c>
      <c r="AQ57" s="17">
        <f>Tabla2[[#This Row],[Meli Drop 2025]]+Tabla2[[#This Row],[Meli Full 2025]]+Tabla2[[#This Row],[Amazon Drop 2025]]+Tabla2[[#This Row],[Amazon Full 2025]]+Tabla2[[#This Row],[TikTok 2025]]+Tabla2[[#This Row],[Shein 2025]]</f>
        <v>431896</v>
      </c>
      <c r="AR57" s="17">
        <f>Tabla2[[#This Row],[Web + APP 2026]]+Tabla2[[#This Row],[Afiliados 2026]]+Tabla2[[#This Row],[TMK 2026]]+Tabla2[[#This Row],[WA 2026]]+Tabla2[[#This Row],[Ent. en Tienda 2026]]</f>
        <v>3521496</v>
      </c>
      <c r="AS57" s="17">
        <f>Tabla2[[#This Row],[Meli Drop 2026]]+Tabla2[[#This Row],[Meli Full 2026]]+Tabla2[[#This Row],[Amazon Drop 2026]]+Tabla2[[#This Row],[Amazon Full 2026]]+Tabla2[[#This Row],[TikTok 2026]]+Tabla2[[#This Row],[Shein 2026]]</f>
        <v>386692</v>
      </c>
      <c r="AT57" s="18">
        <f t="shared" si="14"/>
        <v>0.2171531238376152</v>
      </c>
      <c r="AU57" s="18">
        <f t="shared" si="14"/>
        <v>-0.104664085798433</v>
      </c>
      <c r="AV57" s="17">
        <f t="shared" si="15"/>
        <v>2530401.5067299199</v>
      </c>
      <c r="AW57" s="17">
        <f t="shared" si="15"/>
        <v>570042.89643280394</v>
      </c>
      <c r="AX57" s="39">
        <f t="shared" si="16"/>
        <v>1.3916747957326694</v>
      </c>
      <c r="AY57" s="39">
        <f t="shared" si="16"/>
        <v>0.67835596657695185</v>
      </c>
      <c r="AZ57" s="39">
        <f t="shared" si="17"/>
        <v>1.2605251027927826</v>
      </c>
      <c r="BA57" s="18">
        <v>4.0717349745200297E-2</v>
      </c>
      <c r="BB57" s="20">
        <v>3.1753596687874003E-2</v>
      </c>
      <c r="BC57" s="17">
        <f t="shared" si="18"/>
        <v>991094.49327008007</v>
      </c>
      <c r="BD57" s="17">
        <f t="shared" si="18"/>
        <v>-183350.89643280394</v>
      </c>
      <c r="BE57" s="32"/>
      <c r="BF57" s="40"/>
    </row>
    <row r="58" spans="1:58" ht="14.25" customHeight="1" x14ac:dyDescent="0.35">
      <c r="A58" s="16">
        <v>45713</v>
      </c>
      <c r="B58" s="17">
        <v>29392120</v>
      </c>
      <c r="C58" s="17">
        <f t="shared" si="4"/>
        <v>3789269.1724137929</v>
      </c>
      <c r="D58" s="18">
        <f>+Tabla22[[#This Row],[Share diario]]</f>
        <v>4.307874727453341E-2</v>
      </c>
      <c r="E58" s="17">
        <f>+Tabla22[[#This Row],[Global 2026]]</f>
        <v>27778475</v>
      </c>
      <c r="F58" s="19">
        <v>46077</v>
      </c>
      <c r="G58" s="17">
        <f t="shared" si="5"/>
        <v>4033025.0340803908</v>
      </c>
      <c r="H58" s="17">
        <v>3459959.5507958401</v>
      </c>
      <c r="I58" s="17">
        <v>573065.48328455095</v>
      </c>
      <c r="J58" s="17">
        <v>3237704</v>
      </c>
      <c r="K58" s="17">
        <v>3790804</v>
      </c>
      <c r="L58" s="17">
        <v>19955.172413793101</v>
      </c>
      <c r="M58" s="17">
        <f>11627+12049</f>
        <v>23676</v>
      </c>
      <c r="N58" s="17">
        <v>86781</v>
      </c>
      <c r="O58" s="17">
        <v>53511</v>
      </c>
      <c r="P58" s="17">
        <v>8087</v>
      </c>
      <c r="Q58" s="17">
        <v>3950</v>
      </c>
      <c r="R58" s="17">
        <v>28472</v>
      </c>
      <c r="S58" s="17">
        <v>71433</v>
      </c>
      <c r="T58" s="17">
        <v>347028</v>
      </c>
      <c r="U58" s="17">
        <v>328991</v>
      </c>
      <c r="V58" s="17">
        <v>43531</v>
      </c>
      <c r="W58" s="17">
        <v>44374</v>
      </c>
      <c r="X58" s="17">
        <v>10995</v>
      </c>
      <c r="Y58" s="17">
        <v>15412</v>
      </c>
      <c r="Z58" s="17">
        <v>6716</v>
      </c>
      <c r="AA58" s="17">
        <v>2538</v>
      </c>
      <c r="AB58" s="17">
        <v>0</v>
      </c>
      <c r="AC58" s="17">
        <v>-680</v>
      </c>
      <c r="AD58" s="17">
        <v>0</v>
      </c>
      <c r="AE58" s="17">
        <v>0</v>
      </c>
      <c r="AF58" s="17">
        <f t="shared" si="6"/>
        <v>4334009</v>
      </c>
      <c r="AG58" s="18">
        <f t="shared" si="7"/>
        <v>1.0746298283239493</v>
      </c>
      <c r="AH58" s="17">
        <f t="shared" si="8"/>
        <v>300983.96591960918</v>
      </c>
      <c r="AI58" s="20">
        <f t="shared" si="9"/>
        <v>0.14375854625265472</v>
      </c>
      <c r="AJ58" s="20">
        <f t="shared" si="19"/>
        <v>0.12892126095068315</v>
      </c>
      <c r="AK58" s="21">
        <f t="shared" si="11"/>
        <v>0.15602040788776203</v>
      </c>
      <c r="AL58" s="21">
        <f t="shared" si="20"/>
        <v>-5.4900599208223211E-2</v>
      </c>
      <c r="AO58" s="38">
        <f t="shared" si="13"/>
        <v>46077</v>
      </c>
      <c r="AP58" s="17">
        <f>Tabla2[[#This Row],[Web + APP 2025]]+Tabla2[[#This Row],[Afiliados 2025]]+Tabla2[[#This Row],[TMK 2025]]+Tabla2[[#This Row],[WA 2025]]+Tabla2[[#This Row],[Ent. en Tienda 2025]]</f>
        <v>3380999.1724137929</v>
      </c>
      <c r="AQ58" s="17">
        <f>Tabla2[[#This Row],[Meli Drop 2025]]+Tabla2[[#This Row],[Meli Full 2025]]+Tabla2[[#This Row],[Amazon Drop 2025]]+Tabla2[[#This Row],[Amazon Full 2025]]+Tabla2[[#This Row],[TikTok 2025]]+Tabla2[[#This Row],[Shein 2025]]</f>
        <v>408270</v>
      </c>
      <c r="AR58" s="17">
        <f>Tabla2[[#This Row],[Web + APP 2026]]+Tabla2[[#This Row],[Afiliados 2026]]+Tabla2[[#This Row],[TMK 2026]]+Tabla2[[#This Row],[WA 2026]]+Tabla2[[#This Row],[Ent. en Tienda 2026]]</f>
        <v>3943374</v>
      </c>
      <c r="AS58" s="17">
        <f>Tabla2[[#This Row],[Meli Drop 2026]]+Tabla2[[#This Row],[Meli Full 2026]]+Tabla2[[#This Row],[Amazon Drop 2026]]+Tabla2[[#This Row],[Amazon Full 2026]]+Tabla2[[#This Row],[TikTok 2026]]+Tabla2[[#This Row],[Shein 2026]]</f>
        <v>390635</v>
      </c>
      <c r="AT58" s="18">
        <f t="shared" si="14"/>
        <v>0.16633391459386582</v>
      </c>
      <c r="AU58" s="18">
        <f t="shared" si="14"/>
        <v>-4.319445465010896E-2</v>
      </c>
      <c r="AV58" s="17">
        <f t="shared" si="15"/>
        <v>3459959.5507958401</v>
      </c>
      <c r="AW58" s="17">
        <f t="shared" si="15"/>
        <v>573065.48328455095</v>
      </c>
      <c r="AX58" s="39">
        <f t="shared" si="16"/>
        <v>1.1397167920916786</v>
      </c>
      <c r="AY58" s="39">
        <f t="shared" si="16"/>
        <v>0.68165857374807792</v>
      </c>
      <c r="AZ58" s="39">
        <f t="shared" si="17"/>
        <v>1.0746298283239493</v>
      </c>
      <c r="BA58" s="18">
        <v>4.0933248806039303E-2</v>
      </c>
      <c r="BB58" s="20">
        <v>4.3418469298301503E-2</v>
      </c>
      <c r="BC58" s="17">
        <f t="shared" si="18"/>
        <v>483414.4492041599</v>
      </c>
      <c r="BD58" s="17">
        <f t="shared" si="18"/>
        <v>-182430.48328455095</v>
      </c>
      <c r="BE58" s="32"/>
      <c r="BF58" s="40"/>
    </row>
    <row r="59" spans="1:58" ht="14.25" customHeight="1" x14ac:dyDescent="0.35">
      <c r="A59" s="19">
        <v>45714</v>
      </c>
      <c r="B59" s="17">
        <v>32989145</v>
      </c>
      <c r="C59" s="17">
        <f t="shared" si="4"/>
        <v>3432841.068965517</v>
      </c>
      <c r="D59" s="18">
        <f>+Tabla22[[#This Row],[Share diario]]</f>
        <v>4.9092061166526195E-2</v>
      </c>
      <c r="E59" s="17">
        <f>+Tabla22[[#This Row],[Global 2026]]</f>
        <v>31602573</v>
      </c>
      <c r="F59" s="19">
        <v>46078</v>
      </c>
      <c r="G59" s="17">
        <f t="shared" si="5"/>
        <v>4584999.7645929968</v>
      </c>
      <c r="H59" s="17">
        <v>4043282.6733011501</v>
      </c>
      <c r="I59" s="17">
        <v>541717.09129184706</v>
      </c>
      <c r="J59" s="17">
        <v>2904631</v>
      </c>
      <c r="K59" s="17">
        <v>3614722</v>
      </c>
      <c r="L59" s="17">
        <v>19587.068965517199</v>
      </c>
      <c r="M59" s="17">
        <f>16122+15095</f>
        <v>31217</v>
      </c>
      <c r="N59" s="17">
        <v>64657</v>
      </c>
      <c r="O59" s="17">
        <v>80631</v>
      </c>
      <c r="P59" s="17">
        <v>3724</v>
      </c>
      <c r="Q59" s="17">
        <v>-491</v>
      </c>
      <c r="R59" s="17">
        <v>45659</v>
      </c>
      <c r="S59" s="17">
        <v>33888</v>
      </c>
      <c r="T59" s="17">
        <v>329946</v>
      </c>
      <c r="U59" s="17">
        <v>578952</v>
      </c>
      <c r="V59" s="17">
        <v>38488</v>
      </c>
      <c r="W59" s="17">
        <v>54562</v>
      </c>
      <c r="X59" s="17">
        <v>17323</v>
      </c>
      <c r="Y59" s="17">
        <v>28200</v>
      </c>
      <c r="Z59" s="17">
        <v>8826</v>
      </c>
      <c r="AA59" s="17">
        <v>5951</v>
      </c>
      <c r="AB59" s="17">
        <v>0</v>
      </c>
      <c r="AC59" s="17">
        <v>7009</v>
      </c>
      <c r="AD59" s="17">
        <v>0</v>
      </c>
      <c r="AE59" s="17">
        <v>775</v>
      </c>
      <c r="AF59" s="17">
        <f t="shared" si="6"/>
        <v>4435416</v>
      </c>
      <c r="AG59" s="18">
        <f t="shared" si="7"/>
        <v>0.9673754040843936</v>
      </c>
      <c r="AH59" s="17">
        <f t="shared" si="8"/>
        <v>-149583.7645929968</v>
      </c>
      <c r="AI59" s="20">
        <f t="shared" si="9"/>
        <v>0.2920539899438479</v>
      </c>
      <c r="AJ59" s="20">
        <f t="shared" si="19"/>
        <v>0.10405971627835511</v>
      </c>
      <c r="AK59" s="21">
        <f t="shared" si="11"/>
        <v>0.14034983797047157</v>
      </c>
      <c r="AL59" s="21">
        <f t="shared" si="20"/>
        <v>-4.2031159037313692E-2</v>
      </c>
      <c r="AO59" s="38">
        <f t="shared" si="13"/>
        <v>46078</v>
      </c>
      <c r="AP59" s="17">
        <f>Tabla2[[#This Row],[Web + APP 2025]]+Tabla2[[#This Row],[Afiliados 2025]]+Tabla2[[#This Row],[TMK 2025]]+Tabla2[[#This Row],[WA 2025]]+Tabla2[[#This Row],[Ent. en Tienda 2025]]</f>
        <v>3038258.068965517</v>
      </c>
      <c r="AQ59" s="17">
        <f>Tabla2[[#This Row],[Meli Drop 2025]]+Tabla2[[#This Row],[Meli Full 2025]]+Tabla2[[#This Row],[Amazon Drop 2025]]+Tabla2[[#This Row],[Amazon Full 2025]]+Tabla2[[#This Row],[TikTok 2025]]+Tabla2[[#This Row],[Shein 2025]]</f>
        <v>394583</v>
      </c>
      <c r="AR59" s="17">
        <f>Tabla2[[#This Row],[Web + APP 2026]]+Tabla2[[#This Row],[Afiliados 2026]]+Tabla2[[#This Row],[TMK 2026]]+Tabla2[[#This Row],[WA 2026]]+Tabla2[[#This Row],[Ent. en Tienda 2026]]</f>
        <v>3759967</v>
      </c>
      <c r="AS59" s="17">
        <f>Tabla2[[#This Row],[Meli Drop 2026]]+Tabla2[[#This Row],[Meli Full 2026]]+Tabla2[[#This Row],[Amazon Drop 2026]]+Tabla2[[#This Row],[Amazon Full 2026]]+Tabla2[[#This Row],[TikTok 2026]]+Tabla2[[#This Row],[Shein 2026]]</f>
        <v>675449</v>
      </c>
      <c r="AT59" s="18">
        <f t="shared" si="14"/>
        <v>0.23754036512119403</v>
      </c>
      <c r="AU59" s="18">
        <f t="shared" si="14"/>
        <v>0.71180461398489037</v>
      </c>
      <c r="AV59" s="17">
        <f t="shared" si="15"/>
        <v>4043282.6733011501</v>
      </c>
      <c r="AW59" s="17">
        <f t="shared" si="15"/>
        <v>541717.09129184706</v>
      </c>
      <c r="AX59" s="39">
        <f t="shared" si="16"/>
        <v>0.92992929354854226</v>
      </c>
      <c r="AY59" s="39">
        <f t="shared" si="16"/>
        <v>1.2468666963954174</v>
      </c>
      <c r="AZ59" s="39">
        <f t="shared" si="17"/>
        <v>0.9673754040843936</v>
      </c>
      <c r="BA59" s="18">
        <v>3.86940779494176E-2</v>
      </c>
      <c r="BB59" s="20">
        <v>5.0738496227419903E-2</v>
      </c>
      <c r="BC59" s="17">
        <f t="shared" si="18"/>
        <v>-283315.67330115009</v>
      </c>
      <c r="BD59" s="17">
        <f t="shared" si="18"/>
        <v>133731.90870815294</v>
      </c>
      <c r="BE59" s="32"/>
      <c r="BF59" s="40"/>
    </row>
    <row r="60" spans="1:58" ht="14.25" customHeight="1" x14ac:dyDescent="0.35">
      <c r="A60" s="16">
        <v>45715</v>
      </c>
      <c r="B60" s="17">
        <v>36962992</v>
      </c>
      <c r="C60" s="17">
        <f t="shared" si="4"/>
        <v>3033501.6551724137</v>
      </c>
      <c r="D60" s="18">
        <f>+Tabla22[[#This Row],[Share diario]]</f>
        <v>4.4474339526866198E-2</v>
      </c>
      <c r="E60" s="17">
        <f>+Tabla22[[#This Row],[Global 2026]]</f>
        <v>36200123</v>
      </c>
      <c r="F60" s="19">
        <v>46079</v>
      </c>
      <c r="G60" s="17">
        <f t="shared" si="5"/>
        <v>4156960.4456820181</v>
      </c>
      <c r="H60" s="17">
        <v>3633404.08583875</v>
      </c>
      <c r="I60" s="17">
        <v>523556.359843268</v>
      </c>
      <c r="J60" s="17">
        <v>2452213</v>
      </c>
      <c r="K60" s="17">
        <v>2872787</v>
      </c>
      <c r="L60" s="17">
        <v>20014.655172413801</v>
      </c>
      <c r="M60" s="17">
        <f>12579+13284</f>
        <v>25863</v>
      </c>
      <c r="N60" s="17">
        <v>22443</v>
      </c>
      <c r="O60" s="17">
        <v>7979</v>
      </c>
      <c r="P60" s="17">
        <v>8872</v>
      </c>
      <c r="Q60" s="17">
        <v>0</v>
      </c>
      <c r="R60" s="17">
        <v>97686</v>
      </c>
      <c r="S60" s="17">
        <v>126103</v>
      </c>
      <c r="T60" s="17">
        <v>371645</v>
      </c>
      <c r="U60" s="17">
        <v>530958</v>
      </c>
      <c r="V60" s="17">
        <v>41902</v>
      </c>
      <c r="W60" s="17">
        <v>91753</v>
      </c>
      <c r="X60" s="17">
        <v>12405</v>
      </c>
      <c r="Y60" s="17">
        <v>15632</v>
      </c>
      <c r="Z60" s="17">
        <v>6321</v>
      </c>
      <c r="AA60" s="17">
        <v>4939</v>
      </c>
      <c r="AB60" s="17">
        <v>0</v>
      </c>
      <c r="AC60" s="17">
        <v>5544</v>
      </c>
      <c r="AD60" s="17">
        <v>0</v>
      </c>
      <c r="AE60" s="17">
        <v>0</v>
      </c>
      <c r="AF60" s="17">
        <f t="shared" si="6"/>
        <v>3681558</v>
      </c>
      <c r="AG60" s="18">
        <f t="shared" si="7"/>
        <v>0.88563700523640165</v>
      </c>
      <c r="AH60" s="17">
        <f t="shared" si="8"/>
        <v>-475402.44568201806</v>
      </c>
      <c r="AI60" s="20">
        <f t="shared" si="9"/>
        <v>0.21363309419086285</v>
      </c>
      <c r="AJ60" s="20">
        <f t="shared" si="19"/>
        <v>8.2068617583025028E-2</v>
      </c>
      <c r="AK60" s="21">
        <f t="shared" si="11"/>
        <v>0.10170015168180506</v>
      </c>
      <c r="AL60" s="21">
        <f t="shared" si="20"/>
        <v>-2.0638724267775688E-2</v>
      </c>
      <c r="AO60" s="38">
        <f t="shared" si="13"/>
        <v>46079</v>
      </c>
      <c r="AP60" s="17">
        <f>Tabla2[[#This Row],[Web + APP 2025]]+Tabla2[[#This Row],[Afiliados 2025]]+Tabla2[[#This Row],[TMK 2025]]+Tabla2[[#This Row],[WA 2025]]+Tabla2[[#This Row],[Ent. en Tienda 2025]]</f>
        <v>2601228.6551724137</v>
      </c>
      <c r="AQ60" s="17">
        <f>Tabla2[[#This Row],[Meli Drop 2025]]+Tabla2[[#This Row],[Meli Full 2025]]+Tabla2[[#This Row],[Amazon Drop 2025]]+Tabla2[[#This Row],[Amazon Full 2025]]+Tabla2[[#This Row],[TikTok 2025]]+Tabla2[[#This Row],[Shein 2025]]</f>
        <v>432273</v>
      </c>
      <c r="AR60" s="17">
        <f>Tabla2[[#This Row],[Web + APP 2026]]+Tabla2[[#This Row],[Afiliados 2026]]+Tabla2[[#This Row],[TMK 2026]]+Tabla2[[#This Row],[WA 2026]]+Tabla2[[#This Row],[Ent. en Tienda 2026]]</f>
        <v>3032732</v>
      </c>
      <c r="AS60" s="17">
        <f>Tabla2[[#This Row],[Meli Drop 2026]]+Tabla2[[#This Row],[Meli Full 2026]]+Tabla2[[#This Row],[Amazon Drop 2026]]+Tabla2[[#This Row],[Amazon Full 2026]]+Tabla2[[#This Row],[TikTok 2026]]+Tabla2[[#This Row],[Shein 2026]]</f>
        <v>648826</v>
      </c>
      <c r="AT60" s="18">
        <f t="shared" si="14"/>
        <v>0.16588443463805591</v>
      </c>
      <c r="AU60" s="18">
        <f t="shared" si="14"/>
        <v>0.50096351148464047</v>
      </c>
      <c r="AV60" s="17">
        <f t="shared" si="15"/>
        <v>3633404.08583875</v>
      </c>
      <c r="AW60" s="17">
        <f t="shared" si="15"/>
        <v>523556.359843268</v>
      </c>
      <c r="AX60" s="39">
        <f t="shared" si="16"/>
        <v>0.83468062685901656</v>
      </c>
      <c r="AY60" s="39">
        <f t="shared" si="16"/>
        <v>1.2392667719559987</v>
      </c>
      <c r="AZ60" s="39">
        <f t="shared" si="17"/>
        <v>0.88563700523640165</v>
      </c>
      <c r="BA60" s="18">
        <v>3.73968828459477E-2</v>
      </c>
      <c r="BB60" s="20">
        <v>4.5594996540646297E-2</v>
      </c>
      <c r="BC60" s="17">
        <f t="shared" si="18"/>
        <v>-600672.08583875</v>
      </c>
      <c r="BD60" s="17">
        <f t="shared" si="18"/>
        <v>125269.640156732</v>
      </c>
      <c r="BE60" s="32"/>
      <c r="BF60" s="40"/>
    </row>
    <row r="61" spans="1:58" ht="14.25" customHeight="1" x14ac:dyDescent="0.35">
      <c r="A61" s="19">
        <v>45716</v>
      </c>
      <c r="B61" s="17">
        <v>42693027</v>
      </c>
      <c r="C61" s="17">
        <f t="shared" si="4"/>
        <v>2409436.7586206896</v>
      </c>
      <c r="D61" s="18">
        <f>+Tabla22[[#This Row],[Share diario]]</f>
        <v>3.9300678317771467E-2</v>
      </c>
      <c r="E61" s="17">
        <f>+Tabla22[[#This Row],[Global 2026]]</f>
        <v>42656916</v>
      </c>
      <c r="F61" s="19">
        <v>46080</v>
      </c>
      <c r="G61" s="17">
        <f t="shared" si="5"/>
        <v>3684333.3300469159</v>
      </c>
      <c r="H61" s="17">
        <v>3110767.62058014</v>
      </c>
      <c r="I61" s="17">
        <v>573565.709466776</v>
      </c>
      <c r="J61" s="17">
        <v>1747242</v>
      </c>
      <c r="K61" s="17">
        <v>2328816</v>
      </c>
      <c r="L61" s="17">
        <v>17482.758620689699</v>
      </c>
      <c r="M61" s="17">
        <f>11774+8876</f>
        <v>20650</v>
      </c>
      <c r="N61" s="17">
        <v>73006</v>
      </c>
      <c r="O61" s="17">
        <v>23531</v>
      </c>
      <c r="P61" s="17">
        <v>3125</v>
      </c>
      <c r="Q61" s="17">
        <v>6440</v>
      </c>
      <c r="R61" s="17">
        <v>104847</v>
      </c>
      <c r="S61" s="17">
        <v>122038</v>
      </c>
      <c r="T61" s="17">
        <v>394351</v>
      </c>
      <c r="U61" s="17">
        <v>450008</v>
      </c>
      <c r="V61" s="17">
        <v>40984</v>
      </c>
      <c r="W61" s="17">
        <v>106960</v>
      </c>
      <c r="X61" s="17">
        <v>18424</v>
      </c>
      <c r="Y61" s="17">
        <v>15315</v>
      </c>
      <c r="Z61" s="17">
        <v>9975</v>
      </c>
      <c r="AA61" s="17">
        <v>3641</v>
      </c>
      <c r="AB61" s="17">
        <v>0</v>
      </c>
      <c r="AC61" s="17">
        <v>2547</v>
      </c>
      <c r="AD61" s="17">
        <v>0</v>
      </c>
      <c r="AE61" s="17">
        <v>775</v>
      </c>
      <c r="AF61" s="17">
        <f t="shared" si="6"/>
        <v>3080721</v>
      </c>
      <c r="AG61" s="18">
        <f t="shared" si="7"/>
        <v>0.83616782848493532</v>
      </c>
      <c r="AH61" s="17">
        <f t="shared" si="8"/>
        <v>-603612.33004691591</v>
      </c>
      <c r="AI61" s="20">
        <f t="shared" si="9"/>
        <v>0.2786062921043817</v>
      </c>
      <c r="AJ61" s="20">
        <f t="shared" si="19"/>
        <v>5.6436306533633455E-2</v>
      </c>
      <c r="AK61" s="21">
        <f t="shared" si="11"/>
        <v>7.2220903170777742E-2</v>
      </c>
      <c r="AL61" s="21">
        <f t="shared" si="20"/>
        <v>-8.4582899216778529E-4</v>
      </c>
      <c r="AO61" s="38">
        <f t="shared" si="13"/>
        <v>46080</v>
      </c>
      <c r="AP61" s="17">
        <f>Tabla2[[#This Row],[Web + APP 2025]]+Tabla2[[#This Row],[Afiliados 2025]]+Tabla2[[#This Row],[TMK 2025]]+Tabla2[[#This Row],[WA 2025]]+Tabla2[[#This Row],[Ent. en Tienda 2025]]</f>
        <v>1945702.7586206896</v>
      </c>
      <c r="AQ61" s="17">
        <f>Tabla2[[#This Row],[Meli Drop 2025]]+Tabla2[[#This Row],[Meli Full 2025]]+Tabla2[[#This Row],[Amazon Drop 2025]]+Tabla2[[#This Row],[Amazon Full 2025]]+Tabla2[[#This Row],[TikTok 2025]]+Tabla2[[#This Row],[Shein 2025]]</f>
        <v>463734</v>
      </c>
      <c r="AR61" s="17">
        <f>Tabla2[[#This Row],[Web + APP 2026]]+Tabla2[[#This Row],[Afiliados 2026]]+Tabla2[[#This Row],[TMK 2026]]+Tabla2[[#This Row],[WA 2026]]+Tabla2[[#This Row],[Ent. en Tienda 2026]]</f>
        <v>2501475</v>
      </c>
      <c r="AS61" s="17">
        <f>Tabla2[[#This Row],[Meli Drop 2026]]+Tabla2[[#This Row],[Meli Full 2026]]+Tabla2[[#This Row],[Amazon Drop 2026]]+Tabla2[[#This Row],[Amazon Full 2026]]+Tabla2[[#This Row],[TikTok 2026]]+Tabla2[[#This Row],[Shein 2026]]</f>
        <v>579246</v>
      </c>
      <c r="AT61" s="18">
        <f t="shared" si="14"/>
        <v>0.28564087649919245</v>
      </c>
      <c r="AU61" s="18">
        <f t="shared" si="14"/>
        <v>0.2490910737621137</v>
      </c>
      <c r="AV61" s="17">
        <f t="shared" si="15"/>
        <v>3110767.62058014</v>
      </c>
      <c r="AW61" s="17">
        <f t="shared" si="15"/>
        <v>573565.709466776</v>
      </c>
      <c r="AX61" s="39">
        <f t="shared" si="16"/>
        <v>0.80413431831127569</v>
      </c>
      <c r="AY61" s="39">
        <f t="shared" si="16"/>
        <v>1.0099034695405775</v>
      </c>
      <c r="AZ61" s="39">
        <f t="shared" si="17"/>
        <v>0.83616782848493532</v>
      </c>
      <c r="BA61" s="18">
        <v>4.0968979247626797E-2</v>
      </c>
      <c r="BB61" s="20">
        <v>3.90365165966296E-2</v>
      </c>
      <c r="BC61" s="17">
        <f t="shared" si="18"/>
        <v>-609292.62058014004</v>
      </c>
      <c r="BD61" s="17">
        <f t="shared" si="18"/>
        <v>5680.2905332240043</v>
      </c>
      <c r="BE61" s="32"/>
      <c r="BF61" s="40"/>
    </row>
    <row r="62" spans="1:58" ht="14.25" customHeight="1" x14ac:dyDescent="0.35">
      <c r="A62" s="16">
        <v>45717</v>
      </c>
      <c r="B62" s="17">
        <v>50836467</v>
      </c>
      <c r="C62" s="17">
        <f t="shared" si="4"/>
        <v>2062135.4827586208</v>
      </c>
      <c r="D62" s="18">
        <f>+Tabla22[[#This Row],[Share diario]]</f>
        <v>3.1215575180618686E-2</v>
      </c>
      <c r="E62" s="17">
        <f>+Tabla22[[#This Row],[Global 2026]]</f>
        <v>51597186</v>
      </c>
      <c r="F62" s="19">
        <v>46081</v>
      </c>
      <c r="G62" s="17">
        <f t="shared" si="5"/>
        <v>2942144.765420862</v>
      </c>
      <c r="H62" s="17">
        <v>2326834.7166464399</v>
      </c>
      <c r="I62" s="17">
        <v>615310.04877442203</v>
      </c>
      <c r="J62" s="17">
        <v>1522696</v>
      </c>
      <c r="K62" s="17">
        <v>2298757</v>
      </c>
      <c r="L62" s="17">
        <v>23759.482758620699</v>
      </c>
      <c r="M62" s="17">
        <f>17672+10634</f>
        <v>28306</v>
      </c>
      <c r="N62" s="17">
        <v>41023</v>
      </c>
      <c r="O62" s="17">
        <v>7846</v>
      </c>
      <c r="P62" s="17">
        <v>2722</v>
      </c>
      <c r="Q62" s="17">
        <v>0</v>
      </c>
      <c r="R62" s="17">
        <v>37541</v>
      </c>
      <c r="S62" s="17">
        <v>67232</v>
      </c>
      <c r="T62" s="17">
        <v>384483</v>
      </c>
      <c r="U62" s="17">
        <v>415460</v>
      </c>
      <c r="V62" s="17">
        <v>29795</v>
      </c>
      <c r="W62" s="17">
        <v>103810</v>
      </c>
      <c r="X62" s="17">
        <v>13746</v>
      </c>
      <c r="Y62" s="17">
        <v>16109</v>
      </c>
      <c r="Z62" s="17">
        <v>6370</v>
      </c>
      <c r="AA62" s="17">
        <v>3746</v>
      </c>
      <c r="AB62" s="17">
        <v>0</v>
      </c>
      <c r="AC62" s="17">
        <v>-5</v>
      </c>
      <c r="AD62" s="17">
        <v>0</v>
      </c>
      <c r="AE62" s="17">
        <v>1895</v>
      </c>
      <c r="AF62" s="17">
        <f t="shared" si="6"/>
        <v>2943156</v>
      </c>
      <c r="AG62" s="18">
        <f t="shared" si="7"/>
        <v>1.000343706601736</v>
      </c>
      <c r="AH62" s="17">
        <f t="shared" si="8"/>
        <v>1011.2345791379921</v>
      </c>
      <c r="AI62" s="20">
        <f t="shared" si="9"/>
        <v>0.42723697090105572</v>
      </c>
      <c r="AJ62" s="20">
        <f t="shared" si="19"/>
        <v>4.0564099050365177E-2</v>
      </c>
      <c r="AK62" s="21">
        <f t="shared" si="11"/>
        <v>5.7041017702011886E-2</v>
      </c>
      <c r="AL62" s="21">
        <f t="shared" si="20"/>
        <v>1.4964041462597999E-2</v>
      </c>
      <c r="AO62" s="38">
        <f t="shared" si="13"/>
        <v>46081</v>
      </c>
      <c r="AP62" s="17">
        <f>Tabla2[[#This Row],[Web + APP 2025]]+Tabla2[[#This Row],[Afiliados 2025]]+Tabla2[[#This Row],[TMK 2025]]+Tabla2[[#This Row],[WA 2025]]+Tabla2[[#This Row],[Ent. en Tienda 2025]]</f>
        <v>1627741.4827586208</v>
      </c>
      <c r="AQ62" s="17">
        <f>Tabla2[[#This Row],[Meli Drop 2025]]+Tabla2[[#This Row],[Meli Full 2025]]+Tabla2[[#This Row],[Amazon Drop 2025]]+Tabla2[[#This Row],[Amazon Full 2025]]+Tabla2[[#This Row],[TikTok 2025]]+Tabla2[[#This Row],[Shein 2025]]</f>
        <v>434394</v>
      </c>
      <c r="AR62" s="17">
        <f>Tabla2[[#This Row],[Web + APP 2026]]+Tabla2[[#This Row],[Afiliados 2026]]+Tabla2[[#This Row],[TMK 2026]]+Tabla2[[#This Row],[WA 2026]]+Tabla2[[#This Row],[Ent. en Tienda 2026]]</f>
        <v>2402141</v>
      </c>
      <c r="AS62" s="17">
        <f>Tabla2[[#This Row],[Meli Drop 2026]]+Tabla2[[#This Row],[Meli Full 2026]]+Tabla2[[#This Row],[Amazon Drop 2026]]+Tabla2[[#This Row],[Amazon Full 2026]]+Tabla2[[#This Row],[TikTok 2026]]+Tabla2[[#This Row],[Shein 2026]]</f>
        <v>541015</v>
      </c>
      <c r="AT62" s="18">
        <f t="shared" si="14"/>
        <v>0.47575092571147293</v>
      </c>
      <c r="AU62" s="18">
        <f t="shared" si="14"/>
        <v>0.24544768113740068</v>
      </c>
      <c r="AV62" s="17">
        <f t="shared" si="15"/>
        <v>2326834.7166464399</v>
      </c>
      <c r="AW62" s="17">
        <f t="shared" si="15"/>
        <v>615310.04877442203</v>
      </c>
      <c r="AX62" s="39">
        <f t="shared" si="16"/>
        <v>1.032364259831096</v>
      </c>
      <c r="AY62" s="39">
        <f t="shared" si="16"/>
        <v>0.87925591509125633</v>
      </c>
      <c r="AZ62" s="39">
        <f t="shared" si="17"/>
        <v>1.000343706601736</v>
      </c>
      <c r="BA62" s="18">
        <v>4.3950717769601598E-2</v>
      </c>
      <c r="BB62" s="20">
        <v>2.9199070169389E-2</v>
      </c>
      <c r="BC62" s="17">
        <f t="shared" si="18"/>
        <v>75306.283353560138</v>
      </c>
      <c r="BD62" s="17">
        <f t="shared" si="18"/>
        <v>-74295.04877442203</v>
      </c>
      <c r="BE62" s="32"/>
      <c r="BF62" s="40"/>
    </row>
    <row r="63" spans="1:58" ht="14.25" customHeight="1" x14ac:dyDescent="0.35">
      <c r="A63" s="19">
        <v>45718</v>
      </c>
      <c r="B63" s="17">
        <v>48002488</v>
      </c>
      <c r="C63" s="17">
        <f t="shared" si="4"/>
        <v>2666615.8965517241</v>
      </c>
      <c r="D63" s="18">
        <f>+Tabla22[[#This Row],[Share diario]]</f>
        <v>2.2488732254430814E-2</v>
      </c>
      <c r="E63" s="17">
        <f>+Tabla22[[#This Row],[Global 2026]]</f>
        <v>52843119</v>
      </c>
      <c r="F63" s="19">
        <v>46082</v>
      </c>
      <c r="G63" s="17">
        <f t="shared" si="5"/>
        <v>2805782.38479015</v>
      </c>
      <c r="H63" s="17">
        <v>2136915.38479015</v>
      </c>
      <c r="I63" s="17">
        <v>668867</v>
      </c>
      <c r="J63" s="17">
        <v>2021359</v>
      </c>
      <c r="K63" s="17">
        <v>2769749</v>
      </c>
      <c r="L63" s="17">
        <v>23281.896551724101</v>
      </c>
      <c r="M63" s="17">
        <f>19644+14270</f>
        <v>33914</v>
      </c>
      <c r="N63" s="17">
        <v>3956</v>
      </c>
      <c r="O63" s="17">
        <v>26512</v>
      </c>
      <c r="P63" s="17">
        <v>7228</v>
      </c>
      <c r="Q63" s="17">
        <v>0</v>
      </c>
      <c r="R63" s="17">
        <v>118573</v>
      </c>
      <c r="S63" s="17">
        <v>96454</v>
      </c>
      <c r="T63" s="17">
        <v>444525</v>
      </c>
      <c r="U63" s="17">
        <v>447295</v>
      </c>
      <c r="V63" s="17">
        <v>31189</v>
      </c>
      <c r="W63" s="17">
        <v>95383</v>
      </c>
      <c r="X63" s="17">
        <v>12849</v>
      </c>
      <c r="Y63" s="17">
        <v>21210</v>
      </c>
      <c r="Z63" s="17">
        <v>3655</v>
      </c>
      <c r="AA63" s="17">
        <v>3536</v>
      </c>
      <c r="AB63" s="17">
        <v>0</v>
      </c>
      <c r="AC63" s="17">
        <v>430</v>
      </c>
      <c r="AD63" s="17">
        <v>0</v>
      </c>
      <c r="AE63" s="17">
        <v>0</v>
      </c>
      <c r="AF63" s="17">
        <f t="shared" si="6"/>
        <v>3494483</v>
      </c>
      <c r="AG63" s="18">
        <f t="shared" si="7"/>
        <v>1.2454576017524464</v>
      </c>
      <c r="AH63" s="17">
        <f t="shared" si="8"/>
        <v>688700.61520985002</v>
      </c>
      <c r="AI63" s="20">
        <f t="shared" si="9"/>
        <v>0.31045607450207369</v>
      </c>
      <c r="AJ63" s="20">
        <f t="shared" si="19"/>
        <v>5.555161841927285E-2</v>
      </c>
      <c r="AK63" s="21">
        <f t="shared" si="11"/>
        <v>6.6129385738945501E-2</v>
      </c>
      <c r="AL63" s="21">
        <f t="shared" si="20"/>
        <v>0.1008412522284261</v>
      </c>
      <c r="AO63" s="38">
        <f t="shared" si="13"/>
        <v>46082</v>
      </c>
      <c r="AP63" s="17">
        <f>Tabla2[[#This Row],[Web + APP 2025]]+Tabla2[[#This Row],[Afiliados 2025]]+Tabla2[[#This Row],[TMK 2025]]+Tabla2[[#This Row],[WA 2025]]+Tabla2[[#This Row],[Ent. en Tienda 2025]]</f>
        <v>2174397.8965517241</v>
      </c>
      <c r="AQ63" s="17">
        <f>Tabla2[[#This Row],[Meli Drop 2025]]+Tabla2[[#This Row],[Meli Full 2025]]+Tabla2[[#This Row],[Amazon Drop 2025]]+Tabla2[[#This Row],[Amazon Full 2025]]+Tabla2[[#This Row],[TikTok 2025]]+Tabla2[[#This Row],[Shein 2025]]</f>
        <v>492218</v>
      </c>
      <c r="AR63" s="17">
        <f>Tabla2[[#This Row],[Web + APP 2026]]+Tabla2[[#This Row],[Afiliados 2026]]+Tabla2[[#This Row],[TMK 2026]]+Tabla2[[#This Row],[WA 2026]]+Tabla2[[#This Row],[Ent. en Tienda 2026]]</f>
        <v>2926629</v>
      </c>
      <c r="AS63" s="17">
        <f>Tabla2[[#This Row],[Meli Drop 2026]]+Tabla2[[#This Row],[Meli Full 2026]]+Tabla2[[#This Row],[Amazon Drop 2026]]+Tabla2[[#This Row],[Amazon Full 2026]]+Tabla2[[#This Row],[TikTok 2026]]+Tabla2[[#This Row],[Shein 2026]]</f>
        <v>567854</v>
      </c>
      <c r="AT63" s="18">
        <f t="shared" si="14"/>
        <v>0.34594914971229684</v>
      </c>
      <c r="AU63" s="18">
        <f t="shared" si="14"/>
        <v>0.15366362059087635</v>
      </c>
      <c r="AV63" s="17">
        <f t="shared" si="15"/>
        <v>2136915.38479015</v>
      </c>
      <c r="AW63" s="17">
        <f t="shared" si="15"/>
        <v>668867</v>
      </c>
      <c r="AX63" s="39">
        <f t="shared" si="16"/>
        <v>1.3695577376768251</v>
      </c>
      <c r="AY63" s="39">
        <f t="shared" si="16"/>
        <v>0.84897894499205373</v>
      </c>
      <c r="AZ63" s="39">
        <f t="shared" si="17"/>
        <v>1.2454576017524464</v>
      </c>
      <c r="BA63" s="18">
        <f t="shared" ref="BA63:BA93" si="21">+AQ63/(SUM($AQ$63:$AQ$93))</f>
        <v>2.8973199005105442E-2</v>
      </c>
      <c r="BB63" s="20">
        <f t="shared" ref="BB63:BB93" si="22">+AP63/(SUM($AP$63:$AP$93))</f>
        <v>2.8392938507589113E-2</v>
      </c>
      <c r="BC63" s="17">
        <f t="shared" si="18"/>
        <v>789713.61520985002</v>
      </c>
      <c r="BD63" s="17">
        <f t="shared" si="18"/>
        <v>-101013</v>
      </c>
      <c r="BE63" s="41" t="s">
        <v>254</v>
      </c>
      <c r="BF63" s="42">
        <f>+AVERAGE(AQ63:AQ88)</f>
        <v>539849.80769230775</v>
      </c>
    </row>
    <row r="64" spans="1:58" ht="14.25" customHeight="1" x14ac:dyDescent="0.35">
      <c r="A64" s="16">
        <v>45719</v>
      </c>
      <c r="B64" s="17">
        <v>28870398</v>
      </c>
      <c r="C64" s="17">
        <f t="shared" si="4"/>
        <v>3575627.5172413792</v>
      </c>
      <c r="D64" s="18">
        <f>+Tabla22[[#This Row],[Share diario]]</f>
        <v>2.9080926750136443E-2</v>
      </c>
      <c r="E64" s="17">
        <f>+Tabla22[[#This Row],[Global 2026]]</f>
        <v>29862876</v>
      </c>
      <c r="F64" s="19">
        <v>46083</v>
      </c>
      <c r="G64" s="17">
        <f t="shared" si="5"/>
        <v>3622374.42120753</v>
      </c>
      <c r="H64" s="17">
        <v>2854571.42120753</v>
      </c>
      <c r="I64" s="17">
        <v>767803</v>
      </c>
      <c r="J64" s="17">
        <v>2894647</v>
      </c>
      <c r="K64" s="17">
        <v>3687641</v>
      </c>
      <c r="L64" s="17">
        <v>17015.517241379301</v>
      </c>
      <c r="M64" s="17">
        <v>26936</v>
      </c>
      <c r="N64" s="17">
        <v>70126</v>
      </c>
      <c r="O64" s="17">
        <v>15825</v>
      </c>
      <c r="P64" s="17">
        <v>2478</v>
      </c>
      <c r="Q64" s="17">
        <v>7457</v>
      </c>
      <c r="R64" s="17">
        <v>47499</v>
      </c>
      <c r="S64" s="17">
        <v>107185</v>
      </c>
      <c r="T64" s="17">
        <v>481304</v>
      </c>
      <c r="U64" s="17">
        <v>452113</v>
      </c>
      <c r="V64" s="17">
        <v>33324</v>
      </c>
      <c r="W64" s="17">
        <v>85564</v>
      </c>
      <c r="X64" s="17">
        <v>22831</v>
      </c>
      <c r="Y64" s="17">
        <v>6520</v>
      </c>
      <c r="Z64" s="17">
        <v>6403</v>
      </c>
      <c r="AA64" s="17">
        <v>4483</v>
      </c>
      <c r="AB64" s="17">
        <v>0</v>
      </c>
      <c r="AC64" s="17">
        <v>515</v>
      </c>
      <c r="AD64" s="17">
        <v>0</v>
      </c>
      <c r="AE64" s="17">
        <v>0</v>
      </c>
      <c r="AF64" s="17">
        <f t="shared" si="6"/>
        <v>4394239</v>
      </c>
      <c r="AG64" s="18">
        <f t="shared" si="7"/>
        <v>1.2130824948060357</v>
      </c>
      <c r="AH64" s="17">
        <f t="shared" si="8"/>
        <v>771864.57879247004</v>
      </c>
      <c r="AI64" s="20">
        <f t="shared" si="9"/>
        <v>0.22894204690263287</v>
      </c>
      <c r="AJ64" s="20">
        <f t="shared" si="19"/>
        <v>0.12385099496173829</v>
      </c>
      <c r="AK64" s="21">
        <f t="shared" si="11"/>
        <v>0.1471472138182538</v>
      </c>
      <c r="AL64" s="21">
        <f t="shared" si="20"/>
        <v>3.4377011359524756E-2</v>
      </c>
      <c r="AO64" s="38">
        <f t="shared" si="13"/>
        <v>46083</v>
      </c>
      <c r="AP64" s="17">
        <f>Tabla2[[#This Row],[Web + APP 2025]]+Tabla2[[#This Row],[Afiliados 2025]]+Tabla2[[#This Row],[TMK 2025]]+Tabla2[[#This Row],[WA 2025]]+Tabla2[[#This Row],[Ent. en Tienda 2025]]</f>
        <v>3031765.5172413792</v>
      </c>
      <c r="AQ64" s="17">
        <f>Tabla2[[#This Row],[Meli Drop 2025]]+Tabla2[[#This Row],[Meli Full 2025]]+Tabla2[[#This Row],[Amazon Drop 2025]]+Tabla2[[#This Row],[Amazon Full 2025]]+Tabla2[[#This Row],[TikTok 2025]]+Tabla2[[#This Row],[Shein 2025]]</f>
        <v>543862</v>
      </c>
      <c r="AR64" s="17">
        <f>Tabla2[[#This Row],[Web + APP 2026]]+Tabla2[[#This Row],[Afiliados 2026]]+Tabla2[[#This Row],[TMK 2026]]+Tabla2[[#This Row],[WA 2026]]+Tabla2[[#This Row],[Ent. en Tienda 2026]]</f>
        <v>3845044</v>
      </c>
      <c r="AS64" s="17">
        <f>Tabla2[[#This Row],[Meli Drop 2026]]+Tabla2[[#This Row],[Meli Full 2026]]+Tabla2[[#This Row],[Amazon Drop 2026]]+Tabla2[[#This Row],[Amazon Full 2026]]+Tabla2[[#This Row],[TikTok 2026]]+Tabla2[[#This Row],[Shein 2026]]</f>
        <v>549195</v>
      </c>
      <c r="AT64" s="18">
        <f t="shared" si="14"/>
        <v>0.26825243513509833</v>
      </c>
      <c r="AU64" s="18">
        <f t="shared" si="14"/>
        <v>9.8057963233320056E-3</v>
      </c>
      <c r="AV64" s="17">
        <f t="shared" si="15"/>
        <v>2854571.42120753</v>
      </c>
      <c r="AW64" s="17">
        <f t="shared" si="15"/>
        <v>767803</v>
      </c>
      <c r="AX64" s="39">
        <f t="shared" si="16"/>
        <v>1.3469776833867004</v>
      </c>
      <c r="AY64" s="39">
        <f t="shared" si="16"/>
        <v>0.71528113331153953</v>
      </c>
      <c r="AZ64" s="39">
        <f t="shared" si="17"/>
        <v>1.2130824948060357</v>
      </c>
      <c r="BA64" s="18">
        <f t="shared" si="21"/>
        <v>3.2013095736674921E-2</v>
      </c>
      <c r="BB64" s="20">
        <f t="shared" si="22"/>
        <v>3.9588307198500788E-2</v>
      </c>
      <c r="BC64" s="17">
        <f t="shared" si="18"/>
        <v>990472.57879247004</v>
      </c>
      <c r="BD64" s="17">
        <f t="shared" si="18"/>
        <v>-218608</v>
      </c>
      <c r="BE64" s="41" t="s">
        <v>255</v>
      </c>
      <c r="BF64" s="42">
        <f>+AVERAGE(AQ89:AQ93)</f>
        <v>590528</v>
      </c>
    </row>
    <row r="65" spans="1:58" ht="14.25" customHeight="1" x14ac:dyDescent="0.35">
      <c r="A65" s="19">
        <v>45720</v>
      </c>
      <c r="B65" s="17">
        <v>30118136</v>
      </c>
      <c r="C65" s="17">
        <f t="shared" si="4"/>
        <v>3876973.1724137929</v>
      </c>
      <c r="D65" s="18">
        <f>+Tabla22[[#This Row],[Share diario]]</f>
        <v>3.8994203120566236E-2</v>
      </c>
      <c r="E65" s="17">
        <f>+Tabla22[[#This Row],[Global 2026]]</f>
        <v>33171704</v>
      </c>
      <c r="F65" s="19">
        <v>46084</v>
      </c>
      <c r="G65" s="17">
        <f t="shared" si="5"/>
        <v>4645559.2541032098</v>
      </c>
      <c r="H65" s="17">
        <v>3980132.2541032098</v>
      </c>
      <c r="I65" s="17">
        <v>665427</v>
      </c>
      <c r="J65" s="17">
        <v>3324837</v>
      </c>
      <c r="K65" s="17">
        <v>4158362</v>
      </c>
      <c r="L65" s="17">
        <v>20705.172413793101</v>
      </c>
      <c r="M65" s="17">
        <f>15135+6897</f>
        <v>22032</v>
      </c>
      <c r="N65" s="17">
        <v>55930</v>
      </c>
      <c r="O65" s="17">
        <v>47632</v>
      </c>
      <c r="P65" s="17">
        <v>5121</v>
      </c>
      <c r="Q65" s="17">
        <v>2071</v>
      </c>
      <c r="R65" s="17">
        <v>33120</v>
      </c>
      <c r="S65" s="17">
        <v>74989</v>
      </c>
      <c r="T65" s="17">
        <v>340219</v>
      </c>
      <c r="U65" s="17">
        <v>653421</v>
      </c>
      <c r="V65" s="17">
        <v>73972</v>
      </c>
      <c r="W65" s="17">
        <v>126548</v>
      </c>
      <c r="X65" s="17">
        <v>16003</v>
      </c>
      <c r="Y65" s="17">
        <v>5908</v>
      </c>
      <c r="Z65" s="17">
        <v>7066</v>
      </c>
      <c r="AA65" s="17">
        <v>4036</v>
      </c>
      <c r="AB65" s="17">
        <v>0</v>
      </c>
      <c r="AC65" s="17">
        <v>2049</v>
      </c>
      <c r="AD65" s="17">
        <v>0</v>
      </c>
      <c r="AE65" s="17">
        <v>775</v>
      </c>
      <c r="AF65" s="17">
        <f t="shared" si="6"/>
        <v>5097823</v>
      </c>
      <c r="AG65" s="18">
        <f t="shared" si="7"/>
        <v>1.0973539936009484</v>
      </c>
      <c r="AH65" s="17">
        <f t="shared" si="8"/>
        <v>452263.74589679018</v>
      </c>
      <c r="AI65" s="20">
        <f t="shared" si="9"/>
        <v>0.31489767230607613</v>
      </c>
      <c r="AJ65" s="20">
        <f t="shared" si="19"/>
        <v>0.12872553508669304</v>
      </c>
      <c r="AK65" s="21">
        <f t="shared" si="11"/>
        <v>0.15367986522489166</v>
      </c>
      <c r="AL65" s="21">
        <f t="shared" si="20"/>
        <v>0.10138635405590835</v>
      </c>
      <c r="AO65" s="38">
        <f t="shared" si="13"/>
        <v>46084</v>
      </c>
      <c r="AP65" s="17">
        <f>Tabla2[[#This Row],[Web + APP 2025]]+Tabla2[[#This Row],[Afiliados 2025]]+Tabla2[[#This Row],[TMK 2025]]+Tabla2[[#This Row],[WA 2025]]+Tabla2[[#This Row],[Ent. en Tienda 2025]]</f>
        <v>3439713.1724137929</v>
      </c>
      <c r="AQ65" s="17">
        <f>Tabla2[[#This Row],[Meli Drop 2025]]+Tabla2[[#This Row],[Meli Full 2025]]+Tabla2[[#This Row],[Amazon Drop 2025]]+Tabla2[[#This Row],[Amazon Full 2025]]+Tabla2[[#This Row],[TikTok 2025]]+Tabla2[[#This Row],[Shein 2025]]</f>
        <v>437260</v>
      </c>
      <c r="AR65" s="17">
        <f>Tabla2[[#This Row],[Web + APP 2026]]+Tabla2[[#This Row],[Afiliados 2026]]+Tabla2[[#This Row],[TMK 2026]]+Tabla2[[#This Row],[WA 2026]]+Tabla2[[#This Row],[Ent. en Tienda 2026]]</f>
        <v>4305086</v>
      </c>
      <c r="AS65" s="17">
        <f>Tabla2[[#This Row],[Meli Drop 2026]]+Tabla2[[#This Row],[Meli Full 2026]]+Tabla2[[#This Row],[Amazon Drop 2026]]+Tabla2[[#This Row],[Amazon Full 2026]]+Tabla2[[#This Row],[TikTok 2026]]+Tabla2[[#This Row],[Shein 2026]]</f>
        <v>792737</v>
      </c>
      <c r="AT65" s="18">
        <f t="shared" si="14"/>
        <v>0.25158284549026466</v>
      </c>
      <c r="AU65" s="18">
        <f t="shared" si="14"/>
        <v>0.81296482641906409</v>
      </c>
      <c r="AV65" s="17">
        <f t="shared" si="15"/>
        <v>3980132.2541032098</v>
      </c>
      <c r="AW65" s="17">
        <f t="shared" si="15"/>
        <v>665427</v>
      </c>
      <c r="AX65" s="39">
        <f t="shared" si="16"/>
        <v>1.0816439568212308</v>
      </c>
      <c r="AY65" s="39">
        <f t="shared" si="16"/>
        <v>1.1913207609549958</v>
      </c>
      <c r="AZ65" s="39">
        <f t="shared" si="17"/>
        <v>1.0973539936009484</v>
      </c>
      <c r="BA65" s="18">
        <f t="shared" si="21"/>
        <v>2.5738231834212495E-2</v>
      </c>
      <c r="BB65" s="20">
        <f t="shared" si="22"/>
        <v>4.4915222160106565E-2</v>
      </c>
      <c r="BC65" s="17">
        <f t="shared" si="18"/>
        <v>324953.74589679018</v>
      </c>
      <c r="BD65" s="17">
        <f t="shared" si="18"/>
        <v>127310</v>
      </c>
      <c r="BE65" s="44"/>
      <c r="BF65" s="44"/>
    </row>
    <row r="66" spans="1:58" ht="14.25" customHeight="1" x14ac:dyDescent="0.35">
      <c r="A66" s="16">
        <v>45721</v>
      </c>
      <c r="B66" s="17">
        <v>32149498</v>
      </c>
      <c r="C66" s="17">
        <f t="shared" si="4"/>
        <v>3691707.1724137929</v>
      </c>
      <c r="D66" s="18">
        <f>+Tabla22[[#This Row],[Share diario]]</f>
        <v>4.2280544785248071E-2</v>
      </c>
      <c r="E66" s="17">
        <f>+Tabla22[[#This Row],[Global 2026]]</f>
        <v>34892813</v>
      </c>
      <c r="F66" s="19">
        <v>46085</v>
      </c>
      <c r="G66" s="17">
        <f t="shared" si="5"/>
        <v>5143890.0375477904</v>
      </c>
      <c r="H66" s="17">
        <v>4515690.0375477904</v>
      </c>
      <c r="I66" s="17">
        <v>628200</v>
      </c>
      <c r="J66" s="17">
        <v>3006578</v>
      </c>
      <c r="K66" s="17">
        <v>4047073</v>
      </c>
      <c r="L66" s="17">
        <v>20405.172413793101</v>
      </c>
      <c r="M66" s="17">
        <v>21637</v>
      </c>
      <c r="N66" s="17">
        <v>61036</v>
      </c>
      <c r="O66" s="17">
        <v>50390</v>
      </c>
      <c r="P66" s="17">
        <v>128</v>
      </c>
      <c r="Q66" s="17">
        <v>7095</v>
      </c>
      <c r="R66" s="17">
        <v>94925</v>
      </c>
      <c r="S66" s="17">
        <v>81778</v>
      </c>
      <c r="T66" s="17">
        <v>365903</v>
      </c>
      <c r="U66" s="17">
        <v>480522</v>
      </c>
      <c r="V66" s="17">
        <v>115450</v>
      </c>
      <c r="W66" s="17">
        <v>55623</v>
      </c>
      <c r="X66" s="17">
        <v>19487</v>
      </c>
      <c r="Y66" s="17">
        <v>12102</v>
      </c>
      <c r="Z66" s="17">
        <v>7795</v>
      </c>
      <c r="AA66" s="17">
        <v>6133</v>
      </c>
      <c r="AB66" s="17">
        <v>0</v>
      </c>
      <c r="AC66" s="17">
        <v>1534</v>
      </c>
      <c r="AD66" s="17">
        <v>0</v>
      </c>
      <c r="AE66" s="17">
        <v>0</v>
      </c>
      <c r="AF66" s="17">
        <f t="shared" si="6"/>
        <v>4763887</v>
      </c>
      <c r="AG66" s="18">
        <f t="shared" si="7"/>
        <v>0.92612535750687497</v>
      </c>
      <c r="AH66" s="17">
        <f t="shared" si="8"/>
        <v>-380003.03754779045</v>
      </c>
      <c r="AI66" s="20">
        <f t="shared" si="9"/>
        <v>0.29042927228845472</v>
      </c>
      <c r="AJ66" s="20">
        <f t="shared" si="19"/>
        <v>0.11482938776878547</v>
      </c>
      <c r="AK66" s="21">
        <f t="shared" si="11"/>
        <v>0.13652917579330734</v>
      </c>
      <c r="AL66" s="21">
        <f t="shared" si="20"/>
        <v>8.532994823122908E-2</v>
      </c>
      <c r="AO66" s="38">
        <f t="shared" si="13"/>
        <v>46085</v>
      </c>
      <c r="AP66" s="17">
        <f>Tabla2[[#This Row],[Web + APP 2025]]+Tabla2[[#This Row],[Afiliados 2025]]+Tabla2[[#This Row],[TMK 2025]]+Tabla2[[#This Row],[WA 2025]]+Tabla2[[#This Row],[Ent. en Tienda 2025]]</f>
        <v>3183072.1724137929</v>
      </c>
      <c r="AQ66" s="17">
        <f>Tabla2[[#This Row],[Meli Drop 2025]]+Tabla2[[#This Row],[Meli Full 2025]]+Tabla2[[#This Row],[Amazon Drop 2025]]+Tabla2[[#This Row],[Amazon Full 2025]]+Tabla2[[#This Row],[TikTok 2025]]+Tabla2[[#This Row],[Shein 2025]]</f>
        <v>508635</v>
      </c>
      <c r="AR66" s="17">
        <f>Tabla2[[#This Row],[Web + APP 2026]]+Tabla2[[#This Row],[Afiliados 2026]]+Tabla2[[#This Row],[TMK 2026]]+Tabla2[[#This Row],[WA 2026]]+Tabla2[[#This Row],[Ent. en Tienda 2026]]</f>
        <v>4207973</v>
      </c>
      <c r="AS66" s="17">
        <f>Tabla2[[#This Row],[Meli Drop 2026]]+Tabla2[[#This Row],[Meli Full 2026]]+Tabla2[[#This Row],[Amazon Drop 2026]]+Tabla2[[#This Row],[Amazon Full 2026]]+Tabla2[[#This Row],[TikTok 2026]]+Tabla2[[#This Row],[Shein 2026]]</f>
        <v>555914</v>
      </c>
      <c r="AT66" s="18">
        <f t="shared" si="14"/>
        <v>0.32198479081578668</v>
      </c>
      <c r="AU66" s="18">
        <f t="shared" si="14"/>
        <v>9.2952706754352299E-2</v>
      </c>
      <c r="AV66" s="17">
        <f t="shared" si="15"/>
        <v>4515690.0375477904</v>
      </c>
      <c r="AW66" s="17">
        <f t="shared" si="15"/>
        <v>628200</v>
      </c>
      <c r="AX66" s="39">
        <f t="shared" si="16"/>
        <v>0.93185603197094247</v>
      </c>
      <c r="AY66" s="39">
        <f t="shared" si="16"/>
        <v>0.88493155046163641</v>
      </c>
      <c r="AZ66" s="39">
        <f t="shared" si="17"/>
        <v>0.92612535750687497</v>
      </c>
      <c r="BA66" s="18">
        <f t="shared" si="21"/>
        <v>2.993954523394473E-2</v>
      </c>
      <c r="BB66" s="20">
        <f t="shared" si="22"/>
        <v>4.1564045200690826E-2</v>
      </c>
      <c r="BC66" s="17">
        <f t="shared" si="18"/>
        <v>-307717.03754779045</v>
      </c>
      <c r="BD66" s="17">
        <f t="shared" si="18"/>
        <v>-72286</v>
      </c>
      <c r="BE66" s="41" t="s">
        <v>256</v>
      </c>
      <c r="BF66" s="42">
        <f>+BF63*26</f>
        <v>14036095.000000002</v>
      </c>
    </row>
    <row r="67" spans="1:58" ht="14.25" customHeight="1" x14ac:dyDescent="0.35">
      <c r="A67" s="19">
        <v>45722</v>
      </c>
      <c r="B67" s="17">
        <v>37519228</v>
      </c>
      <c r="C67" s="17">
        <f t="shared" si="4"/>
        <v>2779470.1379310344</v>
      </c>
      <c r="D67" s="18">
        <f>+Tabla22[[#This Row],[Share diario]]</f>
        <v>4.0260116202992274E-2</v>
      </c>
      <c r="E67" s="17">
        <f>+Tabla22[[#This Row],[Global 2026]]</f>
        <v>38712693</v>
      </c>
      <c r="F67" s="19">
        <v>46086</v>
      </c>
      <c r="G67" s="17">
        <f t="shared" si="5"/>
        <v>4846185.1523354203</v>
      </c>
      <c r="H67" s="17">
        <v>4178769.1523354198</v>
      </c>
      <c r="I67" s="17">
        <v>667416</v>
      </c>
      <c r="J67" s="17">
        <v>2158066</v>
      </c>
      <c r="K67" s="17">
        <v>3273154</v>
      </c>
      <c r="L67" s="17">
        <v>20349.1379310345</v>
      </c>
      <c r="M67" s="17">
        <f>15908+12659</f>
        <v>28567</v>
      </c>
      <c r="N67" s="17">
        <v>52546</v>
      </c>
      <c r="O67" s="17">
        <v>21743</v>
      </c>
      <c r="P67" s="17">
        <v>1600</v>
      </c>
      <c r="Q67" s="17">
        <v>154</v>
      </c>
      <c r="R67" s="17">
        <v>74876</v>
      </c>
      <c r="S67" s="17">
        <v>89264</v>
      </c>
      <c r="T67" s="17">
        <v>330846</v>
      </c>
      <c r="U67" s="17">
        <v>393807</v>
      </c>
      <c r="V67" s="17">
        <v>120380</v>
      </c>
      <c r="W67" s="17">
        <v>40051</v>
      </c>
      <c r="X67" s="17">
        <v>14076</v>
      </c>
      <c r="Y67" s="17">
        <v>5342</v>
      </c>
      <c r="Z67" s="17">
        <v>6731</v>
      </c>
      <c r="AA67" s="17">
        <v>5065</v>
      </c>
      <c r="AB67" s="17">
        <v>0</v>
      </c>
      <c r="AC67" s="17">
        <v>560</v>
      </c>
      <c r="AD67" s="17">
        <v>0</v>
      </c>
      <c r="AE67" s="17">
        <v>0</v>
      </c>
      <c r="AF67" s="17">
        <f t="shared" si="6"/>
        <v>3857707</v>
      </c>
      <c r="AG67" s="18">
        <f t="shared" si="7"/>
        <v>0.7960296354217784</v>
      </c>
      <c r="AH67" s="17">
        <f t="shared" si="8"/>
        <v>-988478.15233542025</v>
      </c>
      <c r="AI67" s="20">
        <f t="shared" si="9"/>
        <v>0.38792892478117325</v>
      </c>
      <c r="AJ67" s="20">
        <f t="shared" si="19"/>
        <v>7.4081218780168781E-2</v>
      </c>
      <c r="AK67" s="21">
        <f t="shared" si="11"/>
        <v>9.9649667875081699E-2</v>
      </c>
      <c r="AL67" s="21">
        <f t="shared" si="20"/>
        <v>3.1809423157640682E-2</v>
      </c>
      <c r="AO67" s="38">
        <f t="shared" si="13"/>
        <v>46086</v>
      </c>
      <c r="AP67" s="17">
        <f>Tabla2[[#This Row],[Web + APP 2025]]+Tabla2[[#This Row],[Afiliados 2025]]+Tabla2[[#This Row],[TMK 2025]]+Tabla2[[#This Row],[WA 2025]]+Tabla2[[#This Row],[Ent. en Tienda 2025]]</f>
        <v>2307437.1379310344</v>
      </c>
      <c r="AQ67" s="17">
        <f>Tabla2[[#This Row],[Meli Drop 2025]]+Tabla2[[#This Row],[Meli Full 2025]]+Tabla2[[#This Row],[Amazon Drop 2025]]+Tabla2[[#This Row],[Amazon Full 2025]]+Tabla2[[#This Row],[TikTok 2025]]+Tabla2[[#This Row],[Shein 2025]]</f>
        <v>472033</v>
      </c>
      <c r="AR67" s="17">
        <f>Tabla2[[#This Row],[Web + APP 2026]]+Tabla2[[#This Row],[Afiliados 2026]]+Tabla2[[#This Row],[TMK 2026]]+Tabla2[[#This Row],[WA 2026]]+Tabla2[[#This Row],[Ent. en Tienda 2026]]</f>
        <v>3412882</v>
      </c>
      <c r="AS67" s="17">
        <f>Tabla2[[#This Row],[Meli Drop 2026]]+Tabla2[[#This Row],[Meli Full 2026]]+Tabla2[[#This Row],[Amazon Drop 2026]]+Tabla2[[#This Row],[Amazon Full 2026]]+Tabla2[[#This Row],[TikTok 2026]]+Tabla2[[#This Row],[Shein 2026]]</f>
        <v>444825</v>
      </c>
      <c r="AT67" s="18">
        <f t="shared" si="14"/>
        <v>0.47907908037753244</v>
      </c>
      <c r="AU67" s="18">
        <f t="shared" si="14"/>
        <v>-5.764003787870764E-2</v>
      </c>
      <c r="AV67" s="17">
        <f t="shared" si="15"/>
        <v>4178769.1523354198</v>
      </c>
      <c r="AW67" s="17">
        <f t="shared" si="15"/>
        <v>667416</v>
      </c>
      <c r="AX67" s="39">
        <f t="shared" si="16"/>
        <v>0.81671943952506143</v>
      </c>
      <c r="AY67" s="39">
        <f t="shared" si="16"/>
        <v>0.66648836707540726</v>
      </c>
      <c r="AZ67" s="39">
        <f t="shared" si="17"/>
        <v>0.7960296354217784</v>
      </c>
      <c r="BA67" s="18">
        <f t="shared" si="21"/>
        <v>2.778505874628099E-2</v>
      </c>
      <c r="BB67" s="20">
        <f t="shared" si="22"/>
        <v>3.0130143554360649E-2</v>
      </c>
      <c r="BC67" s="17">
        <f t="shared" si="18"/>
        <v>-765887.15233541979</v>
      </c>
      <c r="BD67" s="17">
        <f t="shared" si="18"/>
        <v>-222591</v>
      </c>
      <c r="BE67" s="41" t="s">
        <v>257</v>
      </c>
      <c r="BF67" s="42">
        <f>+BF64*5</f>
        <v>2952640</v>
      </c>
    </row>
    <row r="68" spans="1:58" ht="14.25" customHeight="1" x14ac:dyDescent="0.35">
      <c r="A68" s="16">
        <v>45723</v>
      </c>
      <c r="B68" s="17">
        <v>39523265</v>
      </c>
      <c r="C68" s="17">
        <f t="shared" ref="C68:C131" si="23">+J68+L68+N68+P68+R68+T68+V68+X68+Z68+AB68+AD68</f>
        <v>2664201.1034482759</v>
      </c>
      <c r="D68" s="18">
        <f>+Tabla22[[#This Row],[Share diario]]</f>
        <v>3.0311664904528256E-2</v>
      </c>
      <c r="E68" s="17">
        <f>+Tabla22[[#This Row],[Global 2026]]</f>
        <v>39872258</v>
      </c>
      <c r="F68" s="19">
        <v>46087</v>
      </c>
      <c r="G68" s="17">
        <f t="shared" ref="G68:G131" si="24">+H68+I68</f>
        <v>3647918.67494134</v>
      </c>
      <c r="H68" s="17">
        <v>3029226.67494134</v>
      </c>
      <c r="I68" s="17">
        <v>618692</v>
      </c>
      <c r="J68" s="17">
        <v>2008601</v>
      </c>
      <c r="K68" s="17">
        <v>2313818</v>
      </c>
      <c r="L68" s="17">
        <v>17718.103448275899</v>
      </c>
      <c r="M68" s="17">
        <v>23488</v>
      </c>
      <c r="N68" s="17">
        <v>60599</v>
      </c>
      <c r="O68" s="17">
        <v>32023</v>
      </c>
      <c r="P68" s="17">
        <v>1392</v>
      </c>
      <c r="Q68" s="17">
        <v>1687</v>
      </c>
      <c r="R68" s="17">
        <v>69932</v>
      </c>
      <c r="S68" s="17">
        <v>118330</v>
      </c>
      <c r="T68" s="17">
        <v>369062</v>
      </c>
      <c r="U68" s="17">
        <v>299324</v>
      </c>
      <c r="V68" s="17">
        <v>123391</v>
      </c>
      <c r="W68" s="17">
        <v>33674</v>
      </c>
      <c r="X68" s="17">
        <v>10054</v>
      </c>
      <c r="Y68" s="17">
        <v>6895</v>
      </c>
      <c r="Z68" s="17">
        <v>3452</v>
      </c>
      <c r="AA68" s="17">
        <v>6866</v>
      </c>
      <c r="AB68" s="17">
        <v>0</v>
      </c>
      <c r="AC68" s="17">
        <v>387</v>
      </c>
      <c r="AD68" s="17">
        <v>0</v>
      </c>
      <c r="AE68" s="17">
        <v>0</v>
      </c>
      <c r="AF68" s="17">
        <f t="shared" ref="AF68:AF131" si="25">+AE68+AC68+AA68+Y68+W68+U68+S68+Q68+O68+M68+K68</f>
        <v>2836492</v>
      </c>
      <c r="AG68" s="18">
        <f t="shared" ref="AG68:AG131" si="26">+AF68/G68</f>
        <v>0.77756448340932705</v>
      </c>
      <c r="AH68" s="17">
        <f t="shared" ref="AH68:AH131" si="27">+AF68-G68</f>
        <v>-811426.67494134</v>
      </c>
      <c r="AI68" s="20">
        <f t="shared" ref="AI68:AI131" si="28">+AF68/C68-1</f>
        <v>6.4668878159658494E-2</v>
      </c>
      <c r="AJ68" s="20">
        <f t="shared" ref="AJ68:AJ101" si="29">+C68/B68</f>
        <v>6.740842649129003E-2</v>
      </c>
      <c r="AK68" s="21">
        <f t="shared" ref="AK68:AK131" si="30">+AF68/E68</f>
        <v>7.1139487510338648E-2</v>
      </c>
      <c r="AL68" s="21">
        <f t="shared" ref="AL68:AL101" si="31">+E68/B68-1</f>
        <v>8.8300650262573832E-3</v>
      </c>
      <c r="AO68" s="38">
        <f t="shared" ref="AO68:AO131" si="32">+F68</f>
        <v>46087</v>
      </c>
      <c r="AP68" s="17">
        <f>Tabla2[[#This Row],[Web + APP 2025]]+Tabla2[[#This Row],[Afiliados 2025]]+Tabla2[[#This Row],[TMK 2025]]+Tabla2[[#This Row],[WA 2025]]+Tabla2[[#This Row],[Ent. en Tienda 2025]]</f>
        <v>2158242.1034482759</v>
      </c>
      <c r="AQ68" s="17">
        <f>Tabla2[[#This Row],[Meli Drop 2025]]+Tabla2[[#This Row],[Meli Full 2025]]+Tabla2[[#This Row],[Amazon Drop 2025]]+Tabla2[[#This Row],[Amazon Full 2025]]+Tabla2[[#This Row],[TikTok 2025]]+Tabla2[[#This Row],[Shein 2025]]</f>
        <v>505959</v>
      </c>
      <c r="AR68" s="17">
        <f>Tabla2[[#This Row],[Web + APP 2026]]+Tabla2[[#This Row],[Afiliados 2026]]+Tabla2[[#This Row],[TMK 2026]]+Tabla2[[#This Row],[WA 2026]]+Tabla2[[#This Row],[Ent. en Tienda 2026]]</f>
        <v>2489346</v>
      </c>
      <c r="AS68" s="17">
        <f>Tabla2[[#This Row],[Meli Drop 2026]]+Tabla2[[#This Row],[Meli Full 2026]]+Tabla2[[#This Row],[Amazon Drop 2026]]+Tabla2[[#This Row],[Amazon Full 2026]]+Tabla2[[#This Row],[TikTok 2026]]+Tabla2[[#This Row],[Shein 2026]]</f>
        <v>347146</v>
      </c>
      <c r="AT68" s="18">
        <f t="shared" ref="AT68:AU131" si="33">+AR68/AP68-1</f>
        <v>0.15341369535081872</v>
      </c>
      <c r="AU68" s="18">
        <f t="shared" si="33"/>
        <v>-0.31388511717352596</v>
      </c>
      <c r="AV68" s="17">
        <f t="shared" ref="AV68:AW131" si="34">+H68</f>
        <v>3029226.67494134</v>
      </c>
      <c r="AW68" s="17">
        <f t="shared" si="34"/>
        <v>618692</v>
      </c>
      <c r="AX68" s="39">
        <f t="shared" ref="AX68:AY131" si="35">+AR68/AV68</f>
        <v>0.82177607261701713</v>
      </c>
      <c r="AY68" s="39">
        <f t="shared" si="35"/>
        <v>0.56109663612912397</v>
      </c>
      <c r="AZ68" s="39">
        <f t="shared" ref="AZ68:AZ131" si="36">+(AR68+AS68)/(AV68+AW68)</f>
        <v>0.77756448340932705</v>
      </c>
      <c r="BA68" s="18">
        <f t="shared" si="21"/>
        <v>2.9782029091630424E-2</v>
      </c>
      <c r="BB68" s="20">
        <f t="shared" si="22"/>
        <v>2.818197875599306E-2</v>
      </c>
      <c r="BC68" s="17">
        <f t="shared" ref="BC68:BD131" si="37">+AR68-AV68</f>
        <v>-539880.67494134</v>
      </c>
      <c r="BD68" s="17">
        <f t="shared" si="37"/>
        <v>-271546</v>
      </c>
      <c r="BE68" s="44"/>
      <c r="BF68" s="44"/>
    </row>
    <row r="69" spans="1:58" ht="14.25" customHeight="1" x14ac:dyDescent="0.35">
      <c r="A69" s="19">
        <v>45724</v>
      </c>
      <c r="B69" s="17">
        <v>48982826</v>
      </c>
      <c r="C69" s="17">
        <f t="shared" si="23"/>
        <v>2136044.3793103448</v>
      </c>
      <c r="D69" s="18">
        <f>+Tabla22[[#This Row],[Share diario]]</f>
        <v>2.9054592090747018E-2</v>
      </c>
      <c r="E69" s="17">
        <f>+Tabla22[[#This Row],[Global 2026]]</f>
        <v>52578844</v>
      </c>
      <c r="F69" s="19">
        <v>46088</v>
      </c>
      <c r="G69" s="17">
        <f t="shared" si="24"/>
        <v>3375221.9335819301</v>
      </c>
      <c r="H69" s="17">
        <v>2833361.9335819301</v>
      </c>
      <c r="I69" s="17">
        <v>541860</v>
      </c>
      <c r="J69" s="17">
        <v>1587947</v>
      </c>
      <c r="K69" s="17">
        <v>2036782</v>
      </c>
      <c r="L69" s="17">
        <v>16966.379310344801</v>
      </c>
      <c r="M69" s="17">
        <v>29622</v>
      </c>
      <c r="N69" s="17">
        <v>27670</v>
      </c>
      <c r="O69" s="17">
        <v>12659</v>
      </c>
      <c r="P69" s="17">
        <v>257</v>
      </c>
      <c r="Q69" s="17">
        <v>1118</v>
      </c>
      <c r="R69" s="17">
        <v>58244</v>
      </c>
      <c r="S69" s="17">
        <v>33500</v>
      </c>
      <c r="T69" s="17">
        <v>305214</v>
      </c>
      <c r="U69" s="17">
        <v>318037</v>
      </c>
      <c r="V69" s="17">
        <v>118323</v>
      </c>
      <c r="W69" s="17">
        <v>29312</v>
      </c>
      <c r="X69" s="17">
        <v>13685</v>
      </c>
      <c r="Y69" s="17">
        <v>16246</v>
      </c>
      <c r="Z69" s="17">
        <v>7738</v>
      </c>
      <c r="AA69" s="17">
        <v>7308</v>
      </c>
      <c r="AB69" s="17">
        <v>0</v>
      </c>
      <c r="AC69" s="17">
        <v>430</v>
      </c>
      <c r="AD69" s="17">
        <v>0</v>
      </c>
      <c r="AE69" s="17">
        <v>0</v>
      </c>
      <c r="AF69" s="17">
        <f t="shared" si="25"/>
        <v>2485014</v>
      </c>
      <c r="AG69" s="18">
        <f t="shared" si="26"/>
        <v>0.73625202991105143</v>
      </c>
      <c r="AH69" s="17">
        <f t="shared" si="27"/>
        <v>-890207.93358193012</v>
      </c>
      <c r="AI69" s="20">
        <f t="shared" si="28"/>
        <v>0.16337189623481763</v>
      </c>
      <c r="AJ69" s="20">
        <f t="shared" si="29"/>
        <v>4.3608026603249569E-2</v>
      </c>
      <c r="AK69" s="21">
        <f t="shared" si="30"/>
        <v>4.726262144523375E-2</v>
      </c>
      <c r="AL69" s="21">
        <f t="shared" si="31"/>
        <v>7.341385325542471E-2</v>
      </c>
      <c r="AO69" s="38">
        <f t="shared" si="32"/>
        <v>46088</v>
      </c>
      <c r="AP69" s="17">
        <f>Tabla2[[#This Row],[Web + APP 2025]]+Tabla2[[#This Row],[Afiliados 2025]]+Tabla2[[#This Row],[TMK 2025]]+Tabla2[[#This Row],[WA 2025]]+Tabla2[[#This Row],[Ent. en Tienda 2025]]</f>
        <v>1691084.3793103448</v>
      </c>
      <c r="AQ69" s="17">
        <f>Tabla2[[#This Row],[Meli Drop 2025]]+Tabla2[[#This Row],[Meli Full 2025]]+Tabla2[[#This Row],[Amazon Drop 2025]]+Tabla2[[#This Row],[Amazon Full 2025]]+Tabla2[[#This Row],[TikTok 2025]]+Tabla2[[#This Row],[Shein 2025]]</f>
        <v>444960</v>
      </c>
      <c r="AR69" s="17">
        <f>Tabla2[[#This Row],[Web + APP 2026]]+Tabla2[[#This Row],[Afiliados 2026]]+Tabla2[[#This Row],[TMK 2026]]+Tabla2[[#This Row],[WA 2026]]+Tabla2[[#This Row],[Ent. en Tienda 2026]]</f>
        <v>2113681</v>
      </c>
      <c r="AS69" s="17">
        <f>Tabla2[[#This Row],[Meli Drop 2026]]+Tabla2[[#This Row],[Meli Full 2026]]+Tabla2[[#This Row],[Amazon Drop 2026]]+Tabla2[[#This Row],[Amazon Full 2026]]+Tabla2[[#This Row],[TikTok 2026]]+Tabla2[[#This Row],[Shein 2026]]</f>
        <v>371333</v>
      </c>
      <c r="AT69" s="18">
        <f t="shared" si="33"/>
        <v>0.249896827065482</v>
      </c>
      <c r="AU69" s="18">
        <f t="shared" si="33"/>
        <v>-0.16546880618482562</v>
      </c>
      <c r="AV69" s="17">
        <f t="shared" si="34"/>
        <v>2833361.9335819301</v>
      </c>
      <c r="AW69" s="17">
        <f t="shared" si="34"/>
        <v>541860</v>
      </c>
      <c r="AX69" s="39">
        <f t="shared" si="35"/>
        <v>0.74599752857125778</v>
      </c>
      <c r="AY69" s="39">
        <f t="shared" si="35"/>
        <v>0.68529324917875467</v>
      </c>
      <c r="AZ69" s="39">
        <f t="shared" si="36"/>
        <v>0.73625202991105143</v>
      </c>
      <c r="BA69" s="18">
        <f t="shared" si="21"/>
        <v>2.6191473349840351E-2</v>
      </c>
      <c r="BB69" s="20">
        <f t="shared" si="22"/>
        <v>2.2081908223443206E-2</v>
      </c>
      <c r="BC69" s="17">
        <f t="shared" si="37"/>
        <v>-719680.93358193012</v>
      </c>
      <c r="BD69" s="17">
        <f t="shared" si="37"/>
        <v>-170527</v>
      </c>
      <c r="BE69" s="45" t="s">
        <v>258</v>
      </c>
      <c r="BF69" s="46">
        <f>+BF67+BF66</f>
        <v>16988735</v>
      </c>
    </row>
    <row r="70" spans="1:58" ht="14.25" customHeight="1" x14ac:dyDescent="0.35">
      <c r="A70" s="16">
        <v>45725</v>
      </c>
      <c r="B70" s="17">
        <v>48219670</v>
      </c>
      <c r="C70" s="17">
        <f t="shared" si="23"/>
        <v>2522476.7931034481</v>
      </c>
      <c r="D70" s="18">
        <f>+Tabla22[[#This Row],[Share diario]]</f>
        <v>2.3294749802583687E-2</v>
      </c>
      <c r="E70" s="17">
        <f>+Tabla22[[#This Row],[Global 2026]]</f>
        <v>53652093</v>
      </c>
      <c r="F70" s="19">
        <v>46089</v>
      </c>
      <c r="G70" s="17">
        <f t="shared" si="24"/>
        <v>2893557.5762682199</v>
      </c>
      <c r="H70" s="17">
        <v>2220072.5762682199</v>
      </c>
      <c r="I70" s="17">
        <v>673485</v>
      </c>
      <c r="J70" s="17">
        <v>1877757</v>
      </c>
      <c r="K70" s="17">
        <v>4090457</v>
      </c>
      <c r="L70" s="17">
        <v>21363.793103448301</v>
      </c>
      <c r="M70" s="17">
        <f>10745+11208</f>
        <v>21953</v>
      </c>
      <c r="N70" s="17">
        <v>18440</v>
      </c>
      <c r="O70" s="17">
        <v>-800</v>
      </c>
      <c r="P70" s="17">
        <v>10318</v>
      </c>
      <c r="Q70" s="17">
        <v>2170</v>
      </c>
      <c r="R70" s="17">
        <v>85023</v>
      </c>
      <c r="S70" s="17">
        <v>76790</v>
      </c>
      <c r="T70" s="17">
        <v>365073</v>
      </c>
      <c r="U70" s="17">
        <v>438569</v>
      </c>
      <c r="V70" s="17">
        <v>119743</v>
      </c>
      <c r="W70" s="17">
        <v>28025</v>
      </c>
      <c r="X70" s="17">
        <v>17150</v>
      </c>
      <c r="Y70" s="17">
        <v>15404</v>
      </c>
      <c r="Z70" s="17">
        <v>7609</v>
      </c>
      <c r="AA70" s="17">
        <v>5875</v>
      </c>
      <c r="AB70" s="17">
        <v>0</v>
      </c>
      <c r="AC70" s="17">
        <v>0</v>
      </c>
      <c r="AD70" s="17">
        <v>0</v>
      </c>
      <c r="AE70" s="17">
        <v>0</v>
      </c>
      <c r="AF70" s="17">
        <f t="shared" si="25"/>
        <v>4678443</v>
      </c>
      <c r="AG70" s="18">
        <f t="shared" si="26"/>
        <v>1.6168480760053585</v>
      </c>
      <c r="AH70" s="17">
        <f t="shared" si="27"/>
        <v>1784885.4237317801</v>
      </c>
      <c r="AI70" s="20">
        <f t="shared" si="28"/>
        <v>0.85470209787104845</v>
      </c>
      <c r="AJ70" s="20">
        <f t="shared" si="29"/>
        <v>5.2312195274323695E-2</v>
      </c>
      <c r="AK70" s="21">
        <f t="shared" si="30"/>
        <v>8.7199636368333291E-2</v>
      </c>
      <c r="AL70" s="21">
        <f t="shared" si="31"/>
        <v>0.11265989584748293</v>
      </c>
      <c r="AO70" s="38">
        <f t="shared" si="32"/>
        <v>46089</v>
      </c>
      <c r="AP70" s="17">
        <f>Tabla2[[#This Row],[Web + APP 2025]]+Tabla2[[#This Row],[Afiliados 2025]]+Tabla2[[#This Row],[TMK 2025]]+Tabla2[[#This Row],[WA 2025]]+Tabla2[[#This Row],[Ent. en Tienda 2025]]</f>
        <v>2012901.7931034483</v>
      </c>
      <c r="AQ70" s="17">
        <f>Tabla2[[#This Row],[Meli Drop 2025]]+Tabla2[[#This Row],[Meli Full 2025]]+Tabla2[[#This Row],[Amazon Drop 2025]]+Tabla2[[#This Row],[Amazon Full 2025]]+Tabla2[[#This Row],[TikTok 2025]]+Tabla2[[#This Row],[Shein 2025]]</f>
        <v>509575</v>
      </c>
      <c r="AR70" s="17">
        <f>Tabla2[[#This Row],[Web + APP 2026]]+Tabla2[[#This Row],[Afiliados 2026]]+Tabla2[[#This Row],[TMK 2026]]+Tabla2[[#This Row],[WA 2026]]+Tabla2[[#This Row],[Ent. en Tienda 2026]]</f>
        <v>4190570</v>
      </c>
      <c r="AS70" s="17">
        <f>Tabla2[[#This Row],[Meli Drop 2026]]+Tabla2[[#This Row],[Meli Full 2026]]+Tabla2[[#This Row],[Amazon Drop 2026]]+Tabla2[[#This Row],[Amazon Full 2026]]+Tabla2[[#This Row],[TikTok 2026]]+Tabla2[[#This Row],[Shein 2026]]</f>
        <v>487873</v>
      </c>
      <c r="AT70" s="18">
        <f t="shared" si="33"/>
        <v>1.0818551676776393</v>
      </c>
      <c r="AU70" s="18">
        <f t="shared" si="33"/>
        <v>-4.2588431536083937E-2</v>
      </c>
      <c r="AV70" s="17">
        <f t="shared" si="34"/>
        <v>2220072.5762682199</v>
      </c>
      <c r="AW70" s="17">
        <f t="shared" si="34"/>
        <v>673485</v>
      </c>
      <c r="AX70" s="39">
        <f t="shared" si="35"/>
        <v>1.8875824352751758</v>
      </c>
      <c r="AY70" s="39">
        <f t="shared" si="35"/>
        <v>0.72440069192335388</v>
      </c>
      <c r="AZ70" s="39">
        <f t="shared" si="36"/>
        <v>1.6168480760053585</v>
      </c>
      <c r="BA70" s="18">
        <f t="shared" si="21"/>
        <v>2.9994876016372025E-2</v>
      </c>
      <c r="BB70" s="20">
        <f t="shared" si="22"/>
        <v>2.6284148326319239E-2</v>
      </c>
      <c r="BC70" s="17">
        <f t="shared" si="37"/>
        <v>1970497.4237317801</v>
      </c>
      <c r="BD70" s="17">
        <f t="shared" si="37"/>
        <v>-185612</v>
      </c>
    </row>
    <row r="71" spans="1:58" ht="14.25" customHeight="1" x14ac:dyDescent="0.35">
      <c r="A71" s="19">
        <v>45726</v>
      </c>
      <c r="B71" s="17">
        <v>29158858</v>
      </c>
      <c r="C71" s="17">
        <f t="shared" si="23"/>
        <v>3729949.6551724137</v>
      </c>
      <c r="D71" s="18">
        <f>+Tabla22[[#This Row],[Share diario]]</f>
        <v>2.7509009806781361E-2</v>
      </c>
      <c r="E71" s="17">
        <f>+Tabla22[[#This Row],[Global 2026]]</f>
        <v>31554878</v>
      </c>
      <c r="F71" s="19">
        <v>46090</v>
      </c>
      <c r="G71" s="17">
        <f t="shared" si="24"/>
        <v>3416113.71282834</v>
      </c>
      <c r="H71" s="17">
        <v>2642557.71282834</v>
      </c>
      <c r="I71" s="17">
        <v>773556</v>
      </c>
      <c r="J71" s="17">
        <v>3068514</v>
      </c>
      <c r="K71" s="17">
        <v>3929406</v>
      </c>
      <c r="L71" s="17">
        <v>17939.655172413801</v>
      </c>
      <c r="M71" s="17">
        <f>19021+12762</f>
        <v>31783</v>
      </c>
      <c r="N71" s="17">
        <v>54141</v>
      </c>
      <c r="O71" s="17">
        <v>29516</v>
      </c>
      <c r="P71" s="17">
        <v>9922</v>
      </c>
      <c r="Q71" s="17">
        <v>5855</v>
      </c>
      <c r="R71" s="17">
        <v>44926</v>
      </c>
      <c r="S71" s="17">
        <v>97853</v>
      </c>
      <c r="T71" s="17">
        <v>397940</v>
      </c>
      <c r="U71" s="17">
        <v>392149</v>
      </c>
      <c r="V71" s="17">
        <v>105887</v>
      </c>
      <c r="W71" s="17">
        <v>38657</v>
      </c>
      <c r="X71" s="17">
        <v>23153</v>
      </c>
      <c r="Y71" s="17">
        <v>9352</v>
      </c>
      <c r="Z71" s="17">
        <v>7527</v>
      </c>
      <c r="AA71" s="17">
        <v>7473</v>
      </c>
      <c r="AB71" s="17">
        <v>0</v>
      </c>
      <c r="AC71" s="17">
        <v>0</v>
      </c>
      <c r="AD71" s="17">
        <v>0</v>
      </c>
      <c r="AE71" s="17">
        <v>0</v>
      </c>
      <c r="AF71" s="17">
        <f t="shared" si="25"/>
        <v>4542044</v>
      </c>
      <c r="AG71" s="18">
        <f t="shared" si="26"/>
        <v>1.3295939133827768</v>
      </c>
      <c r="AH71" s="17">
        <f t="shared" si="27"/>
        <v>1125930.28717166</v>
      </c>
      <c r="AI71" s="20">
        <f t="shared" si="28"/>
        <v>0.21772260215400885</v>
      </c>
      <c r="AJ71" s="20">
        <f t="shared" si="29"/>
        <v>0.12791823517822315</v>
      </c>
      <c r="AK71" s="21">
        <f t="shared" si="30"/>
        <v>0.14394110476358046</v>
      </c>
      <c r="AL71" s="21">
        <f t="shared" si="31"/>
        <v>8.2171256501197609E-2</v>
      </c>
      <c r="AO71" s="38">
        <f t="shared" si="32"/>
        <v>46090</v>
      </c>
      <c r="AP71" s="17">
        <f>Tabla2[[#This Row],[Web + APP 2025]]+Tabla2[[#This Row],[Afiliados 2025]]+Tabla2[[#This Row],[TMK 2025]]+Tabla2[[#This Row],[WA 2025]]+Tabla2[[#This Row],[Ent. en Tienda 2025]]</f>
        <v>3195442.6551724137</v>
      </c>
      <c r="AQ71" s="17">
        <f>Tabla2[[#This Row],[Meli Drop 2025]]+Tabla2[[#This Row],[Meli Full 2025]]+Tabla2[[#This Row],[Amazon Drop 2025]]+Tabla2[[#This Row],[Amazon Full 2025]]+Tabla2[[#This Row],[TikTok 2025]]+Tabla2[[#This Row],[Shein 2025]]</f>
        <v>534507</v>
      </c>
      <c r="AR71" s="17">
        <f>Tabla2[[#This Row],[Web + APP 2026]]+Tabla2[[#This Row],[Afiliados 2026]]+Tabla2[[#This Row],[TMK 2026]]+Tabla2[[#This Row],[WA 2026]]+Tabla2[[#This Row],[Ent. en Tienda 2026]]</f>
        <v>4094413</v>
      </c>
      <c r="AS71" s="17">
        <f>Tabla2[[#This Row],[Meli Drop 2026]]+Tabla2[[#This Row],[Meli Full 2026]]+Tabla2[[#This Row],[Amazon Drop 2026]]+Tabla2[[#This Row],[Amazon Full 2026]]+Tabla2[[#This Row],[TikTok 2026]]+Tabla2[[#This Row],[Shein 2026]]</f>
        <v>447631</v>
      </c>
      <c r="AT71" s="18">
        <f t="shared" si="33"/>
        <v>0.28132889300092323</v>
      </c>
      <c r="AU71" s="18">
        <f t="shared" si="33"/>
        <v>-0.16253482180775924</v>
      </c>
      <c r="AV71" s="17">
        <f t="shared" si="34"/>
        <v>2642557.71282834</v>
      </c>
      <c r="AW71" s="17">
        <f t="shared" si="34"/>
        <v>773556</v>
      </c>
      <c r="AX71" s="39">
        <f t="shared" si="35"/>
        <v>1.5494128964993288</v>
      </c>
      <c r="AY71" s="39">
        <f t="shared" si="35"/>
        <v>0.57866657359001805</v>
      </c>
      <c r="AZ71" s="39">
        <f t="shared" si="36"/>
        <v>1.3295939133827768</v>
      </c>
      <c r="BA71" s="18">
        <f t="shared" si="21"/>
        <v>3.1462436726454324E-2</v>
      </c>
      <c r="BB71" s="20">
        <f t="shared" si="22"/>
        <v>4.1725576977755051E-2</v>
      </c>
      <c r="BC71" s="17">
        <f t="shared" si="37"/>
        <v>1451855.28717166</v>
      </c>
      <c r="BD71" s="17">
        <f t="shared" si="37"/>
        <v>-325925</v>
      </c>
    </row>
    <row r="72" spans="1:58" ht="14.25" customHeight="1" x14ac:dyDescent="0.35">
      <c r="A72" s="16">
        <v>45727</v>
      </c>
      <c r="B72" s="17">
        <v>32602787</v>
      </c>
      <c r="C72" s="17">
        <f t="shared" si="23"/>
        <v>3884872.1379310344</v>
      </c>
      <c r="D72" s="18">
        <f>+Tabla22[[#This Row],[Share diario]]</f>
        <v>4.06771717081683E-2</v>
      </c>
      <c r="E72" s="17">
        <f>+Tabla22[[#This Row],[Global 2026]]</f>
        <v>32083406</v>
      </c>
      <c r="F72" s="19">
        <v>46091</v>
      </c>
      <c r="G72" s="17">
        <f t="shared" si="24"/>
        <v>4894349.2464806996</v>
      </c>
      <c r="H72" s="17">
        <v>4195009.2464806996</v>
      </c>
      <c r="I72" s="17">
        <v>699340</v>
      </c>
      <c r="J72" s="17">
        <v>3074978</v>
      </c>
      <c r="K72" s="17">
        <v>3911691</v>
      </c>
      <c r="L72" s="17">
        <v>18699.1379310345</v>
      </c>
      <c r="M72" s="17">
        <v>24886</v>
      </c>
      <c r="N72" s="17">
        <v>92616</v>
      </c>
      <c r="O72" s="17">
        <v>70786</v>
      </c>
      <c r="P72" s="17">
        <v>13747</v>
      </c>
      <c r="Q72" s="17">
        <v>1807</v>
      </c>
      <c r="R72" s="17">
        <v>83805</v>
      </c>
      <c r="S72" s="17">
        <v>118012</v>
      </c>
      <c r="T72" s="17">
        <v>459672</v>
      </c>
      <c r="U72" s="17">
        <v>576157</v>
      </c>
      <c r="V72" s="17">
        <v>109568</v>
      </c>
      <c r="W72" s="17">
        <v>72081</v>
      </c>
      <c r="X72" s="17">
        <v>23342</v>
      </c>
      <c r="Y72" s="17">
        <v>6863</v>
      </c>
      <c r="Z72" s="17">
        <v>8445</v>
      </c>
      <c r="AA72" s="17">
        <v>7574</v>
      </c>
      <c r="AB72" s="17">
        <v>0</v>
      </c>
      <c r="AC72" s="17">
        <v>0</v>
      </c>
      <c r="AD72" s="17">
        <v>0</v>
      </c>
      <c r="AE72" s="17">
        <v>0</v>
      </c>
      <c r="AF72" s="17">
        <f t="shared" si="25"/>
        <v>4789857</v>
      </c>
      <c r="AG72" s="18">
        <f t="shared" si="26"/>
        <v>0.97865043109544436</v>
      </c>
      <c r="AH72" s="17">
        <f t="shared" si="27"/>
        <v>-104492.24648069963</v>
      </c>
      <c r="AI72" s="20">
        <f t="shared" si="28"/>
        <v>0.23295100326028573</v>
      </c>
      <c r="AJ72" s="20">
        <f t="shared" si="29"/>
        <v>0.11915767010749831</v>
      </c>
      <c r="AK72" s="21">
        <f t="shared" si="30"/>
        <v>0.14929390601484144</v>
      </c>
      <c r="AL72" s="21">
        <f t="shared" si="31"/>
        <v>-1.5930570598151617E-2</v>
      </c>
      <c r="AO72" s="38">
        <f t="shared" si="32"/>
        <v>46091</v>
      </c>
      <c r="AP72" s="17">
        <f>Tabla2[[#This Row],[Web + APP 2025]]+Tabla2[[#This Row],[Afiliados 2025]]+Tabla2[[#This Row],[TMK 2025]]+Tabla2[[#This Row],[WA 2025]]+Tabla2[[#This Row],[Ent. en Tienda 2025]]</f>
        <v>3283845.1379310344</v>
      </c>
      <c r="AQ72" s="17">
        <f>Tabla2[[#This Row],[Meli Drop 2025]]+Tabla2[[#This Row],[Meli Full 2025]]+Tabla2[[#This Row],[Amazon Drop 2025]]+Tabla2[[#This Row],[Amazon Full 2025]]+Tabla2[[#This Row],[TikTok 2025]]+Tabla2[[#This Row],[Shein 2025]]</f>
        <v>601027</v>
      </c>
      <c r="AR72" s="17">
        <f>Tabla2[[#This Row],[Web + APP 2026]]+Tabla2[[#This Row],[Afiliados 2026]]+Tabla2[[#This Row],[TMK 2026]]+Tabla2[[#This Row],[WA 2026]]+Tabla2[[#This Row],[Ent. en Tienda 2026]]</f>
        <v>4127182</v>
      </c>
      <c r="AS72" s="17">
        <f>Tabla2[[#This Row],[Meli Drop 2026]]+Tabla2[[#This Row],[Meli Full 2026]]+Tabla2[[#This Row],[Amazon Drop 2026]]+Tabla2[[#This Row],[Amazon Full 2026]]+Tabla2[[#This Row],[TikTok 2026]]+Tabla2[[#This Row],[Shein 2026]]</f>
        <v>662675</v>
      </c>
      <c r="AT72" s="18">
        <f t="shared" si="33"/>
        <v>0.25681383458913798</v>
      </c>
      <c r="AU72" s="18">
        <f t="shared" si="33"/>
        <v>0.10257109913531348</v>
      </c>
      <c r="AV72" s="17">
        <f t="shared" si="34"/>
        <v>4195009.2464806996</v>
      </c>
      <c r="AW72" s="17">
        <f t="shared" si="34"/>
        <v>699340</v>
      </c>
      <c r="AX72" s="39">
        <f t="shared" si="35"/>
        <v>0.98383144291336144</v>
      </c>
      <c r="AY72" s="39">
        <f t="shared" si="35"/>
        <v>0.9475719964537993</v>
      </c>
      <c r="AZ72" s="39">
        <f t="shared" si="36"/>
        <v>0.97865043109544436</v>
      </c>
      <c r="BA72" s="18">
        <f t="shared" si="21"/>
        <v>3.5377972521203019E-2</v>
      </c>
      <c r="BB72" s="20">
        <f t="shared" si="22"/>
        <v>4.2879922399475807E-2</v>
      </c>
      <c r="BC72" s="17">
        <f t="shared" si="37"/>
        <v>-67827.246480699629</v>
      </c>
      <c r="BD72" s="17">
        <f t="shared" si="37"/>
        <v>-36665</v>
      </c>
    </row>
    <row r="73" spans="1:58" ht="14.25" customHeight="1" x14ac:dyDescent="0.35">
      <c r="A73" s="19">
        <v>45728</v>
      </c>
      <c r="B73" s="17">
        <v>34731472</v>
      </c>
      <c r="C73" s="17">
        <f t="shared" si="23"/>
        <v>3696035.4827586208</v>
      </c>
      <c r="D73" s="18">
        <f>+Tabla22[[#This Row],[Share diario]]</f>
        <v>4.2366687389402573E-2</v>
      </c>
      <c r="E73" s="17">
        <f>+Tabla22[[#This Row],[Global 2026]]</f>
        <v>34020740</v>
      </c>
      <c r="F73" s="19">
        <v>46092</v>
      </c>
      <c r="G73" s="17">
        <f t="shared" si="24"/>
        <v>5073230.9146942999</v>
      </c>
      <c r="H73" s="17">
        <v>4311064.9146942999</v>
      </c>
      <c r="I73" s="17">
        <v>762166</v>
      </c>
      <c r="J73" s="17">
        <v>3121984</v>
      </c>
      <c r="K73" s="17">
        <v>3585730</v>
      </c>
      <c r="L73" s="17">
        <v>20284.482758620699</v>
      </c>
      <c r="M73" s="17">
        <f>13903+11090</f>
        <v>24993</v>
      </c>
      <c r="N73" s="17">
        <v>49307</v>
      </c>
      <c r="O73" s="17">
        <v>75058</v>
      </c>
      <c r="P73" s="17">
        <v>2001</v>
      </c>
      <c r="Q73" s="17">
        <v>1008</v>
      </c>
      <c r="R73" s="17">
        <v>60084</v>
      </c>
      <c r="S73" s="17">
        <v>94735</v>
      </c>
      <c r="T73" s="17">
        <v>316270</v>
      </c>
      <c r="U73" s="17">
        <v>482545</v>
      </c>
      <c r="V73" s="17">
        <v>103062</v>
      </c>
      <c r="W73" s="17">
        <v>88078</v>
      </c>
      <c r="X73" s="17">
        <v>15545</v>
      </c>
      <c r="Y73" s="17">
        <v>16703</v>
      </c>
      <c r="Z73" s="17">
        <v>7498</v>
      </c>
      <c r="AA73" s="17">
        <v>11247</v>
      </c>
      <c r="AB73" s="17">
        <v>0</v>
      </c>
      <c r="AC73" s="17">
        <v>0</v>
      </c>
      <c r="AD73" s="17">
        <v>0</v>
      </c>
      <c r="AE73" s="17">
        <v>0</v>
      </c>
      <c r="AF73" s="17">
        <f t="shared" si="25"/>
        <v>4380097</v>
      </c>
      <c r="AG73" s="18">
        <f t="shared" si="26"/>
        <v>0.86337426260518113</v>
      </c>
      <c r="AH73" s="17">
        <f t="shared" si="27"/>
        <v>-693133.91469429992</v>
      </c>
      <c r="AI73" s="20">
        <f t="shared" si="28"/>
        <v>0.18507980251607714</v>
      </c>
      <c r="AJ73" s="20">
        <f t="shared" si="29"/>
        <v>0.10641747296972097</v>
      </c>
      <c r="AK73" s="21">
        <f t="shared" si="30"/>
        <v>0.12874784616677945</v>
      </c>
      <c r="AL73" s="21">
        <f t="shared" si="31"/>
        <v>-2.0463630219876627E-2</v>
      </c>
      <c r="AO73" s="38">
        <f t="shared" si="32"/>
        <v>46092</v>
      </c>
      <c r="AP73" s="17">
        <f>Tabla2[[#This Row],[Web + APP 2025]]+Tabla2[[#This Row],[Afiliados 2025]]+Tabla2[[#This Row],[TMK 2025]]+Tabla2[[#This Row],[WA 2025]]+Tabla2[[#This Row],[Ent. en Tienda 2025]]</f>
        <v>3253660.4827586208</v>
      </c>
      <c r="AQ73" s="17">
        <f>Tabla2[[#This Row],[Meli Drop 2025]]+Tabla2[[#This Row],[Meli Full 2025]]+Tabla2[[#This Row],[Amazon Drop 2025]]+Tabla2[[#This Row],[Amazon Full 2025]]+Tabla2[[#This Row],[TikTok 2025]]+Tabla2[[#This Row],[Shein 2025]]</f>
        <v>442375</v>
      </c>
      <c r="AR73" s="17">
        <f>Tabla2[[#This Row],[Web + APP 2026]]+Tabla2[[#This Row],[Afiliados 2026]]+Tabla2[[#This Row],[TMK 2026]]+Tabla2[[#This Row],[WA 2026]]+Tabla2[[#This Row],[Ent. en Tienda 2026]]</f>
        <v>3781524</v>
      </c>
      <c r="AS73" s="17">
        <f>Tabla2[[#This Row],[Meli Drop 2026]]+Tabla2[[#This Row],[Meli Full 2026]]+Tabla2[[#This Row],[Amazon Drop 2026]]+Tabla2[[#This Row],[Amazon Full 2026]]+Tabla2[[#This Row],[TikTok 2026]]+Tabla2[[#This Row],[Shein 2026]]</f>
        <v>598573</v>
      </c>
      <c r="AT73" s="18">
        <f t="shared" si="33"/>
        <v>0.16223681605335449</v>
      </c>
      <c r="AU73" s="18">
        <f t="shared" si="33"/>
        <v>0.35308957332579816</v>
      </c>
      <c r="AV73" s="17">
        <f t="shared" si="34"/>
        <v>4311064.9146942999</v>
      </c>
      <c r="AW73" s="17">
        <f t="shared" si="34"/>
        <v>762166</v>
      </c>
      <c r="AX73" s="39">
        <f t="shared" si="35"/>
        <v>0.87716702829285742</v>
      </c>
      <c r="AY73" s="39">
        <f t="shared" si="35"/>
        <v>0.785357782950171</v>
      </c>
      <c r="AZ73" s="39">
        <f t="shared" si="36"/>
        <v>0.86337426260518113</v>
      </c>
      <c r="BA73" s="18">
        <f t="shared" si="21"/>
        <v>2.6039313698165284E-2</v>
      </c>
      <c r="BB73" s="20">
        <f t="shared" si="22"/>
        <v>4.2485776020129942E-2</v>
      </c>
      <c r="BC73" s="17">
        <f t="shared" si="37"/>
        <v>-529540.91469429992</v>
      </c>
      <c r="BD73" s="17">
        <f t="shared" si="37"/>
        <v>-163593</v>
      </c>
    </row>
    <row r="74" spans="1:58" ht="14.25" customHeight="1" x14ac:dyDescent="0.35">
      <c r="A74" s="16">
        <v>45729</v>
      </c>
      <c r="B74" s="17">
        <v>39500465</v>
      </c>
      <c r="C74" s="17">
        <f t="shared" si="23"/>
        <v>2919718.3793103448</v>
      </c>
      <c r="D74" s="18">
        <f>+Tabla22[[#This Row],[Share diario]]</f>
        <v>4.0307318830207002E-2</v>
      </c>
      <c r="E74" s="17">
        <f>+Tabla22[[#This Row],[Global 2026]]</f>
        <v>39021599</v>
      </c>
      <c r="F74" s="19">
        <v>46093</v>
      </c>
      <c r="G74" s="17">
        <f t="shared" si="24"/>
        <v>4960834.1958905198</v>
      </c>
      <c r="H74" s="17">
        <v>4271438.1958905198</v>
      </c>
      <c r="I74" s="17">
        <v>689396</v>
      </c>
      <c r="J74" s="17">
        <v>2241196</v>
      </c>
      <c r="K74" s="17">
        <v>2569096</v>
      </c>
      <c r="L74" s="17">
        <v>20541.379310344801</v>
      </c>
      <c r="M74" s="17">
        <f>14742+11047</f>
        <v>25789</v>
      </c>
      <c r="N74" s="17">
        <v>35516</v>
      </c>
      <c r="O74" s="17">
        <v>27546</v>
      </c>
      <c r="P74" s="17">
        <v>3738</v>
      </c>
      <c r="Q74" s="17">
        <v>2372</v>
      </c>
      <c r="R74" s="17">
        <v>80503</v>
      </c>
      <c r="S74" s="17">
        <v>82817</v>
      </c>
      <c r="T74" s="17">
        <v>406345</v>
      </c>
      <c r="U74" s="17">
        <v>528144</v>
      </c>
      <c r="V74" s="17">
        <v>108540</v>
      </c>
      <c r="W74" s="17">
        <v>114102</v>
      </c>
      <c r="X74" s="17">
        <v>17978</v>
      </c>
      <c r="Y74" s="17">
        <v>9692</v>
      </c>
      <c r="Z74" s="17">
        <v>5361</v>
      </c>
      <c r="AA74" s="17">
        <v>6730</v>
      </c>
      <c r="AB74" s="17">
        <v>0</v>
      </c>
      <c r="AC74" s="17">
        <v>430</v>
      </c>
      <c r="AD74" s="17">
        <v>0</v>
      </c>
      <c r="AE74" s="17">
        <v>0</v>
      </c>
      <c r="AF74" s="17">
        <f t="shared" si="25"/>
        <v>3366718</v>
      </c>
      <c r="AG74" s="18">
        <f t="shared" si="26"/>
        <v>0.67865965018321683</v>
      </c>
      <c r="AH74" s="17">
        <f t="shared" si="27"/>
        <v>-1594116.1958905198</v>
      </c>
      <c r="AI74" s="20">
        <f t="shared" si="28"/>
        <v>0.15309682737115193</v>
      </c>
      <c r="AJ74" s="20">
        <f t="shared" si="29"/>
        <v>7.3916050844220316E-2</v>
      </c>
      <c r="AK74" s="21">
        <f t="shared" si="30"/>
        <v>8.627831986075199E-2</v>
      </c>
      <c r="AL74" s="21">
        <f t="shared" si="31"/>
        <v>-1.2123047159065092E-2</v>
      </c>
      <c r="AO74" s="38">
        <f t="shared" si="32"/>
        <v>46093</v>
      </c>
      <c r="AP74" s="17">
        <f>Tabla2[[#This Row],[Web + APP 2025]]+Tabla2[[#This Row],[Afiliados 2025]]+Tabla2[[#This Row],[TMK 2025]]+Tabla2[[#This Row],[WA 2025]]+Tabla2[[#This Row],[Ent. en Tienda 2025]]</f>
        <v>2381494.3793103448</v>
      </c>
      <c r="AQ74" s="17">
        <f>Tabla2[[#This Row],[Meli Drop 2025]]+Tabla2[[#This Row],[Meli Full 2025]]+Tabla2[[#This Row],[Amazon Drop 2025]]+Tabla2[[#This Row],[Amazon Full 2025]]+Tabla2[[#This Row],[TikTok 2025]]+Tabla2[[#This Row],[Shein 2025]]</f>
        <v>538224</v>
      </c>
      <c r="AR74" s="17">
        <f>Tabla2[[#This Row],[Web + APP 2026]]+Tabla2[[#This Row],[Afiliados 2026]]+Tabla2[[#This Row],[TMK 2026]]+Tabla2[[#This Row],[WA 2026]]+Tabla2[[#This Row],[Ent. en Tienda 2026]]</f>
        <v>2707620</v>
      </c>
      <c r="AS74" s="17">
        <f>Tabla2[[#This Row],[Meli Drop 2026]]+Tabla2[[#This Row],[Meli Full 2026]]+Tabla2[[#This Row],[Amazon Drop 2026]]+Tabla2[[#This Row],[Amazon Full 2026]]+Tabla2[[#This Row],[TikTok 2026]]+Tabla2[[#This Row],[Shein 2026]]</f>
        <v>659098</v>
      </c>
      <c r="AT74" s="18">
        <f t="shared" si="33"/>
        <v>0.13694158740114171</v>
      </c>
      <c r="AU74" s="18">
        <f t="shared" si="33"/>
        <v>0.22457935729361744</v>
      </c>
      <c r="AV74" s="17">
        <f t="shared" si="34"/>
        <v>4271438.1958905198</v>
      </c>
      <c r="AW74" s="17">
        <f t="shared" si="34"/>
        <v>689396</v>
      </c>
      <c r="AX74" s="39">
        <f t="shared" si="35"/>
        <v>0.63388954160801314</v>
      </c>
      <c r="AY74" s="39">
        <f t="shared" si="35"/>
        <v>0.95605138411014856</v>
      </c>
      <c r="AZ74" s="39">
        <f t="shared" si="36"/>
        <v>0.67865965018321683</v>
      </c>
      <c r="BA74" s="18">
        <f t="shared" si="21"/>
        <v>3.1681228767180138E-2</v>
      </c>
      <c r="BB74" s="20">
        <f t="shared" si="22"/>
        <v>3.1097171118110147E-2</v>
      </c>
      <c r="BC74" s="17">
        <f t="shared" si="37"/>
        <v>-1563818.1958905198</v>
      </c>
      <c r="BD74" s="17">
        <f t="shared" si="37"/>
        <v>-30298</v>
      </c>
    </row>
    <row r="75" spans="1:58" ht="14.25" customHeight="1" x14ac:dyDescent="0.35">
      <c r="A75" s="19">
        <v>45730</v>
      </c>
      <c r="B75" s="17">
        <v>40508948</v>
      </c>
      <c r="C75" s="17">
        <f t="shared" si="23"/>
        <v>2652961.1379310344</v>
      </c>
      <c r="D75" s="18">
        <f>+Tabla22[[#This Row],[Share diario]]</f>
        <v>3.1841149836970631E-2</v>
      </c>
      <c r="E75" s="17">
        <f>+Tabla22[[#This Row],[Global 2026]]</f>
        <v>42853042</v>
      </c>
      <c r="F75" s="19">
        <v>46094</v>
      </c>
      <c r="G75" s="17">
        <f t="shared" si="24"/>
        <v>3809914.76603708</v>
      </c>
      <c r="H75" s="17">
        <v>3126449.76603708</v>
      </c>
      <c r="I75" s="17">
        <v>683465</v>
      </c>
      <c r="J75" s="17">
        <v>2063367</v>
      </c>
      <c r="K75" s="17">
        <v>2352964</v>
      </c>
      <c r="L75" s="17">
        <v>19974.1379310345</v>
      </c>
      <c r="M75" s="17">
        <f>13533+11707</f>
        <v>25240</v>
      </c>
      <c r="N75" s="17">
        <v>42958</v>
      </c>
      <c r="O75" s="17">
        <v>10254</v>
      </c>
      <c r="P75" s="17">
        <v>2014</v>
      </c>
      <c r="Q75" s="17">
        <v>1229</v>
      </c>
      <c r="R75" s="17">
        <v>70950</v>
      </c>
      <c r="S75" s="17">
        <v>84747</v>
      </c>
      <c r="T75" s="17">
        <v>344615</v>
      </c>
      <c r="U75" s="17">
        <v>449788</v>
      </c>
      <c r="V75" s="17">
        <v>79899</v>
      </c>
      <c r="W75" s="17">
        <v>88592</v>
      </c>
      <c r="X75" s="17">
        <v>19325</v>
      </c>
      <c r="Y75" s="17">
        <v>15754</v>
      </c>
      <c r="Z75" s="17">
        <v>9859</v>
      </c>
      <c r="AA75" s="17">
        <v>13891</v>
      </c>
      <c r="AB75" s="17">
        <v>0</v>
      </c>
      <c r="AC75" s="17">
        <v>0</v>
      </c>
      <c r="AD75" s="17">
        <v>0</v>
      </c>
      <c r="AE75" s="17">
        <v>0</v>
      </c>
      <c r="AF75" s="17">
        <f t="shared" si="25"/>
        <v>3042459</v>
      </c>
      <c r="AG75" s="18">
        <f t="shared" si="26"/>
        <v>0.79856353405108937</v>
      </c>
      <c r="AH75" s="17">
        <f t="shared" si="27"/>
        <v>-767455.76603707997</v>
      </c>
      <c r="AI75" s="20">
        <f t="shared" si="28"/>
        <v>0.14681627126009222</v>
      </c>
      <c r="AJ75" s="20">
        <f t="shared" si="29"/>
        <v>6.5490743870490892E-2</v>
      </c>
      <c r="AK75" s="21">
        <f t="shared" si="30"/>
        <v>7.0997503514452956E-2</v>
      </c>
      <c r="AL75" s="21">
        <f t="shared" si="31"/>
        <v>5.7866079365971101E-2</v>
      </c>
      <c r="AO75" s="38">
        <f t="shared" si="32"/>
        <v>46094</v>
      </c>
      <c r="AP75" s="17">
        <f>Tabla2[[#This Row],[Web + APP 2025]]+Tabla2[[#This Row],[Afiliados 2025]]+Tabla2[[#This Row],[TMK 2025]]+Tabla2[[#This Row],[WA 2025]]+Tabla2[[#This Row],[Ent. en Tienda 2025]]</f>
        <v>2199263.1379310344</v>
      </c>
      <c r="AQ75" s="17">
        <f>Tabla2[[#This Row],[Meli Drop 2025]]+Tabla2[[#This Row],[Meli Full 2025]]+Tabla2[[#This Row],[Amazon Drop 2025]]+Tabla2[[#This Row],[Amazon Full 2025]]+Tabla2[[#This Row],[TikTok 2025]]+Tabla2[[#This Row],[Shein 2025]]</f>
        <v>453698</v>
      </c>
      <c r="AR75" s="17">
        <f>Tabla2[[#This Row],[Web + APP 2026]]+Tabla2[[#This Row],[Afiliados 2026]]+Tabla2[[#This Row],[TMK 2026]]+Tabla2[[#This Row],[WA 2026]]+Tabla2[[#This Row],[Ent. en Tienda 2026]]</f>
        <v>2474434</v>
      </c>
      <c r="AS75" s="17">
        <f>Tabla2[[#This Row],[Meli Drop 2026]]+Tabla2[[#This Row],[Meli Full 2026]]+Tabla2[[#This Row],[Amazon Drop 2026]]+Tabla2[[#This Row],[Amazon Full 2026]]+Tabla2[[#This Row],[TikTok 2026]]+Tabla2[[#This Row],[Shein 2026]]</f>
        <v>568025</v>
      </c>
      <c r="AT75" s="18">
        <f t="shared" si="33"/>
        <v>0.12511957178886446</v>
      </c>
      <c r="AU75" s="18">
        <f t="shared" si="33"/>
        <v>0.25198920868066432</v>
      </c>
      <c r="AV75" s="17">
        <f t="shared" si="34"/>
        <v>3126449.76603708</v>
      </c>
      <c r="AW75" s="17">
        <f t="shared" si="34"/>
        <v>683465</v>
      </c>
      <c r="AX75" s="39">
        <f t="shared" si="35"/>
        <v>0.79145170566308498</v>
      </c>
      <c r="AY75" s="39">
        <f t="shared" si="35"/>
        <v>0.83109595955901183</v>
      </c>
      <c r="AZ75" s="39">
        <f t="shared" si="36"/>
        <v>0.79856353405108937</v>
      </c>
      <c r="BA75" s="18">
        <f t="shared" si="21"/>
        <v>2.6705814176276221E-2</v>
      </c>
      <c r="BB75" s="20">
        <f t="shared" si="22"/>
        <v>2.8717624835964767E-2</v>
      </c>
      <c r="BC75" s="17">
        <f t="shared" si="37"/>
        <v>-652015.76603707997</v>
      </c>
      <c r="BD75" s="17">
        <f t="shared" si="37"/>
        <v>-115440</v>
      </c>
    </row>
    <row r="76" spans="1:58" ht="14.25" customHeight="1" x14ac:dyDescent="0.35">
      <c r="A76" s="16">
        <v>45731</v>
      </c>
      <c r="B76" s="17">
        <v>50785730</v>
      </c>
      <c r="C76" s="17">
        <f t="shared" si="23"/>
        <v>2383369.1379310344</v>
      </c>
      <c r="D76" s="18">
        <f>+Tabla22[[#This Row],[Share diario]]</f>
        <v>2.893201402680326E-2</v>
      </c>
      <c r="E76" s="17">
        <f>+Tabla22[[#This Row],[Global 2026]]</f>
        <v>51179806</v>
      </c>
      <c r="F76" s="19">
        <v>46095</v>
      </c>
      <c r="G76" s="17">
        <f t="shared" si="24"/>
        <v>3495543.76009935</v>
      </c>
      <c r="H76" s="17">
        <v>2887214.76009935</v>
      </c>
      <c r="I76" s="17">
        <v>608329</v>
      </c>
      <c r="J76" s="17">
        <v>1765846</v>
      </c>
      <c r="K76" s="17">
        <v>2001768</v>
      </c>
      <c r="L76" s="17">
        <v>21924.1379310345</v>
      </c>
      <c r="M76" s="17">
        <f>16990+11226</f>
        <v>28216</v>
      </c>
      <c r="N76" s="17">
        <v>20436</v>
      </c>
      <c r="O76" s="17">
        <v>14927</v>
      </c>
      <c r="P76" s="17">
        <v>10353</v>
      </c>
      <c r="Q76" s="17">
        <v>2224</v>
      </c>
      <c r="R76" s="17">
        <v>44555</v>
      </c>
      <c r="S76" s="17">
        <v>87934</v>
      </c>
      <c r="T76" s="17">
        <v>376445</v>
      </c>
      <c r="U76" s="17">
        <v>481251</v>
      </c>
      <c r="V76" s="17">
        <v>119373</v>
      </c>
      <c r="W76" s="17">
        <v>65098</v>
      </c>
      <c r="X76" s="17">
        <v>15604</v>
      </c>
      <c r="Y76" s="17">
        <v>17234</v>
      </c>
      <c r="Z76" s="17">
        <v>8833</v>
      </c>
      <c r="AA76" s="17">
        <v>7560</v>
      </c>
      <c r="AB76" s="17">
        <v>0</v>
      </c>
      <c r="AC76" s="17">
        <v>0</v>
      </c>
      <c r="AD76" s="17">
        <v>0</v>
      </c>
      <c r="AE76" s="17">
        <v>603</v>
      </c>
      <c r="AF76" s="17">
        <f t="shared" si="25"/>
        <v>2706815</v>
      </c>
      <c r="AG76" s="18">
        <f t="shared" si="26"/>
        <v>0.77436164035407962</v>
      </c>
      <c r="AH76" s="17">
        <f t="shared" si="27"/>
        <v>-788728.76009935001</v>
      </c>
      <c r="AI76" s="20">
        <f t="shared" si="28"/>
        <v>0.13570951176692003</v>
      </c>
      <c r="AJ76" s="20">
        <f t="shared" si="29"/>
        <v>4.6929898180670719E-2</v>
      </c>
      <c r="AK76" s="21">
        <f t="shared" si="30"/>
        <v>5.288834037393577E-2</v>
      </c>
      <c r="AL76" s="21">
        <f t="shared" si="31"/>
        <v>7.7595812839552636E-3</v>
      </c>
      <c r="AO76" s="38">
        <f t="shared" si="32"/>
        <v>46095</v>
      </c>
      <c r="AP76" s="17">
        <f>Tabla2[[#This Row],[Web + APP 2025]]+Tabla2[[#This Row],[Afiliados 2025]]+Tabla2[[#This Row],[TMK 2025]]+Tabla2[[#This Row],[WA 2025]]+Tabla2[[#This Row],[Ent. en Tienda 2025]]</f>
        <v>1863114.1379310344</v>
      </c>
      <c r="AQ76" s="17">
        <f>Tabla2[[#This Row],[Meli Drop 2025]]+Tabla2[[#This Row],[Meli Full 2025]]+Tabla2[[#This Row],[Amazon Drop 2025]]+Tabla2[[#This Row],[Amazon Full 2025]]+Tabla2[[#This Row],[TikTok 2025]]+Tabla2[[#This Row],[Shein 2025]]</f>
        <v>520255</v>
      </c>
      <c r="AR76" s="17">
        <f>Tabla2[[#This Row],[Web + APP 2026]]+Tabla2[[#This Row],[Afiliados 2026]]+Tabla2[[#This Row],[TMK 2026]]+Tabla2[[#This Row],[WA 2026]]+Tabla2[[#This Row],[Ent. en Tienda 2026]]</f>
        <v>2135069</v>
      </c>
      <c r="AS76" s="17">
        <f>Tabla2[[#This Row],[Meli Drop 2026]]+Tabla2[[#This Row],[Meli Full 2026]]+Tabla2[[#This Row],[Amazon Drop 2026]]+Tabla2[[#This Row],[Amazon Full 2026]]+Tabla2[[#This Row],[TikTok 2026]]+Tabla2[[#This Row],[Shein 2026]]</f>
        <v>571746</v>
      </c>
      <c r="AT76" s="18">
        <f t="shared" si="33"/>
        <v>0.1459679020905118</v>
      </c>
      <c r="AU76" s="18">
        <f t="shared" si="33"/>
        <v>9.8972619196355582E-2</v>
      </c>
      <c r="AV76" s="17">
        <f t="shared" si="34"/>
        <v>2887214.76009935</v>
      </c>
      <c r="AW76" s="17">
        <f t="shared" si="34"/>
        <v>608329</v>
      </c>
      <c r="AX76" s="39">
        <f t="shared" si="35"/>
        <v>0.73949088564736054</v>
      </c>
      <c r="AY76" s="39">
        <f t="shared" si="35"/>
        <v>0.93986313327163429</v>
      </c>
      <c r="AZ76" s="39">
        <f t="shared" si="36"/>
        <v>0.77436164035407962</v>
      </c>
      <c r="BA76" s="18">
        <f t="shared" si="21"/>
        <v>3.062352788480131E-2</v>
      </c>
      <c r="BB76" s="20">
        <f t="shared" si="22"/>
        <v>2.4328245182165722E-2</v>
      </c>
      <c r="BC76" s="17">
        <f t="shared" si="37"/>
        <v>-752145.76009935001</v>
      </c>
      <c r="BD76" s="17">
        <f t="shared" si="37"/>
        <v>-36583</v>
      </c>
    </row>
    <row r="77" spans="1:58" ht="14.25" customHeight="1" x14ac:dyDescent="0.35">
      <c r="A77" s="19">
        <v>45732</v>
      </c>
      <c r="B77" s="17">
        <v>46643284</v>
      </c>
      <c r="C77" s="17">
        <f t="shared" si="23"/>
        <v>2499045.6896551726</v>
      </c>
      <c r="D77" s="18">
        <f>+Tabla22[[#This Row],[Share diario]]</f>
        <v>2.5991963600132929E-2</v>
      </c>
      <c r="E77" s="17">
        <f>+Tabla22[[#This Row],[Global 2026]]</f>
        <v>49926015</v>
      </c>
      <c r="F77" s="19">
        <v>46096</v>
      </c>
      <c r="G77" s="17">
        <f t="shared" si="24"/>
        <v>3092104.9730690098</v>
      </c>
      <c r="H77" s="17">
        <v>2445914.9730690098</v>
      </c>
      <c r="I77" s="17">
        <v>646190</v>
      </c>
      <c r="J77" s="17">
        <v>1783206</v>
      </c>
      <c r="K77" s="17">
        <v>2324978</v>
      </c>
      <c r="L77" s="17">
        <v>22420.689655172398</v>
      </c>
      <c r="M77" s="17">
        <f>17366+12331</f>
        <v>29697</v>
      </c>
      <c r="N77" s="17">
        <v>15356</v>
      </c>
      <c r="O77" s="17">
        <v>6793</v>
      </c>
      <c r="P77" s="17">
        <v>4841</v>
      </c>
      <c r="Q77" s="17">
        <v>2651</v>
      </c>
      <c r="R77" s="17">
        <v>72242</v>
      </c>
      <c r="S77" s="17">
        <v>127807</v>
      </c>
      <c r="T77" s="17">
        <v>420638</v>
      </c>
      <c r="U77" s="17">
        <v>506009</v>
      </c>
      <c r="V77" s="17">
        <v>153175</v>
      </c>
      <c r="W77" s="17">
        <v>90650</v>
      </c>
      <c r="X77" s="17">
        <v>16158</v>
      </c>
      <c r="Y77" s="17">
        <v>17281</v>
      </c>
      <c r="Z77" s="17">
        <v>11009</v>
      </c>
      <c r="AA77" s="17">
        <v>7630</v>
      </c>
      <c r="AB77" s="17">
        <v>0</v>
      </c>
      <c r="AC77" s="17">
        <v>1791</v>
      </c>
      <c r="AD77" s="17">
        <v>0</v>
      </c>
      <c r="AE77" s="17">
        <v>646</v>
      </c>
      <c r="AF77" s="17">
        <f t="shared" si="25"/>
        <v>3115933</v>
      </c>
      <c r="AG77" s="18">
        <f t="shared" si="26"/>
        <v>1.0077060860282956</v>
      </c>
      <c r="AH77" s="17">
        <f t="shared" si="27"/>
        <v>23828.026930990163</v>
      </c>
      <c r="AI77" s="20">
        <f t="shared" si="28"/>
        <v>0.24684915241783667</v>
      </c>
      <c r="AJ77" s="20">
        <f t="shared" si="29"/>
        <v>5.3577824615761889E-2</v>
      </c>
      <c r="AK77" s="21">
        <f t="shared" si="30"/>
        <v>6.2411009570862007E-2</v>
      </c>
      <c r="AL77" s="21">
        <f t="shared" si="31"/>
        <v>7.0379499865403927E-2</v>
      </c>
      <c r="AO77" s="38">
        <f t="shared" si="32"/>
        <v>46096</v>
      </c>
      <c r="AP77" s="17">
        <f>Tabla2[[#This Row],[Web + APP 2025]]+Tabla2[[#This Row],[Afiliados 2025]]+Tabla2[[#This Row],[TMK 2025]]+Tabla2[[#This Row],[WA 2025]]+Tabla2[[#This Row],[Ent. en Tienda 2025]]</f>
        <v>1898065.6896551724</v>
      </c>
      <c r="AQ77" s="17">
        <f>Tabla2[[#This Row],[Meli Drop 2025]]+Tabla2[[#This Row],[Meli Full 2025]]+Tabla2[[#This Row],[Amazon Drop 2025]]+Tabla2[[#This Row],[Amazon Full 2025]]+Tabla2[[#This Row],[TikTok 2025]]+Tabla2[[#This Row],[Shein 2025]]</f>
        <v>600980</v>
      </c>
      <c r="AR77" s="17">
        <f>Tabla2[[#This Row],[Web + APP 2026]]+Tabla2[[#This Row],[Afiliados 2026]]+Tabla2[[#This Row],[TMK 2026]]+Tabla2[[#This Row],[WA 2026]]+Tabla2[[#This Row],[Ent. en Tienda 2026]]</f>
        <v>2491926</v>
      </c>
      <c r="AS77" s="17">
        <f>Tabla2[[#This Row],[Meli Drop 2026]]+Tabla2[[#This Row],[Meli Full 2026]]+Tabla2[[#This Row],[Amazon Drop 2026]]+Tabla2[[#This Row],[Amazon Full 2026]]+Tabla2[[#This Row],[TikTok 2026]]+Tabla2[[#This Row],[Shein 2026]]</f>
        <v>624007</v>
      </c>
      <c r="AT77" s="18">
        <f t="shared" si="33"/>
        <v>0.31287658461004897</v>
      </c>
      <c r="AU77" s="18">
        <f t="shared" si="33"/>
        <v>3.8315750940131066E-2</v>
      </c>
      <c r="AV77" s="17">
        <f t="shared" si="34"/>
        <v>2445914.9730690098</v>
      </c>
      <c r="AW77" s="17">
        <f t="shared" si="34"/>
        <v>646190</v>
      </c>
      <c r="AX77" s="39">
        <f t="shared" si="35"/>
        <v>1.0188113762896909</v>
      </c>
      <c r="AY77" s="39">
        <f t="shared" si="35"/>
        <v>0.96567108745105934</v>
      </c>
      <c r="AZ77" s="39">
        <f t="shared" si="36"/>
        <v>1.0077060860282956</v>
      </c>
      <c r="BA77" s="18">
        <f t="shared" si="21"/>
        <v>3.5375205982081659E-2</v>
      </c>
      <c r="BB77" s="20">
        <f t="shared" si="22"/>
        <v>2.4784636931082533E-2</v>
      </c>
      <c r="BC77" s="17">
        <f t="shared" si="37"/>
        <v>46011.026930990163</v>
      </c>
      <c r="BD77" s="17">
        <f t="shared" si="37"/>
        <v>-22183</v>
      </c>
    </row>
    <row r="78" spans="1:58" ht="14.25" customHeight="1" x14ac:dyDescent="0.35">
      <c r="A78" s="16">
        <v>45733</v>
      </c>
      <c r="B78" s="17">
        <v>47608877</v>
      </c>
      <c r="C78" s="17">
        <f t="shared" si="23"/>
        <v>3266815.4482758623</v>
      </c>
      <c r="D78" s="18">
        <f>+Tabla22[[#This Row],[Share diario]]</f>
        <v>2.7253480615668648E-2</v>
      </c>
      <c r="E78" s="17">
        <f>+Tabla22[[#This Row],[Global 2026]]</f>
        <v>48089099</v>
      </c>
      <c r="F78" s="19">
        <v>46097</v>
      </c>
      <c r="G78" s="17">
        <f t="shared" si="24"/>
        <v>3188666.7215949399</v>
      </c>
      <c r="H78" s="17">
        <v>2491799.7215949399</v>
      </c>
      <c r="I78" s="17">
        <v>696867</v>
      </c>
      <c r="J78" s="17">
        <v>2491693</v>
      </c>
      <c r="K78" s="17">
        <v>3399452</v>
      </c>
      <c r="L78" s="17">
        <v>27203.448275862102</v>
      </c>
      <c r="M78" s="17">
        <v>29457</v>
      </c>
      <c r="N78" s="17">
        <v>16130</v>
      </c>
      <c r="O78" s="17">
        <v>1988</v>
      </c>
      <c r="P78" s="17">
        <v>128</v>
      </c>
      <c r="Q78" s="17">
        <v>8157</v>
      </c>
      <c r="R78" s="17">
        <v>62349</v>
      </c>
      <c r="S78" s="17">
        <v>87872</v>
      </c>
      <c r="T78" s="17">
        <v>466542</v>
      </c>
      <c r="U78" s="17">
        <v>560507</v>
      </c>
      <c r="V78" s="17">
        <v>176254</v>
      </c>
      <c r="W78" s="17">
        <v>93974</v>
      </c>
      <c r="X78" s="17">
        <v>16451</v>
      </c>
      <c r="Y78" s="17">
        <v>17848</v>
      </c>
      <c r="Z78" s="17">
        <v>10065</v>
      </c>
      <c r="AA78" s="17">
        <v>11596</v>
      </c>
      <c r="AB78" s="17">
        <v>0</v>
      </c>
      <c r="AC78" s="17">
        <v>0</v>
      </c>
      <c r="AD78" s="17">
        <v>0</v>
      </c>
      <c r="AE78" s="17">
        <v>0</v>
      </c>
      <c r="AF78" s="17">
        <f t="shared" si="25"/>
        <v>4210851</v>
      </c>
      <c r="AG78" s="18">
        <f t="shared" si="26"/>
        <v>1.3205679262377641</v>
      </c>
      <c r="AH78" s="17">
        <f t="shared" si="27"/>
        <v>1022184.2784050601</v>
      </c>
      <c r="AI78" s="20">
        <f t="shared" si="28"/>
        <v>0.28897731343298694</v>
      </c>
      <c r="AJ78" s="20">
        <f t="shared" si="29"/>
        <v>6.8617780005099938E-2</v>
      </c>
      <c r="AK78" s="21">
        <f t="shared" si="30"/>
        <v>8.7563524531827891E-2</v>
      </c>
      <c r="AL78" s="21">
        <f t="shared" si="31"/>
        <v>1.0086816372501195E-2</v>
      </c>
      <c r="AO78" s="38">
        <f t="shared" si="32"/>
        <v>46097</v>
      </c>
      <c r="AP78" s="17">
        <f>Tabla2[[#This Row],[Web + APP 2025]]+Tabla2[[#This Row],[Afiliados 2025]]+Tabla2[[#This Row],[TMK 2025]]+Tabla2[[#This Row],[WA 2025]]+Tabla2[[#This Row],[Ent. en Tienda 2025]]</f>
        <v>2597503.4482758623</v>
      </c>
      <c r="AQ78" s="17">
        <f>Tabla2[[#This Row],[Meli Drop 2025]]+Tabla2[[#This Row],[Meli Full 2025]]+Tabla2[[#This Row],[Amazon Drop 2025]]+Tabla2[[#This Row],[Amazon Full 2025]]+Tabla2[[#This Row],[TikTok 2025]]+Tabla2[[#This Row],[Shein 2025]]</f>
        <v>669312</v>
      </c>
      <c r="AR78" s="17">
        <f>Tabla2[[#This Row],[Web + APP 2026]]+Tabla2[[#This Row],[Afiliados 2026]]+Tabla2[[#This Row],[TMK 2026]]+Tabla2[[#This Row],[WA 2026]]+Tabla2[[#This Row],[Ent. en Tienda 2026]]</f>
        <v>3526926</v>
      </c>
      <c r="AS78" s="17">
        <f>Tabla2[[#This Row],[Meli Drop 2026]]+Tabla2[[#This Row],[Meli Full 2026]]+Tabla2[[#This Row],[Amazon Drop 2026]]+Tabla2[[#This Row],[Amazon Full 2026]]+Tabla2[[#This Row],[TikTok 2026]]+Tabla2[[#This Row],[Shein 2026]]</f>
        <v>683925</v>
      </c>
      <c r="AT78" s="18">
        <f t="shared" si="33"/>
        <v>0.3578137893680402</v>
      </c>
      <c r="AU78" s="18">
        <f t="shared" si="33"/>
        <v>2.183286718301769E-2</v>
      </c>
      <c r="AV78" s="17">
        <f t="shared" si="34"/>
        <v>2491799.7215949399</v>
      </c>
      <c r="AW78" s="17">
        <f t="shared" si="34"/>
        <v>696867</v>
      </c>
      <c r="AX78" s="39">
        <f t="shared" si="35"/>
        <v>1.4154131126327043</v>
      </c>
      <c r="AY78" s="39">
        <f t="shared" si="35"/>
        <v>0.98142830697966754</v>
      </c>
      <c r="AZ78" s="39">
        <f t="shared" si="36"/>
        <v>1.3205679262377641</v>
      </c>
      <c r="BA78" s="18">
        <f t="shared" si="21"/>
        <v>3.939740068933914E-2</v>
      </c>
      <c r="BB78" s="20">
        <f t="shared" si="22"/>
        <v>3.3917782847888656E-2</v>
      </c>
      <c r="BC78" s="17">
        <f t="shared" si="37"/>
        <v>1035126.2784050601</v>
      </c>
      <c r="BD78" s="17">
        <f t="shared" si="37"/>
        <v>-12942</v>
      </c>
    </row>
    <row r="79" spans="1:58" ht="14.25" customHeight="1" x14ac:dyDescent="0.35">
      <c r="A79" s="19">
        <v>45734</v>
      </c>
      <c r="B79" s="17">
        <v>29669203</v>
      </c>
      <c r="C79" s="17">
        <f t="shared" si="23"/>
        <v>3813817.2758620689</v>
      </c>
      <c r="D79" s="18">
        <f>+Tabla22[[#This Row],[Share diario]]</f>
        <v>3.5626436068417006E-2</v>
      </c>
      <c r="E79" s="17">
        <f>+Tabla22[[#This Row],[Global 2026]]</f>
        <v>29095609</v>
      </c>
      <c r="F79" s="19">
        <v>46098</v>
      </c>
      <c r="G79" s="17">
        <f t="shared" si="24"/>
        <v>4195600.6436511902</v>
      </c>
      <c r="H79" s="17">
        <v>3410028.6436511902</v>
      </c>
      <c r="I79" s="17">
        <v>785572</v>
      </c>
      <c r="J79" s="17">
        <v>3071084</v>
      </c>
      <c r="K79" s="17">
        <v>3855703</v>
      </c>
      <c r="L79" s="17">
        <v>18998.275862069</v>
      </c>
      <c r="M79" s="17">
        <v>23686</v>
      </c>
      <c r="N79" s="17">
        <v>73572</v>
      </c>
      <c r="O79" s="17">
        <v>50602</v>
      </c>
      <c r="P79" s="17">
        <v>-818</v>
      </c>
      <c r="Q79" s="17">
        <v>-430</v>
      </c>
      <c r="R79" s="17">
        <v>73153</v>
      </c>
      <c r="S79" s="17">
        <v>113345</v>
      </c>
      <c r="T79" s="17">
        <v>419718</v>
      </c>
      <c r="U79" s="17">
        <v>500176</v>
      </c>
      <c r="V79" s="17">
        <v>123367</v>
      </c>
      <c r="W79" s="17">
        <v>79938</v>
      </c>
      <c r="X79" s="17">
        <v>22898</v>
      </c>
      <c r="Y79" s="17">
        <v>15249</v>
      </c>
      <c r="Z79" s="17">
        <v>11845</v>
      </c>
      <c r="AA79" s="17">
        <v>11085</v>
      </c>
      <c r="AB79" s="17">
        <v>0</v>
      </c>
      <c r="AC79" s="17">
        <v>397</v>
      </c>
      <c r="AD79" s="17">
        <v>0</v>
      </c>
      <c r="AE79" s="17">
        <v>0</v>
      </c>
      <c r="AF79" s="17">
        <f t="shared" si="25"/>
        <v>4649751</v>
      </c>
      <c r="AG79" s="18">
        <f t="shared" si="26"/>
        <v>1.1082444195531416</v>
      </c>
      <c r="AH79" s="17">
        <f t="shared" si="27"/>
        <v>454150.35634880979</v>
      </c>
      <c r="AI79" s="20">
        <f t="shared" si="28"/>
        <v>0.21918557279306938</v>
      </c>
      <c r="AJ79" s="20">
        <f t="shared" si="29"/>
        <v>0.12854464866690449</v>
      </c>
      <c r="AK79" s="21">
        <f t="shared" si="30"/>
        <v>0.15980937192275302</v>
      </c>
      <c r="AL79" s="21">
        <f t="shared" si="31"/>
        <v>-1.9332976352617215E-2</v>
      </c>
      <c r="AO79" s="38">
        <f t="shared" si="32"/>
        <v>46098</v>
      </c>
      <c r="AP79" s="17">
        <f>Tabla2[[#This Row],[Web + APP 2025]]+Tabla2[[#This Row],[Afiliados 2025]]+Tabla2[[#This Row],[TMK 2025]]+Tabla2[[#This Row],[WA 2025]]+Tabla2[[#This Row],[Ent. en Tienda 2025]]</f>
        <v>3235989.2758620689</v>
      </c>
      <c r="AQ79" s="17">
        <f>Tabla2[[#This Row],[Meli Drop 2025]]+Tabla2[[#This Row],[Meli Full 2025]]+Tabla2[[#This Row],[Amazon Drop 2025]]+Tabla2[[#This Row],[Amazon Full 2025]]+Tabla2[[#This Row],[TikTok 2025]]+Tabla2[[#This Row],[Shein 2025]]</f>
        <v>577828</v>
      </c>
      <c r="AR79" s="17">
        <f>Tabla2[[#This Row],[Web + APP 2026]]+Tabla2[[#This Row],[Afiliados 2026]]+Tabla2[[#This Row],[TMK 2026]]+Tabla2[[#This Row],[WA 2026]]+Tabla2[[#This Row],[Ent. en Tienda 2026]]</f>
        <v>4042906</v>
      </c>
      <c r="AS79" s="17">
        <f>Tabla2[[#This Row],[Meli Drop 2026]]+Tabla2[[#This Row],[Meli Full 2026]]+Tabla2[[#This Row],[Amazon Drop 2026]]+Tabla2[[#This Row],[Amazon Full 2026]]+Tabla2[[#This Row],[TikTok 2026]]+Tabla2[[#This Row],[Shein 2026]]</f>
        <v>606845</v>
      </c>
      <c r="AT79" s="18">
        <f t="shared" si="33"/>
        <v>0.24935704520311441</v>
      </c>
      <c r="AU79" s="18">
        <f t="shared" si="33"/>
        <v>5.021736572128721E-2</v>
      </c>
      <c r="AV79" s="17">
        <f t="shared" si="34"/>
        <v>3410028.6436511902</v>
      </c>
      <c r="AW79" s="17">
        <f t="shared" si="34"/>
        <v>785572</v>
      </c>
      <c r="AX79" s="39">
        <f t="shared" si="35"/>
        <v>1.1855929736916153</v>
      </c>
      <c r="AY79" s="39">
        <f t="shared" si="35"/>
        <v>0.77248807238547201</v>
      </c>
      <c r="AZ79" s="39">
        <f t="shared" si="36"/>
        <v>1.1082444195531416</v>
      </c>
      <c r="BA79" s="18">
        <f t="shared" si="21"/>
        <v>3.4012420583404236E-2</v>
      </c>
      <c r="BB79" s="20">
        <f t="shared" si="22"/>
        <v>4.2255028238611041E-2</v>
      </c>
      <c r="BC79" s="17">
        <f t="shared" si="37"/>
        <v>632877.35634880979</v>
      </c>
      <c r="BD79" s="17">
        <f t="shared" si="37"/>
        <v>-178727</v>
      </c>
    </row>
    <row r="80" spans="1:58" ht="14.25" customHeight="1" x14ac:dyDescent="0.35">
      <c r="A80" s="16">
        <v>45735</v>
      </c>
      <c r="B80" s="17">
        <v>31648239</v>
      </c>
      <c r="C80" s="17">
        <f t="shared" si="23"/>
        <v>3646038.6551724137</v>
      </c>
      <c r="D80" s="18">
        <f>+Tabla22[[#This Row],[Share diario]]</f>
        <v>4.1591794671729708E-2</v>
      </c>
      <c r="E80" s="17">
        <f>+Tabla22[[#This Row],[Global 2026]]</f>
        <v>33761513</v>
      </c>
      <c r="F80" s="19">
        <v>46099</v>
      </c>
      <c r="G80" s="17">
        <f t="shared" si="24"/>
        <v>4962094.2578005204</v>
      </c>
      <c r="H80" s="17">
        <v>4248239.2578005204</v>
      </c>
      <c r="I80" s="17">
        <v>713855</v>
      </c>
      <c r="J80" s="17">
        <v>2976626</v>
      </c>
      <c r="K80" s="17">
        <v>3737072</v>
      </c>
      <c r="L80" s="17">
        <v>19664.655172413801</v>
      </c>
      <c r="M80" s="17">
        <v>19698</v>
      </c>
      <c r="N80" s="17">
        <v>74611</v>
      </c>
      <c r="O80" s="17">
        <v>39710</v>
      </c>
      <c r="P80" s="17">
        <v>-1496</v>
      </c>
      <c r="Q80" s="17">
        <v>5715</v>
      </c>
      <c r="R80" s="17">
        <v>72214</v>
      </c>
      <c r="S80" s="17">
        <v>78016</v>
      </c>
      <c r="T80" s="17">
        <v>365376</v>
      </c>
      <c r="U80" s="17">
        <v>524686</v>
      </c>
      <c r="V80" s="17">
        <v>116910</v>
      </c>
      <c r="W80" s="17">
        <v>102274</v>
      </c>
      <c r="X80" s="17">
        <v>13598</v>
      </c>
      <c r="Y80" s="17">
        <v>18601</v>
      </c>
      <c r="Z80" s="17">
        <v>8535</v>
      </c>
      <c r="AA80" s="17">
        <v>8408</v>
      </c>
      <c r="AB80" s="17">
        <v>0</v>
      </c>
      <c r="AC80" s="17">
        <v>0</v>
      </c>
      <c r="AD80" s="17">
        <v>0</v>
      </c>
      <c r="AE80" s="17">
        <v>0</v>
      </c>
      <c r="AF80" s="17">
        <f t="shared" si="25"/>
        <v>4534180</v>
      </c>
      <c r="AG80" s="18">
        <f t="shared" si="26"/>
        <v>0.91376337579081057</v>
      </c>
      <c r="AH80" s="17">
        <f t="shared" si="27"/>
        <v>-427914.2578005204</v>
      </c>
      <c r="AI80" s="20">
        <f t="shared" si="28"/>
        <v>0.24359076488880183</v>
      </c>
      <c r="AJ80" s="20">
        <f t="shared" si="29"/>
        <v>0.11520510367646092</v>
      </c>
      <c r="AK80" s="21">
        <f t="shared" si="30"/>
        <v>0.13430026077326571</v>
      </c>
      <c r="AL80" s="21">
        <f t="shared" si="31"/>
        <v>6.6773825867531E-2</v>
      </c>
      <c r="AO80" s="38">
        <f t="shared" si="32"/>
        <v>46099</v>
      </c>
      <c r="AP80" s="17">
        <f>Tabla2[[#This Row],[Web + APP 2025]]+Tabla2[[#This Row],[Afiliados 2025]]+Tabla2[[#This Row],[TMK 2025]]+Tabla2[[#This Row],[WA 2025]]+Tabla2[[#This Row],[Ent. en Tienda 2025]]</f>
        <v>3141619.6551724137</v>
      </c>
      <c r="AQ80" s="17">
        <f>Tabla2[[#This Row],[Meli Drop 2025]]+Tabla2[[#This Row],[Meli Full 2025]]+Tabla2[[#This Row],[Amazon Drop 2025]]+Tabla2[[#This Row],[Amazon Full 2025]]+Tabla2[[#This Row],[TikTok 2025]]+Tabla2[[#This Row],[Shein 2025]]</f>
        <v>504419</v>
      </c>
      <c r="AR80" s="17">
        <f>Tabla2[[#This Row],[Web + APP 2026]]+Tabla2[[#This Row],[Afiliados 2026]]+Tabla2[[#This Row],[TMK 2026]]+Tabla2[[#This Row],[WA 2026]]+Tabla2[[#This Row],[Ent. en Tienda 2026]]</f>
        <v>3880211</v>
      </c>
      <c r="AS80" s="17">
        <f>Tabla2[[#This Row],[Meli Drop 2026]]+Tabla2[[#This Row],[Meli Full 2026]]+Tabla2[[#This Row],[Amazon Drop 2026]]+Tabla2[[#This Row],[Amazon Full 2026]]+Tabla2[[#This Row],[TikTok 2026]]+Tabla2[[#This Row],[Shein 2026]]</f>
        <v>653969</v>
      </c>
      <c r="AT80" s="18">
        <f t="shared" si="33"/>
        <v>0.235098906263703</v>
      </c>
      <c r="AU80" s="18">
        <f t="shared" si="33"/>
        <v>0.29647971230266901</v>
      </c>
      <c r="AV80" s="17">
        <f t="shared" si="34"/>
        <v>4248239.2578005204</v>
      </c>
      <c r="AW80" s="17">
        <f t="shared" si="34"/>
        <v>713855</v>
      </c>
      <c r="AX80" s="39">
        <f t="shared" si="35"/>
        <v>0.91336922535030129</v>
      </c>
      <c r="AY80" s="39">
        <f t="shared" si="35"/>
        <v>0.91610901373528242</v>
      </c>
      <c r="AZ80" s="39">
        <f t="shared" si="36"/>
        <v>0.91376337579081057</v>
      </c>
      <c r="BA80" s="18">
        <f t="shared" si="21"/>
        <v>2.9691380788504855E-2</v>
      </c>
      <c r="BB80" s="20">
        <f t="shared" si="22"/>
        <v>4.1022764888156614E-2</v>
      </c>
      <c r="BC80" s="17">
        <f t="shared" si="37"/>
        <v>-368028.2578005204</v>
      </c>
      <c r="BD80" s="17">
        <f t="shared" si="37"/>
        <v>-59886</v>
      </c>
    </row>
    <row r="81" spans="1:56" ht="14.25" customHeight="1" x14ac:dyDescent="0.35">
      <c r="A81" s="19">
        <v>45736</v>
      </c>
      <c r="B81" s="17">
        <v>34622687</v>
      </c>
      <c r="C81" s="17">
        <f t="shared" si="23"/>
        <v>2948517.3103448278</v>
      </c>
      <c r="D81" s="18">
        <f>+Tabla22[[#This Row],[Share diario]]</f>
        <v>3.9762075669145136E-2</v>
      </c>
      <c r="E81" s="17">
        <f>+Tabla22[[#This Row],[Global 2026]]</f>
        <v>37697073</v>
      </c>
      <c r="F81" s="19">
        <v>46100</v>
      </c>
      <c r="G81" s="17">
        <f t="shared" si="24"/>
        <v>4800393.87091411</v>
      </c>
      <c r="H81" s="17">
        <v>4124349.87091411</v>
      </c>
      <c r="I81" s="17">
        <v>676044</v>
      </c>
      <c r="J81" s="17">
        <v>2194292</v>
      </c>
      <c r="K81" s="17">
        <v>3081196</v>
      </c>
      <c r="L81" s="17">
        <v>18904.310344827602</v>
      </c>
      <c r="M81" s="17">
        <v>22547</v>
      </c>
      <c r="N81" s="17">
        <v>70889</v>
      </c>
      <c r="O81" s="17">
        <v>983</v>
      </c>
      <c r="P81" s="17">
        <v>0</v>
      </c>
      <c r="Q81" s="17">
        <v>3306</v>
      </c>
      <c r="R81" s="17">
        <v>68484</v>
      </c>
      <c r="S81" s="17">
        <v>83172</v>
      </c>
      <c r="T81" s="17">
        <v>455909</v>
      </c>
      <c r="U81" s="17">
        <v>498101</v>
      </c>
      <c r="V81" s="17">
        <v>113508</v>
      </c>
      <c r="W81" s="17">
        <v>60356</v>
      </c>
      <c r="X81" s="17">
        <v>13831</v>
      </c>
      <c r="Y81" s="17">
        <v>12568</v>
      </c>
      <c r="Z81" s="17">
        <v>12700</v>
      </c>
      <c r="AA81" s="17">
        <v>4699</v>
      </c>
      <c r="AB81" s="17">
        <v>0</v>
      </c>
      <c r="AC81" s="17">
        <v>0</v>
      </c>
      <c r="AD81" s="17">
        <v>0</v>
      </c>
      <c r="AE81" s="17">
        <v>0</v>
      </c>
      <c r="AF81" s="17">
        <f t="shared" si="25"/>
        <v>3766928</v>
      </c>
      <c r="AG81" s="18">
        <f t="shared" si="26"/>
        <v>0.78471227597053128</v>
      </c>
      <c r="AH81" s="17">
        <f t="shared" si="27"/>
        <v>-1033465.87091411</v>
      </c>
      <c r="AI81" s="20">
        <f t="shared" si="28"/>
        <v>0.27756685937836978</v>
      </c>
      <c r="AJ81" s="20">
        <f t="shared" si="29"/>
        <v>8.5161423500863115E-2</v>
      </c>
      <c r="AK81" s="21">
        <f t="shared" si="30"/>
        <v>9.9926272790463067E-2</v>
      </c>
      <c r="AL81" s="21">
        <f t="shared" si="31"/>
        <v>8.879686316662827E-2</v>
      </c>
      <c r="AO81" s="38">
        <f t="shared" si="32"/>
        <v>46100</v>
      </c>
      <c r="AP81" s="17">
        <f>Tabla2[[#This Row],[Web + APP 2025]]+Tabla2[[#This Row],[Afiliados 2025]]+Tabla2[[#This Row],[TMK 2025]]+Tabla2[[#This Row],[WA 2025]]+Tabla2[[#This Row],[Ent. en Tienda 2025]]</f>
        <v>2352569.3103448278</v>
      </c>
      <c r="AQ81" s="17">
        <f>Tabla2[[#This Row],[Meli Drop 2025]]+Tabla2[[#This Row],[Meli Full 2025]]+Tabla2[[#This Row],[Amazon Drop 2025]]+Tabla2[[#This Row],[Amazon Full 2025]]+Tabla2[[#This Row],[TikTok 2025]]+Tabla2[[#This Row],[Shein 2025]]</f>
        <v>595948</v>
      </c>
      <c r="AR81" s="17">
        <f>Tabla2[[#This Row],[Web + APP 2026]]+Tabla2[[#This Row],[Afiliados 2026]]+Tabla2[[#This Row],[TMK 2026]]+Tabla2[[#This Row],[WA 2026]]+Tabla2[[#This Row],[Ent. en Tienda 2026]]</f>
        <v>3191204</v>
      </c>
      <c r="AS81" s="17">
        <f>Tabla2[[#This Row],[Meli Drop 2026]]+Tabla2[[#This Row],[Meli Full 2026]]+Tabla2[[#This Row],[Amazon Drop 2026]]+Tabla2[[#This Row],[Amazon Full 2026]]+Tabla2[[#This Row],[TikTok 2026]]+Tabla2[[#This Row],[Shein 2026]]</f>
        <v>575724</v>
      </c>
      <c r="AT81" s="18">
        <f t="shared" si="33"/>
        <v>0.35647608168970346</v>
      </c>
      <c r="AU81" s="18">
        <f t="shared" si="33"/>
        <v>-3.3935846751730003E-2</v>
      </c>
      <c r="AV81" s="17">
        <f t="shared" si="34"/>
        <v>4124349.87091411</v>
      </c>
      <c r="AW81" s="17">
        <f t="shared" si="34"/>
        <v>676044</v>
      </c>
      <c r="AX81" s="39">
        <f t="shared" si="35"/>
        <v>0.77374716012943634</v>
      </c>
      <c r="AY81" s="39">
        <f t="shared" si="35"/>
        <v>0.85160729183307593</v>
      </c>
      <c r="AZ81" s="39">
        <f t="shared" si="36"/>
        <v>0.78471227597053128</v>
      </c>
      <c r="BA81" s="18">
        <f t="shared" si="21"/>
        <v>3.5079009708492127E-2</v>
      </c>
      <c r="BB81" s="20">
        <f t="shared" si="22"/>
        <v>3.0719472213154384E-2</v>
      </c>
      <c r="BC81" s="17">
        <f t="shared" si="37"/>
        <v>-933145.87091410998</v>
      </c>
      <c r="BD81" s="17">
        <f t="shared" si="37"/>
        <v>-100320</v>
      </c>
    </row>
    <row r="82" spans="1:56" ht="14.25" customHeight="1" x14ac:dyDescent="0.35">
      <c r="A82" s="16">
        <v>45737</v>
      </c>
      <c r="B82" s="17">
        <v>37975369</v>
      </c>
      <c r="C82" s="17">
        <f t="shared" si="23"/>
        <v>2432941.7241379311</v>
      </c>
      <c r="D82" s="18">
        <f>+Tabla22[[#This Row],[Share diario]]</f>
        <v>3.215521816791362E-2</v>
      </c>
      <c r="E82" s="17">
        <f>+Tabla22[[#This Row],[Global 2026]]</f>
        <v>35305337</v>
      </c>
      <c r="F82" s="19">
        <v>46101</v>
      </c>
      <c r="G82" s="17">
        <f t="shared" si="24"/>
        <v>3757465.64467031</v>
      </c>
      <c r="H82" s="17">
        <v>3088476.64467031</v>
      </c>
      <c r="I82" s="17">
        <v>668989</v>
      </c>
      <c r="J82" s="17">
        <v>1684468</v>
      </c>
      <c r="K82" s="17">
        <f>+Tabla22[[#This Row],[Web + APP 2026]]</f>
        <v>2534659</v>
      </c>
      <c r="L82" s="17">
        <v>18401.724137931</v>
      </c>
      <c r="M82" s="17">
        <f>+Tabla22[[#This Row],[Afiliados 2026]]</f>
        <v>20797</v>
      </c>
      <c r="N82" s="17">
        <v>87171</v>
      </c>
      <c r="O82" s="17">
        <f>+Tabla22[[#This Row],[TMK 2026]]</f>
        <v>80650</v>
      </c>
      <c r="P82" s="17">
        <v>-2861</v>
      </c>
      <c r="Q82" s="17">
        <f>+Tabla22[[#This Row],[WA 2026]]</f>
        <v>1003</v>
      </c>
      <c r="R82" s="17">
        <v>101126</v>
      </c>
      <c r="S82" s="17">
        <f>+Tabla22[[#This Row],[Ent. en Tienda 2026]]</f>
        <v>84430</v>
      </c>
      <c r="T82" s="17">
        <v>425643</v>
      </c>
      <c r="U82" s="17">
        <f>+Tabla22[[#This Row],[Meli Drop 2026]]</f>
        <v>508388</v>
      </c>
      <c r="V82" s="17">
        <v>104286</v>
      </c>
      <c r="W82" s="17">
        <f>+Tabla22[[#This Row],[Meli Full 2026]]</f>
        <v>64656</v>
      </c>
      <c r="X82" s="17">
        <v>5964</v>
      </c>
      <c r="Y82" s="17">
        <f>+Tabla22[[#This Row],[Amazon Drop 2026]]</f>
        <v>10353</v>
      </c>
      <c r="Z82" s="17">
        <v>8743</v>
      </c>
      <c r="AA82" s="17">
        <f>+Tabla22[[#This Row],[Amazon Full 2026]]</f>
        <v>10150</v>
      </c>
      <c r="AB82" s="17">
        <v>0</v>
      </c>
      <c r="AC82" s="17">
        <f>+Tabla22[[#This Row],[TikTok 2026]]</f>
        <v>-387</v>
      </c>
      <c r="AD82" s="17">
        <v>0</v>
      </c>
      <c r="AE82" s="17">
        <f>+Tabla22[[#This Row],[Shein 2026]]</f>
        <v>1291</v>
      </c>
      <c r="AF82" s="17">
        <f t="shared" si="25"/>
        <v>3315990</v>
      </c>
      <c r="AG82" s="18">
        <f t="shared" si="26"/>
        <v>0.88250707087727842</v>
      </c>
      <c r="AH82" s="17">
        <f t="shared" si="27"/>
        <v>-441475.64467030996</v>
      </c>
      <c r="AI82" s="20">
        <f t="shared" si="28"/>
        <v>0.36295496398499272</v>
      </c>
      <c r="AJ82" s="20">
        <f t="shared" si="29"/>
        <v>6.4066308984066248E-2</v>
      </c>
      <c r="AK82" s="21">
        <f t="shared" si="30"/>
        <v>9.3923193538699268E-2</v>
      </c>
      <c r="AL82" s="21">
        <f t="shared" si="31"/>
        <v>-7.030957355542744E-2</v>
      </c>
      <c r="AO82" s="38">
        <f t="shared" si="32"/>
        <v>46101</v>
      </c>
      <c r="AP82" s="17">
        <f>Tabla2[[#This Row],[Web + APP 2025]]+Tabla2[[#This Row],[Afiliados 2025]]+Tabla2[[#This Row],[TMK 2025]]+Tabla2[[#This Row],[WA 2025]]+Tabla2[[#This Row],[Ent. en Tienda 2025]]</f>
        <v>1888305.7241379309</v>
      </c>
      <c r="AQ82" s="17">
        <f>Tabla2[[#This Row],[Meli Drop 2025]]+Tabla2[[#This Row],[Meli Full 2025]]+Tabla2[[#This Row],[Amazon Drop 2025]]+Tabla2[[#This Row],[Amazon Full 2025]]+Tabla2[[#This Row],[TikTok 2025]]+Tabla2[[#This Row],[Shein 2025]]</f>
        <v>544636</v>
      </c>
      <c r="AR82" s="17">
        <f>Tabla2[[#This Row],[Web + APP 2026]]+Tabla2[[#This Row],[Afiliados 2026]]+Tabla2[[#This Row],[TMK 2026]]+Tabla2[[#This Row],[WA 2026]]+Tabla2[[#This Row],[Ent. en Tienda 2026]]</f>
        <v>2721539</v>
      </c>
      <c r="AS82" s="17">
        <f>Tabla2[[#This Row],[Meli Drop 2026]]+Tabla2[[#This Row],[Meli Full 2026]]+Tabla2[[#This Row],[Amazon Drop 2026]]+Tabla2[[#This Row],[Amazon Full 2026]]+Tabla2[[#This Row],[TikTok 2026]]+Tabla2[[#This Row],[Shein 2026]]</f>
        <v>594451</v>
      </c>
      <c r="AT82" s="18">
        <f t="shared" si="33"/>
        <v>0.44125973099110616</v>
      </c>
      <c r="AU82" s="18">
        <f t="shared" si="33"/>
        <v>9.1464758113675826E-2</v>
      </c>
      <c r="AV82" s="17">
        <f t="shared" si="34"/>
        <v>3088476.64467031</v>
      </c>
      <c r="AW82" s="17">
        <f t="shared" si="34"/>
        <v>668989</v>
      </c>
      <c r="AX82" s="39">
        <f t="shared" si="35"/>
        <v>0.88119138109607431</v>
      </c>
      <c r="AY82" s="39">
        <f t="shared" si="35"/>
        <v>0.88858112764185959</v>
      </c>
      <c r="AZ82" s="39">
        <f t="shared" si="36"/>
        <v>0.88250707087727842</v>
      </c>
      <c r="BA82" s="18">
        <f t="shared" si="21"/>
        <v>3.2058655338375694E-2</v>
      </c>
      <c r="BB82" s="20">
        <f t="shared" si="22"/>
        <v>2.4657192868886423E-2</v>
      </c>
      <c r="BC82" s="17">
        <f t="shared" si="37"/>
        <v>-366937.64467030996</v>
      </c>
      <c r="BD82" s="17">
        <f t="shared" si="37"/>
        <v>-74538</v>
      </c>
    </row>
    <row r="83" spans="1:56" ht="14.25" customHeight="1" x14ac:dyDescent="0.35">
      <c r="A83" s="19">
        <v>45738</v>
      </c>
      <c r="B83" s="17">
        <v>43118954</v>
      </c>
      <c r="C83" s="17">
        <f t="shared" si="23"/>
        <v>1948887.8620689656</v>
      </c>
      <c r="D83" s="18">
        <f>+Tabla22[[#This Row],[Share diario]]</f>
        <v>2.6532580173431613E-2</v>
      </c>
      <c r="E83" s="17">
        <f>+Tabla22[[#This Row],[Global 2026]]</f>
        <v>47045887</v>
      </c>
      <c r="F83" s="19">
        <v>46102</v>
      </c>
      <c r="G83" s="17">
        <f t="shared" si="24"/>
        <v>3134941.7407317399</v>
      </c>
      <c r="H83" s="17">
        <v>2478986.7407317399</v>
      </c>
      <c r="I83" s="17">
        <v>655955</v>
      </c>
      <c r="J83" s="17">
        <v>1375650</v>
      </c>
      <c r="K83" s="17">
        <f>+Tabla22[[#This Row],[Web + APP 2026]]</f>
        <v>2128572</v>
      </c>
      <c r="L83" s="17">
        <v>18050.8620689655</v>
      </c>
      <c r="M83" s="17">
        <f>+Tabla22[[#This Row],[Afiliados 2026]]</f>
        <v>23927</v>
      </c>
      <c r="N83" s="17">
        <v>29277</v>
      </c>
      <c r="O83" s="17">
        <f>+Tabla22[[#This Row],[TMK 2026]]</f>
        <v>4877</v>
      </c>
      <c r="P83" s="17">
        <v>3421</v>
      </c>
      <c r="Q83" s="17">
        <f>+Tabla22[[#This Row],[WA 2026]]</f>
        <v>-1018</v>
      </c>
      <c r="R83" s="17">
        <v>45609</v>
      </c>
      <c r="S83" s="17">
        <f>+Tabla22[[#This Row],[Ent. en Tienda 2026]]</f>
        <v>83878</v>
      </c>
      <c r="T83" s="17">
        <v>352550</v>
      </c>
      <c r="U83" s="17">
        <f>+Tabla22[[#This Row],[Meli Drop 2026]]</f>
        <v>391543</v>
      </c>
      <c r="V83" s="17">
        <v>96081</v>
      </c>
      <c r="W83" s="17">
        <f>+Tabla22[[#This Row],[Meli Full 2026]]</f>
        <v>53191</v>
      </c>
      <c r="X83" s="17">
        <v>18519</v>
      </c>
      <c r="Y83" s="17">
        <f>+Tabla22[[#This Row],[Amazon Drop 2026]]</f>
        <v>10847</v>
      </c>
      <c r="Z83" s="17">
        <v>9730</v>
      </c>
      <c r="AA83" s="17">
        <f>+Tabla22[[#This Row],[Amazon Full 2026]]</f>
        <v>11032</v>
      </c>
      <c r="AB83" s="17">
        <v>0</v>
      </c>
      <c r="AC83" s="17">
        <f>+Tabla22[[#This Row],[TikTok 2026]]</f>
        <v>0</v>
      </c>
      <c r="AD83" s="17">
        <v>0</v>
      </c>
      <c r="AE83" s="17">
        <f>+Tabla22[[#This Row],[Shein 2026]]</f>
        <v>2153</v>
      </c>
      <c r="AF83" s="17">
        <f t="shared" si="25"/>
        <v>2709002</v>
      </c>
      <c r="AG83" s="18">
        <f t="shared" si="26"/>
        <v>0.86413152908151991</v>
      </c>
      <c r="AH83" s="17">
        <f t="shared" si="27"/>
        <v>-425939.7407317399</v>
      </c>
      <c r="AI83" s="20">
        <f t="shared" si="28"/>
        <v>0.39002456361141635</v>
      </c>
      <c r="AJ83" s="20">
        <f t="shared" si="29"/>
        <v>4.5197939218770605E-2</v>
      </c>
      <c r="AK83" s="21">
        <f t="shared" si="30"/>
        <v>5.7582121897287217E-2</v>
      </c>
      <c r="AL83" s="21">
        <f t="shared" si="31"/>
        <v>9.1072083984226504E-2</v>
      </c>
      <c r="AO83" s="38">
        <f t="shared" si="32"/>
        <v>46102</v>
      </c>
      <c r="AP83" s="17">
        <f>Tabla2[[#This Row],[Web + APP 2025]]+Tabla2[[#This Row],[Afiliados 2025]]+Tabla2[[#This Row],[TMK 2025]]+Tabla2[[#This Row],[WA 2025]]+Tabla2[[#This Row],[Ent. en Tienda 2025]]</f>
        <v>1472007.8620689656</v>
      </c>
      <c r="AQ83" s="17">
        <f>Tabla2[[#This Row],[Meli Drop 2025]]+Tabla2[[#This Row],[Meli Full 2025]]+Tabla2[[#This Row],[Amazon Drop 2025]]+Tabla2[[#This Row],[Amazon Full 2025]]+Tabla2[[#This Row],[TikTok 2025]]+Tabla2[[#This Row],[Shein 2025]]</f>
        <v>476880</v>
      </c>
      <c r="AR83" s="17">
        <f>Tabla2[[#This Row],[Web + APP 2026]]+Tabla2[[#This Row],[Afiliados 2026]]+Tabla2[[#This Row],[TMK 2026]]+Tabla2[[#This Row],[WA 2026]]+Tabla2[[#This Row],[Ent. en Tienda 2026]]</f>
        <v>2240236</v>
      </c>
      <c r="AS83" s="17">
        <f>Tabla2[[#This Row],[Meli Drop 2026]]+Tabla2[[#This Row],[Meli Full 2026]]+Tabla2[[#This Row],[Amazon Drop 2026]]+Tabla2[[#This Row],[Amazon Full 2026]]+Tabla2[[#This Row],[TikTok 2026]]+Tabla2[[#This Row],[Shein 2026]]</f>
        <v>468766</v>
      </c>
      <c r="AT83" s="18">
        <f t="shared" si="33"/>
        <v>0.52189132797922655</v>
      </c>
      <c r="AU83" s="18">
        <f t="shared" si="33"/>
        <v>-1.7014762623720814E-2</v>
      </c>
      <c r="AV83" s="17">
        <f t="shared" si="34"/>
        <v>2478986.7407317399</v>
      </c>
      <c r="AW83" s="17">
        <f t="shared" si="34"/>
        <v>655955</v>
      </c>
      <c r="AX83" s="39">
        <f t="shared" si="35"/>
        <v>0.90369019050853572</v>
      </c>
      <c r="AY83" s="39">
        <f t="shared" si="35"/>
        <v>0.71463133904002563</v>
      </c>
      <c r="AZ83" s="39">
        <f t="shared" si="36"/>
        <v>0.86413152908151991</v>
      </c>
      <c r="BA83" s="18">
        <f t="shared" si="21"/>
        <v>2.8070365450988552E-2</v>
      </c>
      <c r="BB83" s="20">
        <f t="shared" si="22"/>
        <v>1.9221242246735062E-2</v>
      </c>
      <c r="BC83" s="17">
        <f t="shared" si="37"/>
        <v>-238750.7407317399</v>
      </c>
      <c r="BD83" s="17">
        <f t="shared" si="37"/>
        <v>-187189</v>
      </c>
    </row>
    <row r="84" spans="1:56" ht="14.25" customHeight="1" x14ac:dyDescent="0.35">
      <c r="A84" s="16">
        <v>45739</v>
      </c>
      <c r="B84" s="17">
        <v>43154994</v>
      </c>
      <c r="C84" s="17">
        <f t="shared" si="23"/>
        <v>2263128.7931034481</v>
      </c>
      <c r="D84" s="18">
        <f>+Tabla22[[#This Row],[Share diario]]</f>
        <v>2.1253704080271267E-2</v>
      </c>
      <c r="E84" s="17">
        <f>+Tabla22[[#This Row],[Global 2026]]</f>
        <v>47447277</v>
      </c>
      <c r="F84" s="19">
        <v>46103</v>
      </c>
      <c r="G84" s="17">
        <f t="shared" si="24"/>
        <v>2622953.7217157199</v>
      </c>
      <c r="H84" s="17">
        <v>1932466.7217157199</v>
      </c>
      <c r="I84" s="17">
        <v>690487</v>
      </c>
      <c r="J84" s="17">
        <v>1610627</v>
      </c>
      <c r="K84" s="17">
        <f>+Tabla22[[#This Row],[Web + APP 2026]]</f>
        <v>2696322</v>
      </c>
      <c r="L84" s="17">
        <v>19763.793103448301</v>
      </c>
      <c r="M84" s="17">
        <f>+Tabla22[[#This Row],[Afiliados 2026]]</f>
        <v>24803</v>
      </c>
      <c r="N84" s="17">
        <v>13804</v>
      </c>
      <c r="O84" s="17">
        <f>+Tabla22[[#This Row],[TMK 2026]]</f>
        <v>11387</v>
      </c>
      <c r="P84" s="17">
        <v>693</v>
      </c>
      <c r="Q84" s="17">
        <f>+Tabla22[[#This Row],[WA 2026]]</f>
        <v>6523</v>
      </c>
      <c r="R84" s="17">
        <v>35822</v>
      </c>
      <c r="S84" s="17">
        <f>+Tabla22[[#This Row],[Ent. en Tienda 2026]]</f>
        <v>61903</v>
      </c>
      <c r="T84" s="17">
        <v>412452</v>
      </c>
      <c r="U84" s="17">
        <f>+Tabla22[[#This Row],[Meli Drop 2026]]</f>
        <v>584128</v>
      </c>
      <c r="V84" s="17">
        <v>148039</v>
      </c>
      <c r="W84" s="17">
        <f>+Tabla22[[#This Row],[Meli Full 2026]]</f>
        <v>66334</v>
      </c>
      <c r="X84" s="17">
        <v>13860</v>
      </c>
      <c r="Y84" s="17">
        <f>+Tabla22[[#This Row],[Amazon Drop 2026]]</f>
        <v>14472</v>
      </c>
      <c r="Z84" s="17">
        <v>8068</v>
      </c>
      <c r="AA84" s="17">
        <f>+Tabla22[[#This Row],[Amazon Full 2026]]</f>
        <v>10711</v>
      </c>
      <c r="AB84" s="17">
        <v>0</v>
      </c>
      <c r="AC84" s="17">
        <f>+Tabla22[[#This Row],[TikTok 2026]]</f>
        <v>0</v>
      </c>
      <c r="AD84" s="17">
        <v>0</v>
      </c>
      <c r="AE84" s="17">
        <f>+Tabla22[[#This Row],[Shein 2026]]</f>
        <v>0</v>
      </c>
      <c r="AF84" s="17">
        <f t="shared" si="25"/>
        <v>3476583</v>
      </c>
      <c r="AG84" s="18">
        <f t="shared" si="26"/>
        <v>1.3254458022713058</v>
      </c>
      <c r="AH84" s="17">
        <f t="shared" si="27"/>
        <v>853629.2782842801</v>
      </c>
      <c r="AI84" s="20">
        <f t="shared" si="28"/>
        <v>0.5361843349765929</v>
      </c>
      <c r="AJ84" s="20">
        <f t="shared" si="29"/>
        <v>5.244187481762709E-2</v>
      </c>
      <c r="AK84" s="21">
        <f t="shared" si="30"/>
        <v>7.3272550498524922E-2</v>
      </c>
      <c r="AL84" s="21">
        <f t="shared" si="31"/>
        <v>9.9462022865766109E-2</v>
      </c>
      <c r="AO84" s="38">
        <f t="shared" si="32"/>
        <v>46103</v>
      </c>
      <c r="AP84" s="17">
        <f>Tabla2[[#This Row],[Web + APP 2025]]+Tabla2[[#This Row],[Afiliados 2025]]+Tabla2[[#This Row],[TMK 2025]]+Tabla2[[#This Row],[WA 2025]]+Tabla2[[#This Row],[Ent. en Tienda 2025]]</f>
        <v>1680709.7931034483</v>
      </c>
      <c r="AQ84" s="17">
        <f>Tabla2[[#This Row],[Meli Drop 2025]]+Tabla2[[#This Row],[Meli Full 2025]]+Tabla2[[#This Row],[Amazon Drop 2025]]+Tabla2[[#This Row],[Amazon Full 2025]]+Tabla2[[#This Row],[TikTok 2025]]+Tabla2[[#This Row],[Shein 2025]]</f>
        <v>582419</v>
      </c>
      <c r="AR84" s="17">
        <f>Tabla2[[#This Row],[Web + APP 2026]]+Tabla2[[#This Row],[Afiliados 2026]]+Tabla2[[#This Row],[TMK 2026]]+Tabla2[[#This Row],[WA 2026]]+Tabla2[[#This Row],[Ent. en Tienda 2026]]</f>
        <v>2800938</v>
      </c>
      <c r="AS84" s="17">
        <f>Tabla2[[#This Row],[Meli Drop 2026]]+Tabla2[[#This Row],[Meli Full 2026]]+Tabla2[[#This Row],[Amazon Drop 2026]]+Tabla2[[#This Row],[Amazon Full 2026]]+Tabla2[[#This Row],[TikTok 2026]]+Tabla2[[#This Row],[Shein 2026]]</f>
        <v>675645</v>
      </c>
      <c r="AT84" s="18">
        <f t="shared" si="33"/>
        <v>0.66652090176022494</v>
      </c>
      <c r="AU84" s="18">
        <f t="shared" si="33"/>
        <v>0.16006689342208968</v>
      </c>
      <c r="AV84" s="17">
        <f t="shared" si="34"/>
        <v>1932466.7217157199</v>
      </c>
      <c r="AW84" s="17">
        <f t="shared" si="34"/>
        <v>690487</v>
      </c>
      <c r="AX84" s="39">
        <f t="shared" si="35"/>
        <v>1.4494107290568072</v>
      </c>
      <c r="AY84" s="39">
        <f t="shared" si="35"/>
        <v>0.97850502616269386</v>
      </c>
      <c r="AZ84" s="39">
        <f t="shared" si="36"/>
        <v>1.3254458022713058</v>
      </c>
      <c r="BA84" s="18">
        <f t="shared" si="21"/>
        <v>3.4282658479280533E-2</v>
      </c>
      <c r="BB84" s="20">
        <f t="shared" si="22"/>
        <v>2.1946438542994547E-2</v>
      </c>
      <c r="BC84" s="17">
        <f t="shared" si="37"/>
        <v>868471.2782842801</v>
      </c>
      <c r="BD84" s="17">
        <f t="shared" si="37"/>
        <v>-14842</v>
      </c>
    </row>
    <row r="85" spans="1:56" ht="14.25" customHeight="1" x14ac:dyDescent="0.35">
      <c r="A85" s="19">
        <v>45740</v>
      </c>
      <c r="B85" s="17">
        <v>25627291</v>
      </c>
      <c r="C85" s="17">
        <f t="shared" si="23"/>
        <v>3390476.5517241377</v>
      </c>
      <c r="D85" s="18">
        <f>+Tabla22[[#This Row],[Share diario]]</f>
        <v>2.4680675887169143E-2</v>
      </c>
      <c r="E85" s="17">
        <f>+Tabla22[[#This Row],[Global 2026]]</f>
        <v>26759642</v>
      </c>
      <c r="F85" s="19">
        <v>46104</v>
      </c>
      <c r="G85" s="17">
        <f t="shared" si="24"/>
        <v>2868426.7151839002</v>
      </c>
      <c r="H85" s="17">
        <v>2206452.7151839002</v>
      </c>
      <c r="I85" s="17">
        <v>661974</v>
      </c>
      <c r="J85" s="17">
        <v>2606781</v>
      </c>
      <c r="K85" s="17">
        <f>+Tabla22[[#This Row],[Web + APP 2026]]</f>
        <v>3611779</v>
      </c>
      <c r="L85" s="17">
        <v>17396.551724137898</v>
      </c>
      <c r="M85" s="17">
        <f>+Tabla22[[#This Row],[Afiliados 2026]]</f>
        <v>23259</v>
      </c>
      <c r="N85" s="17">
        <v>77734</v>
      </c>
      <c r="O85" s="17">
        <f>+Tabla22[[#This Row],[TMK 2026]]</f>
        <v>34041</v>
      </c>
      <c r="P85" s="17">
        <v>0</v>
      </c>
      <c r="Q85" s="17">
        <f>+Tabla22[[#This Row],[WA 2026]]</f>
        <v>886</v>
      </c>
      <c r="R85" s="17">
        <v>41412</v>
      </c>
      <c r="S85" s="17">
        <f>+Tabla22[[#This Row],[Ent. en Tienda 2026]]</f>
        <v>101609</v>
      </c>
      <c r="T85" s="17">
        <v>451453</v>
      </c>
      <c r="U85" s="17">
        <f>+Tabla22[[#This Row],[Meli Drop 2026]]</f>
        <v>93872</v>
      </c>
      <c r="V85" s="17">
        <v>167225</v>
      </c>
      <c r="W85" s="17">
        <f>+Tabla22[[#This Row],[Meli Full 2026]]</f>
        <v>11647</v>
      </c>
      <c r="X85" s="17">
        <v>21788</v>
      </c>
      <c r="Y85" s="17">
        <f>+Tabla22[[#This Row],[Amazon Drop 2026]]</f>
        <v>13189</v>
      </c>
      <c r="Z85" s="17">
        <v>6687</v>
      </c>
      <c r="AA85" s="17">
        <f>+Tabla22[[#This Row],[Amazon Full 2026]]</f>
        <v>8934</v>
      </c>
      <c r="AB85" s="17">
        <v>0</v>
      </c>
      <c r="AC85" s="17">
        <f>+Tabla22[[#This Row],[TikTok 2026]]</f>
        <v>0</v>
      </c>
      <c r="AD85" s="17">
        <v>0</v>
      </c>
      <c r="AE85" s="17">
        <f>+Tabla22[[#This Row],[Shein 2026]]</f>
        <v>861</v>
      </c>
      <c r="AF85" s="17">
        <f t="shared" si="25"/>
        <v>3900077</v>
      </c>
      <c r="AG85" s="18">
        <f t="shared" si="26"/>
        <v>1.3596571874592789</v>
      </c>
      <c r="AH85" s="17">
        <f t="shared" si="27"/>
        <v>1031650.2848160998</v>
      </c>
      <c r="AI85" s="20">
        <f t="shared" si="28"/>
        <v>0.15030348698819895</v>
      </c>
      <c r="AJ85" s="20">
        <f t="shared" si="29"/>
        <v>0.13229945185092476</v>
      </c>
      <c r="AK85" s="21">
        <f t="shared" si="30"/>
        <v>0.14574473754170553</v>
      </c>
      <c r="AL85" s="21">
        <f t="shared" si="31"/>
        <v>4.4185356930625197E-2</v>
      </c>
      <c r="AO85" s="38">
        <f t="shared" si="32"/>
        <v>46104</v>
      </c>
      <c r="AP85" s="17">
        <f>Tabla2[[#This Row],[Web + APP 2025]]+Tabla2[[#This Row],[Afiliados 2025]]+Tabla2[[#This Row],[TMK 2025]]+Tabla2[[#This Row],[WA 2025]]+Tabla2[[#This Row],[Ent. en Tienda 2025]]</f>
        <v>2743323.5517241377</v>
      </c>
      <c r="AQ85" s="17">
        <f>Tabla2[[#This Row],[Meli Drop 2025]]+Tabla2[[#This Row],[Meli Full 2025]]+Tabla2[[#This Row],[Amazon Drop 2025]]+Tabla2[[#This Row],[Amazon Full 2025]]+Tabla2[[#This Row],[TikTok 2025]]+Tabla2[[#This Row],[Shein 2025]]</f>
        <v>647153</v>
      </c>
      <c r="AR85" s="17">
        <f>Tabla2[[#This Row],[Web + APP 2026]]+Tabla2[[#This Row],[Afiliados 2026]]+Tabla2[[#This Row],[TMK 2026]]+Tabla2[[#This Row],[WA 2026]]+Tabla2[[#This Row],[Ent. en Tienda 2026]]</f>
        <v>3771574</v>
      </c>
      <c r="AS85" s="17">
        <f>Tabla2[[#This Row],[Meli Drop 2026]]+Tabla2[[#This Row],[Meli Full 2026]]+Tabla2[[#This Row],[Amazon Drop 2026]]+Tabla2[[#This Row],[Amazon Full 2026]]+Tabla2[[#This Row],[TikTok 2026]]+Tabla2[[#This Row],[Shein 2026]]</f>
        <v>128503</v>
      </c>
      <c r="AT85" s="18">
        <f t="shared" si="33"/>
        <v>0.37481923983396781</v>
      </c>
      <c r="AU85" s="18">
        <f t="shared" si="33"/>
        <v>-0.80143335501805602</v>
      </c>
      <c r="AV85" s="17">
        <f t="shared" si="34"/>
        <v>2206452.7151839002</v>
      </c>
      <c r="AW85" s="17">
        <f t="shared" si="34"/>
        <v>661974</v>
      </c>
      <c r="AX85" s="39">
        <f t="shared" si="35"/>
        <v>1.7093382396303256</v>
      </c>
      <c r="AY85" s="39">
        <f t="shared" si="35"/>
        <v>0.19412091713571833</v>
      </c>
      <c r="AZ85" s="39">
        <f t="shared" si="36"/>
        <v>1.3596571874592789</v>
      </c>
      <c r="BA85" s="18">
        <f t="shared" si="21"/>
        <v>3.809306578741737E-2</v>
      </c>
      <c r="BB85" s="20">
        <f t="shared" si="22"/>
        <v>3.5821878338848714E-2</v>
      </c>
      <c r="BC85" s="17">
        <f t="shared" si="37"/>
        <v>1565121.2848160998</v>
      </c>
      <c r="BD85" s="17">
        <f t="shared" si="37"/>
        <v>-533471</v>
      </c>
    </row>
    <row r="86" spans="1:56" ht="14.25" customHeight="1" x14ac:dyDescent="0.35">
      <c r="A86" s="16">
        <v>45741</v>
      </c>
      <c r="B86" s="17">
        <v>28238109</v>
      </c>
      <c r="C86" s="17">
        <f t="shared" si="23"/>
        <v>3559691.7931034481</v>
      </c>
      <c r="D86" s="18">
        <f>+Tabla22[[#This Row],[Share diario]]</f>
        <v>3.6975029053207452E-2</v>
      </c>
      <c r="E86" s="17">
        <f>+Tabla22[[#This Row],[Global 2026]]</f>
        <v>30907085</v>
      </c>
      <c r="F86" s="19">
        <v>46105</v>
      </c>
      <c r="G86" s="17">
        <f t="shared" si="24"/>
        <v>4224181.7416150905</v>
      </c>
      <c r="H86" s="17">
        <v>3601462.7416150901</v>
      </c>
      <c r="I86" s="17">
        <v>622719</v>
      </c>
      <c r="J86" s="17">
        <v>2806584</v>
      </c>
      <c r="K86" s="17">
        <f>+Tabla22[[#This Row],[Web + APP 2026]]</f>
        <v>3876733</v>
      </c>
      <c r="L86" s="17">
        <v>19038.793103448301</v>
      </c>
      <c r="M86" s="17">
        <f>+Tabla22[[#This Row],[Afiliados 2026]]</f>
        <v>20599</v>
      </c>
      <c r="N86" s="17">
        <v>62901</v>
      </c>
      <c r="O86" s="17">
        <f>+Tabla22[[#This Row],[TMK 2026]]</f>
        <v>29088</v>
      </c>
      <c r="P86" s="17">
        <v>2386</v>
      </c>
      <c r="Q86" s="17">
        <f>+Tabla22[[#This Row],[WA 2026]]</f>
        <v>947</v>
      </c>
      <c r="R86" s="17">
        <v>32084</v>
      </c>
      <c r="S86" s="17">
        <f>+Tabla22[[#This Row],[Ent. en Tienda 2026]]</f>
        <v>88728</v>
      </c>
      <c r="T86" s="17">
        <v>450799</v>
      </c>
      <c r="U86" s="17">
        <f>+Tabla22[[#This Row],[Meli Drop 2026]]</f>
        <v>841416</v>
      </c>
      <c r="V86" s="17">
        <v>158470</v>
      </c>
      <c r="W86" s="17">
        <f>+Tabla22[[#This Row],[Meli Full 2026]]</f>
        <v>103320</v>
      </c>
      <c r="X86" s="17">
        <v>18507</v>
      </c>
      <c r="Y86" s="17">
        <f>+Tabla22[[#This Row],[Amazon Drop 2026]]</f>
        <v>8844</v>
      </c>
      <c r="Z86" s="17">
        <v>8922</v>
      </c>
      <c r="AA86" s="17">
        <f>+Tabla22[[#This Row],[Amazon Full 2026]]</f>
        <v>6800</v>
      </c>
      <c r="AB86" s="17">
        <v>0</v>
      </c>
      <c r="AC86" s="17">
        <f>+Tabla22[[#This Row],[TikTok 2026]]</f>
        <v>0</v>
      </c>
      <c r="AD86" s="17">
        <v>0</v>
      </c>
      <c r="AE86" s="17">
        <f>+Tabla22[[#This Row],[Shein 2026]]</f>
        <v>0</v>
      </c>
      <c r="AF86" s="17">
        <f t="shared" si="25"/>
        <v>4976475</v>
      </c>
      <c r="AG86" s="18">
        <f t="shared" si="26"/>
        <v>1.1780920671508026</v>
      </c>
      <c r="AH86" s="17">
        <f t="shared" si="27"/>
        <v>752293.25838490948</v>
      </c>
      <c r="AI86" s="20">
        <f t="shared" si="28"/>
        <v>0.39800726839369349</v>
      </c>
      <c r="AJ86" s="20">
        <f t="shared" si="29"/>
        <v>0.12605985029321362</v>
      </c>
      <c r="AK86" s="21">
        <f t="shared" si="30"/>
        <v>0.16101405227959867</v>
      </c>
      <c r="AL86" s="21">
        <f t="shared" si="31"/>
        <v>9.451681059804673E-2</v>
      </c>
      <c r="AO86" s="38">
        <f t="shared" si="32"/>
        <v>46105</v>
      </c>
      <c r="AP86" s="17">
        <f>Tabla2[[#This Row],[Web + APP 2025]]+Tabla2[[#This Row],[Afiliados 2025]]+Tabla2[[#This Row],[TMK 2025]]+Tabla2[[#This Row],[WA 2025]]+Tabla2[[#This Row],[Ent. en Tienda 2025]]</f>
        <v>2922993.7931034481</v>
      </c>
      <c r="AQ86" s="17">
        <f>Tabla2[[#This Row],[Meli Drop 2025]]+Tabla2[[#This Row],[Meli Full 2025]]+Tabla2[[#This Row],[Amazon Drop 2025]]+Tabla2[[#This Row],[Amazon Full 2025]]+Tabla2[[#This Row],[TikTok 2025]]+Tabla2[[#This Row],[Shein 2025]]</f>
        <v>636698</v>
      </c>
      <c r="AR86" s="17">
        <f>Tabla2[[#This Row],[Web + APP 2026]]+Tabla2[[#This Row],[Afiliados 2026]]+Tabla2[[#This Row],[TMK 2026]]+Tabla2[[#This Row],[WA 2026]]+Tabla2[[#This Row],[Ent. en Tienda 2026]]</f>
        <v>4016095</v>
      </c>
      <c r="AS86" s="17">
        <f>Tabla2[[#This Row],[Meli Drop 2026]]+Tabla2[[#This Row],[Meli Full 2026]]+Tabla2[[#This Row],[Amazon Drop 2026]]+Tabla2[[#This Row],[Amazon Full 2026]]+Tabla2[[#This Row],[TikTok 2026]]+Tabla2[[#This Row],[Shein 2026]]</f>
        <v>960380</v>
      </c>
      <c r="AT86" s="18">
        <f t="shared" si="33"/>
        <v>0.3739663113468219</v>
      </c>
      <c r="AU86" s="18">
        <f t="shared" si="33"/>
        <v>0.50837602756722977</v>
      </c>
      <c r="AV86" s="17">
        <f t="shared" si="34"/>
        <v>3601462.7416150901</v>
      </c>
      <c r="AW86" s="17">
        <f t="shared" si="34"/>
        <v>622719</v>
      </c>
      <c r="AX86" s="39">
        <f t="shared" si="35"/>
        <v>1.1151288485075279</v>
      </c>
      <c r="AY86" s="39">
        <f t="shared" si="35"/>
        <v>1.5422365465001069</v>
      </c>
      <c r="AZ86" s="39">
        <f t="shared" si="36"/>
        <v>1.1780920671508026</v>
      </c>
      <c r="BA86" s="18">
        <f t="shared" si="21"/>
        <v>3.7477657989249936E-2</v>
      </c>
      <c r="BB86" s="20">
        <f t="shared" si="22"/>
        <v>3.8167983494311046E-2</v>
      </c>
      <c r="BC86" s="17">
        <f t="shared" si="37"/>
        <v>414632.25838490995</v>
      </c>
      <c r="BD86" s="17">
        <f t="shared" si="37"/>
        <v>337661</v>
      </c>
    </row>
    <row r="87" spans="1:56" ht="14.25" customHeight="1" x14ac:dyDescent="0.35">
      <c r="A87" s="19">
        <v>45742</v>
      </c>
      <c r="B87" s="17">
        <v>30324337</v>
      </c>
      <c r="C87" s="17">
        <f t="shared" si="23"/>
        <v>3168052.4482758623</v>
      </c>
      <c r="D87" s="18">
        <f>+Tabla22[[#This Row],[Share diario]]</f>
        <v>3.8820415201966926E-2</v>
      </c>
      <c r="E87" s="17">
        <f>+Tabla22[[#This Row],[Global 2026]]</f>
        <v>33708145</v>
      </c>
      <c r="F87" s="19">
        <v>46106</v>
      </c>
      <c r="G87" s="17">
        <f t="shared" si="24"/>
        <v>4405341.64100309</v>
      </c>
      <c r="H87" s="17">
        <v>3837335.64100309</v>
      </c>
      <c r="I87" s="17">
        <v>568006</v>
      </c>
      <c r="J87" s="17">
        <v>2785242</v>
      </c>
      <c r="K87" s="17">
        <f>+Tabla22[[#This Row],[Web + APP 2026]]</f>
        <v>3689993</v>
      </c>
      <c r="L87" s="17">
        <v>19578.448275862102</v>
      </c>
      <c r="M87" s="17">
        <f>+Tabla22[[#This Row],[Afiliados 2026]]</f>
        <v>23278</v>
      </c>
      <c r="N87" s="17">
        <v>70468</v>
      </c>
      <c r="O87" s="17">
        <f>+Tabla22[[#This Row],[TMK 2026]]</f>
        <v>52915</v>
      </c>
      <c r="P87" s="17">
        <v>7635</v>
      </c>
      <c r="Q87" s="17">
        <f>+Tabla22[[#This Row],[WA 2026]]</f>
        <v>0</v>
      </c>
      <c r="R87" s="17">
        <v>17001</v>
      </c>
      <c r="S87" s="17">
        <f>+Tabla22[[#This Row],[Ent. en Tienda 2026]]</f>
        <v>73771</v>
      </c>
      <c r="T87" s="17">
        <v>173023</v>
      </c>
      <c r="U87" s="17">
        <f>+Tabla22[[#This Row],[Meli Drop 2026]]</f>
        <v>430352</v>
      </c>
      <c r="V87" s="17">
        <v>64342</v>
      </c>
      <c r="W87" s="17">
        <f>+Tabla22[[#This Row],[Meli Full 2026]]</f>
        <v>73055</v>
      </c>
      <c r="X87" s="17">
        <v>22411</v>
      </c>
      <c r="Y87" s="17">
        <f>+Tabla22[[#This Row],[Amazon Drop 2026]]</f>
        <v>18886</v>
      </c>
      <c r="Z87" s="17">
        <v>8352</v>
      </c>
      <c r="AA87" s="17">
        <f>+Tabla22[[#This Row],[Amazon Full 2026]]</f>
        <v>10282</v>
      </c>
      <c r="AB87" s="17">
        <v>0</v>
      </c>
      <c r="AC87" s="17">
        <f>+Tabla22[[#This Row],[TikTok 2026]]</f>
        <v>1344</v>
      </c>
      <c r="AD87" s="17">
        <v>0</v>
      </c>
      <c r="AE87" s="17">
        <f>+Tabla22[[#This Row],[Shein 2026]]</f>
        <v>861</v>
      </c>
      <c r="AF87" s="17">
        <f t="shared" si="25"/>
        <v>4374737</v>
      </c>
      <c r="AG87" s="18">
        <f t="shared" si="26"/>
        <v>0.99305283369665709</v>
      </c>
      <c r="AH87" s="17">
        <f t="shared" si="27"/>
        <v>-30604.641003089957</v>
      </c>
      <c r="AI87" s="20">
        <f t="shared" si="28"/>
        <v>0.38089159552293639</v>
      </c>
      <c r="AJ87" s="20">
        <f t="shared" si="29"/>
        <v>0.10447227414323559</v>
      </c>
      <c r="AK87" s="21">
        <f t="shared" si="30"/>
        <v>0.12978278691989725</v>
      </c>
      <c r="AL87" s="21">
        <f t="shared" si="31"/>
        <v>0.11158720469304906</v>
      </c>
      <c r="AO87" s="38">
        <f t="shared" si="32"/>
        <v>46106</v>
      </c>
      <c r="AP87" s="17">
        <f>Tabla2[[#This Row],[Web + APP 2025]]+Tabla2[[#This Row],[Afiliados 2025]]+Tabla2[[#This Row],[TMK 2025]]+Tabla2[[#This Row],[WA 2025]]+Tabla2[[#This Row],[Ent. en Tienda 2025]]</f>
        <v>2899924.4482758623</v>
      </c>
      <c r="AQ87" s="17">
        <f>Tabla2[[#This Row],[Meli Drop 2025]]+Tabla2[[#This Row],[Meli Full 2025]]+Tabla2[[#This Row],[Amazon Drop 2025]]+Tabla2[[#This Row],[Amazon Full 2025]]+Tabla2[[#This Row],[TikTok 2025]]+Tabla2[[#This Row],[Shein 2025]]</f>
        <v>268128</v>
      </c>
      <c r="AR87" s="17">
        <f>Tabla2[[#This Row],[Web + APP 2026]]+Tabla2[[#This Row],[Afiliados 2026]]+Tabla2[[#This Row],[TMK 2026]]+Tabla2[[#This Row],[WA 2026]]+Tabla2[[#This Row],[Ent. en Tienda 2026]]</f>
        <v>3839957</v>
      </c>
      <c r="AS87" s="17">
        <f>Tabla2[[#This Row],[Meli Drop 2026]]+Tabla2[[#This Row],[Meli Full 2026]]+Tabla2[[#This Row],[Amazon Drop 2026]]+Tabla2[[#This Row],[Amazon Full 2026]]+Tabla2[[#This Row],[TikTok 2026]]+Tabla2[[#This Row],[Shein 2026]]</f>
        <v>534780</v>
      </c>
      <c r="AT87" s="18">
        <f t="shared" si="33"/>
        <v>0.32415760082405942</v>
      </c>
      <c r="AU87" s="18">
        <f t="shared" si="33"/>
        <v>0.9944951664876478</v>
      </c>
      <c r="AV87" s="17">
        <f t="shared" si="34"/>
        <v>3837335.64100309</v>
      </c>
      <c r="AW87" s="17">
        <f t="shared" si="34"/>
        <v>568006</v>
      </c>
      <c r="AX87" s="39">
        <f t="shared" si="35"/>
        <v>1.000683119550164</v>
      </c>
      <c r="AY87" s="39">
        <f t="shared" si="35"/>
        <v>0.94150413904078478</v>
      </c>
      <c r="AZ87" s="39">
        <f t="shared" si="36"/>
        <v>0.99305283369665709</v>
      </c>
      <c r="BA87" s="18">
        <f t="shared" si="21"/>
        <v>1.5782693649644897E-2</v>
      </c>
      <c r="BB87" s="20">
        <f t="shared" si="22"/>
        <v>3.7866747694672555E-2</v>
      </c>
      <c r="BC87" s="17">
        <f t="shared" si="37"/>
        <v>2621.3589969100431</v>
      </c>
      <c r="BD87" s="17">
        <f t="shared" si="37"/>
        <v>-33226</v>
      </c>
    </row>
    <row r="88" spans="1:56" ht="14.25" customHeight="1" x14ac:dyDescent="0.35">
      <c r="A88" s="16">
        <v>45743</v>
      </c>
      <c r="B88" s="17">
        <v>35440224</v>
      </c>
      <c r="C88" s="17">
        <f t="shared" si="23"/>
        <v>3161046.5517241377</v>
      </c>
      <c r="D88" s="18">
        <f>+Tabla22[[#This Row],[Share diario]]</f>
        <v>3.4549370724158861E-2</v>
      </c>
      <c r="E88" s="17">
        <f>+Tabla22[[#This Row],[Global 2026]]</f>
        <v>38132226</v>
      </c>
      <c r="F88" s="19">
        <v>46107</v>
      </c>
      <c r="G88" s="17">
        <f t="shared" si="24"/>
        <v>4399478.9731613202</v>
      </c>
      <c r="H88" s="17">
        <v>3807049.9731613202</v>
      </c>
      <c r="I88" s="17">
        <v>592429</v>
      </c>
      <c r="J88" s="17">
        <v>2131767</v>
      </c>
      <c r="K88" s="17">
        <f>+Tabla22[[#This Row],[Web + APP 2026]]</f>
        <v>3046332</v>
      </c>
      <c r="L88" s="17">
        <v>19721.551724137898</v>
      </c>
      <c r="M88" s="17">
        <f>+Tabla22[[#This Row],[Afiliados 2026]]</f>
        <v>22864</v>
      </c>
      <c r="N88" s="17">
        <v>37713</v>
      </c>
      <c r="O88" s="17">
        <f>+Tabla22[[#This Row],[TMK 2026]]</f>
        <v>69528</v>
      </c>
      <c r="P88" s="17">
        <v>4760</v>
      </c>
      <c r="Q88" s="17">
        <f>+Tabla22[[#This Row],[WA 2026]]</f>
        <v>0</v>
      </c>
      <c r="R88" s="17">
        <v>39979</v>
      </c>
      <c r="S88" s="17">
        <f>+Tabla22[[#This Row],[Ent. en Tienda 2026]]</f>
        <v>94127</v>
      </c>
      <c r="T88" s="17">
        <v>694821</v>
      </c>
      <c r="U88" s="17">
        <f>+Tabla22[[#This Row],[Meli Drop 2026]]</f>
        <v>361861</v>
      </c>
      <c r="V88" s="17">
        <v>205802</v>
      </c>
      <c r="W88" s="17">
        <f>+Tabla22[[#This Row],[Meli Full 2026]]</f>
        <v>94556</v>
      </c>
      <c r="X88" s="17">
        <v>13403</v>
      </c>
      <c r="Y88" s="17">
        <f>+Tabla22[[#This Row],[Amazon Drop 2026]]</f>
        <v>18197</v>
      </c>
      <c r="Z88" s="17">
        <v>13080</v>
      </c>
      <c r="AA88" s="17">
        <f>+Tabla22[[#This Row],[Amazon Full 2026]]</f>
        <v>9810</v>
      </c>
      <c r="AB88" s="17">
        <v>0</v>
      </c>
      <c r="AC88" s="17">
        <f>+Tabla22[[#This Row],[TikTok 2026]]</f>
        <v>516</v>
      </c>
      <c r="AD88" s="17">
        <v>0</v>
      </c>
      <c r="AE88" s="17">
        <f>+Tabla22[[#This Row],[Shein 2026]]</f>
        <v>0</v>
      </c>
      <c r="AF88" s="17">
        <f t="shared" si="25"/>
        <v>3717791</v>
      </c>
      <c r="AG88" s="18">
        <f t="shared" si="26"/>
        <v>0.84505256706080312</v>
      </c>
      <c r="AH88" s="17">
        <f t="shared" si="27"/>
        <v>-681687.9731613202</v>
      </c>
      <c r="AI88" s="20">
        <f t="shared" si="28"/>
        <v>0.1761266210939525</v>
      </c>
      <c r="AJ88" s="20">
        <f t="shared" si="29"/>
        <v>8.9193752040735916E-2</v>
      </c>
      <c r="AK88" s="21">
        <f t="shared" si="30"/>
        <v>9.7497350403829036E-2</v>
      </c>
      <c r="AL88" s="21">
        <f t="shared" si="31"/>
        <v>7.5958944277553009E-2</v>
      </c>
      <c r="AO88" s="38">
        <f t="shared" si="32"/>
        <v>46107</v>
      </c>
      <c r="AP88" s="17">
        <f>Tabla2[[#This Row],[Web + APP 2025]]+Tabla2[[#This Row],[Afiliados 2025]]+Tabla2[[#This Row],[TMK 2025]]+Tabla2[[#This Row],[WA 2025]]+Tabla2[[#This Row],[Ent. en Tienda 2025]]</f>
        <v>2233940.5517241377</v>
      </c>
      <c r="AQ88" s="17">
        <f>Tabla2[[#This Row],[Meli Drop 2025]]+Tabla2[[#This Row],[Meli Full 2025]]+Tabla2[[#This Row],[Amazon Drop 2025]]+Tabla2[[#This Row],[Amazon Full 2025]]+Tabla2[[#This Row],[TikTok 2025]]+Tabla2[[#This Row],[Shein 2025]]</f>
        <v>927106</v>
      </c>
      <c r="AR88" s="17">
        <f>Tabla2[[#This Row],[Web + APP 2026]]+Tabla2[[#This Row],[Afiliados 2026]]+Tabla2[[#This Row],[TMK 2026]]+Tabla2[[#This Row],[WA 2026]]+Tabla2[[#This Row],[Ent. en Tienda 2026]]</f>
        <v>3232851</v>
      </c>
      <c r="AS88" s="17">
        <f>Tabla2[[#This Row],[Meli Drop 2026]]+Tabla2[[#This Row],[Meli Full 2026]]+Tabla2[[#This Row],[Amazon Drop 2026]]+Tabla2[[#This Row],[Amazon Full 2026]]+Tabla2[[#This Row],[TikTok 2026]]+Tabla2[[#This Row],[Shein 2026]]</f>
        <v>484940</v>
      </c>
      <c r="AT88" s="18">
        <f t="shared" si="33"/>
        <v>0.44715175947941455</v>
      </c>
      <c r="AU88" s="18">
        <f t="shared" si="33"/>
        <v>-0.47693144041781632</v>
      </c>
      <c r="AV88" s="17">
        <f t="shared" si="34"/>
        <v>3807049.9731613202</v>
      </c>
      <c r="AW88" s="17">
        <f t="shared" si="34"/>
        <v>592429</v>
      </c>
      <c r="AX88" s="39">
        <f t="shared" si="35"/>
        <v>0.84917482638545105</v>
      </c>
      <c r="AY88" s="39">
        <f t="shared" si="35"/>
        <v>0.81856222433405523</v>
      </c>
      <c r="AZ88" s="39">
        <f t="shared" si="36"/>
        <v>0.84505256706080312</v>
      </c>
      <c r="BA88" s="18">
        <f t="shared" si="21"/>
        <v>5.4571808907490756E-2</v>
      </c>
      <c r="BB88" s="20">
        <f t="shared" si="22"/>
        <v>2.9170436935806853E-2</v>
      </c>
      <c r="BC88" s="17">
        <f t="shared" si="37"/>
        <v>-574198.9731613202</v>
      </c>
      <c r="BD88" s="17">
        <f t="shared" si="37"/>
        <v>-107489</v>
      </c>
    </row>
    <row r="89" spans="1:56" ht="14.25" customHeight="1" x14ac:dyDescent="0.35">
      <c r="A89" s="19">
        <v>45744</v>
      </c>
      <c r="B89" s="17">
        <v>40613707</v>
      </c>
      <c r="C89" s="17">
        <f t="shared" si="23"/>
        <v>2460022.2068965519</v>
      </c>
      <c r="D89" s="18">
        <f>+Tabla22[[#This Row],[Share diario]]</f>
        <v>3.4472967532869409E-2</v>
      </c>
      <c r="E89" s="17">
        <f>+Tabla22[[#This Row],[Global 2026]]</f>
        <v>41924161</v>
      </c>
      <c r="F89" s="19">
        <v>46108</v>
      </c>
      <c r="G89" s="17">
        <f t="shared" si="24"/>
        <v>3519116.6175930798</v>
      </c>
      <c r="H89" s="17">
        <v>2932739.6175930798</v>
      </c>
      <c r="I89" s="17">
        <v>586377</v>
      </c>
      <c r="J89" s="17">
        <v>1774382</v>
      </c>
      <c r="K89" s="17">
        <f>+Tabla22[[#This Row],[Web + APP 2026]]</f>
        <v>2642807</v>
      </c>
      <c r="L89" s="17">
        <v>23261.206896551699</v>
      </c>
      <c r="M89" s="17">
        <f>+Tabla22[[#This Row],[Afiliados 2026]]</f>
        <v>23650</v>
      </c>
      <c r="N89" s="17">
        <v>33871</v>
      </c>
      <c r="O89" s="17">
        <f>+Tabla22[[#This Row],[TMK 2026]]</f>
        <v>-404</v>
      </c>
      <c r="P89" s="17">
        <v>4459</v>
      </c>
      <c r="Q89" s="17">
        <f>+Tabla22[[#This Row],[WA 2026]]</f>
        <v>0</v>
      </c>
      <c r="R89" s="17">
        <v>53653</v>
      </c>
      <c r="S89" s="17">
        <f>+Tabla22[[#This Row],[Ent. en Tienda 2026]]</f>
        <v>79044</v>
      </c>
      <c r="T89" s="17">
        <v>427289</v>
      </c>
      <c r="U89" s="17">
        <f>+Tabla22[[#This Row],[Meli Drop 2026]]</f>
        <v>434744</v>
      </c>
      <c r="V89" s="17">
        <v>115398</v>
      </c>
      <c r="W89" s="17">
        <f>+Tabla22[[#This Row],[Meli Full 2026]]</f>
        <v>76785</v>
      </c>
      <c r="X89" s="17">
        <v>14337</v>
      </c>
      <c r="Y89" s="17">
        <f>+Tabla22[[#This Row],[Amazon Drop 2026]]</f>
        <v>21103</v>
      </c>
      <c r="Z89" s="17">
        <v>13372</v>
      </c>
      <c r="AA89" s="17">
        <f>+Tabla22[[#This Row],[Amazon Full 2026]]</f>
        <v>17145</v>
      </c>
      <c r="AB89" s="17">
        <v>0</v>
      </c>
      <c r="AC89" s="17">
        <f>+Tabla22[[#This Row],[TikTok 2026]]</f>
        <v>1334</v>
      </c>
      <c r="AD89" s="17">
        <v>0</v>
      </c>
      <c r="AE89" s="17">
        <f>+Tabla22[[#This Row],[Shein 2026]]</f>
        <v>1894</v>
      </c>
      <c r="AF89" s="17">
        <f t="shared" si="25"/>
        <v>3298102</v>
      </c>
      <c r="AG89" s="18">
        <f t="shared" si="26"/>
        <v>0.93719599501529338</v>
      </c>
      <c r="AH89" s="17">
        <f t="shared" si="27"/>
        <v>-221014.61759307981</v>
      </c>
      <c r="AI89" s="20">
        <f t="shared" si="28"/>
        <v>0.34067976734272243</v>
      </c>
      <c r="AJ89" s="20">
        <f t="shared" si="29"/>
        <v>6.0571230468978166E-2</v>
      </c>
      <c r="AK89" s="21">
        <f t="shared" si="30"/>
        <v>7.8668288674876519E-2</v>
      </c>
      <c r="AL89" s="21">
        <f t="shared" si="31"/>
        <v>3.2266298666112858E-2</v>
      </c>
      <c r="AO89" s="38">
        <f t="shared" si="32"/>
        <v>46108</v>
      </c>
      <c r="AP89" s="17">
        <f>Tabla2[[#This Row],[Web + APP 2025]]+Tabla2[[#This Row],[Afiliados 2025]]+Tabla2[[#This Row],[TMK 2025]]+Tabla2[[#This Row],[WA 2025]]+Tabla2[[#This Row],[Ent. en Tienda 2025]]</f>
        <v>1889626.2068965517</v>
      </c>
      <c r="AQ89" s="17">
        <f>Tabla2[[#This Row],[Meli Drop 2025]]+Tabla2[[#This Row],[Meli Full 2025]]+Tabla2[[#This Row],[Amazon Drop 2025]]+Tabla2[[#This Row],[Amazon Full 2025]]+Tabla2[[#This Row],[TikTok 2025]]+Tabla2[[#This Row],[Shein 2025]]</f>
        <v>570396</v>
      </c>
      <c r="AR89" s="17">
        <f>Tabla2[[#This Row],[Web + APP 2026]]+Tabla2[[#This Row],[Afiliados 2026]]+Tabla2[[#This Row],[TMK 2026]]+Tabla2[[#This Row],[WA 2026]]+Tabla2[[#This Row],[Ent. en Tienda 2026]]</f>
        <v>2745097</v>
      </c>
      <c r="AS89" s="17">
        <f>Tabla2[[#This Row],[Meli Drop 2026]]+Tabla2[[#This Row],[Meli Full 2026]]+Tabla2[[#This Row],[Amazon Drop 2026]]+Tabla2[[#This Row],[Amazon Full 2026]]+Tabla2[[#This Row],[TikTok 2026]]+Tabla2[[#This Row],[Shein 2026]]</f>
        <v>553005</v>
      </c>
      <c r="AT89" s="18">
        <f t="shared" si="33"/>
        <v>0.45271958548269731</v>
      </c>
      <c r="AU89" s="18">
        <f t="shared" si="33"/>
        <v>-3.0489344245050787E-2</v>
      </c>
      <c r="AV89" s="17">
        <f t="shared" si="34"/>
        <v>2932739.6175930798</v>
      </c>
      <c r="AW89" s="17">
        <f t="shared" si="34"/>
        <v>586377</v>
      </c>
      <c r="AX89" s="39">
        <f t="shared" si="35"/>
        <v>0.93601797566090117</v>
      </c>
      <c r="AY89" s="39">
        <f t="shared" si="35"/>
        <v>0.94308780869645292</v>
      </c>
      <c r="AZ89" s="39">
        <f t="shared" si="36"/>
        <v>0.93719599501529338</v>
      </c>
      <c r="BA89" s="18">
        <f t="shared" si="21"/>
        <v>3.3574954227021614E-2</v>
      </c>
      <c r="BB89" s="20">
        <f t="shared" si="22"/>
        <v>2.4674435520668465E-2</v>
      </c>
      <c r="BC89" s="17">
        <f t="shared" si="37"/>
        <v>-187642.61759307981</v>
      </c>
      <c r="BD89" s="17">
        <f t="shared" si="37"/>
        <v>-33372</v>
      </c>
    </row>
    <row r="90" spans="1:56" ht="14.25" customHeight="1" x14ac:dyDescent="0.35">
      <c r="A90" s="16">
        <v>45745</v>
      </c>
      <c r="B90" s="17">
        <v>47440357</v>
      </c>
      <c r="C90" s="17">
        <f t="shared" si="23"/>
        <v>2090770.8620689656</v>
      </c>
      <c r="D90" s="18">
        <f>+Tabla22[[#This Row],[Share diario]]</f>
        <v>2.6827907871912731E-2</v>
      </c>
      <c r="E90" s="17">
        <f>+Tabla22[[#This Row],[Global 2026]]</f>
        <v>47742193</v>
      </c>
      <c r="F90" s="19">
        <v>46109</v>
      </c>
      <c r="G90" s="17">
        <f t="shared" si="24"/>
        <v>3000751.2837741398</v>
      </c>
      <c r="H90" s="17">
        <v>2480720.2837741398</v>
      </c>
      <c r="I90" s="17">
        <v>520031</v>
      </c>
      <c r="J90" s="17">
        <v>1413648</v>
      </c>
      <c r="K90" s="17">
        <f>+Tabla22[[#This Row],[Web + APP 2026]]</f>
        <v>2317287</v>
      </c>
      <c r="L90" s="17">
        <v>22200.8620689655</v>
      </c>
      <c r="M90" s="17">
        <f>+Tabla22[[#This Row],[Afiliados 2026]]</f>
        <v>27167</v>
      </c>
      <c r="N90" s="17">
        <v>26911</v>
      </c>
      <c r="O90" s="17">
        <f>+Tabla22[[#This Row],[TMK 2026]]</f>
        <v>17429</v>
      </c>
      <c r="P90" s="17">
        <v>3768</v>
      </c>
      <c r="Q90" s="17">
        <f>+Tabla22[[#This Row],[WA 2026]]</f>
        <v>4746</v>
      </c>
      <c r="R90" s="17">
        <v>63590</v>
      </c>
      <c r="S90" s="17">
        <f>+Tabla22[[#This Row],[Ent. en Tienda 2026]]</f>
        <v>201003</v>
      </c>
      <c r="T90" s="17">
        <v>438928</v>
      </c>
      <c r="U90" s="17">
        <f>+Tabla22[[#This Row],[Meli Drop 2026]]</f>
        <v>468826</v>
      </c>
      <c r="V90" s="17">
        <v>103627</v>
      </c>
      <c r="W90" s="17">
        <f>+Tabla22[[#This Row],[Meli Full 2026]]</f>
        <v>82721</v>
      </c>
      <c r="X90" s="17">
        <v>9571</v>
      </c>
      <c r="Y90" s="17">
        <f>+Tabla22[[#This Row],[Amazon Drop 2026]]</f>
        <v>18605</v>
      </c>
      <c r="Z90" s="17">
        <v>8527</v>
      </c>
      <c r="AA90" s="17">
        <f>+Tabla22[[#This Row],[Amazon Full 2026]]</f>
        <v>10400</v>
      </c>
      <c r="AB90" s="17">
        <v>0</v>
      </c>
      <c r="AC90" s="17">
        <f>+Tabla22[[#This Row],[TikTok 2026]]</f>
        <v>0</v>
      </c>
      <c r="AD90" s="17">
        <v>0</v>
      </c>
      <c r="AE90" s="17">
        <f>+Tabla22[[#This Row],[Shein 2026]]</f>
        <v>0</v>
      </c>
      <c r="AF90" s="17">
        <f t="shared" si="25"/>
        <v>3148184</v>
      </c>
      <c r="AG90" s="18">
        <f t="shared" si="26"/>
        <v>1.0491319347335009</v>
      </c>
      <c r="AH90" s="17">
        <f t="shared" si="27"/>
        <v>147432.71622586017</v>
      </c>
      <c r="AI90" s="20">
        <f t="shared" si="28"/>
        <v>0.5057527618711164</v>
      </c>
      <c r="AJ90" s="20">
        <f t="shared" si="29"/>
        <v>4.4071566790042614E-2</v>
      </c>
      <c r="AK90" s="21">
        <f t="shared" si="30"/>
        <v>6.5941336209670978E-2</v>
      </c>
      <c r="AL90" s="21">
        <f t="shared" si="31"/>
        <v>6.3624310415708596E-3</v>
      </c>
      <c r="AO90" s="38">
        <f t="shared" si="32"/>
        <v>46109</v>
      </c>
      <c r="AP90" s="17">
        <f>Tabla2[[#This Row],[Web + APP 2025]]+Tabla2[[#This Row],[Afiliados 2025]]+Tabla2[[#This Row],[TMK 2025]]+Tabla2[[#This Row],[WA 2025]]+Tabla2[[#This Row],[Ent. en Tienda 2025]]</f>
        <v>1530117.8620689656</v>
      </c>
      <c r="AQ90" s="17">
        <f>Tabla2[[#This Row],[Meli Drop 2025]]+Tabla2[[#This Row],[Meli Full 2025]]+Tabla2[[#This Row],[Amazon Drop 2025]]+Tabla2[[#This Row],[Amazon Full 2025]]+Tabla2[[#This Row],[TikTok 2025]]+Tabla2[[#This Row],[Shein 2025]]</f>
        <v>560653</v>
      </c>
      <c r="AR90" s="17">
        <f>Tabla2[[#This Row],[Web + APP 2026]]+Tabla2[[#This Row],[Afiliados 2026]]+Tabla2[[#This Row],[TMK 2026]]+Tabla2[[#This Row],[WA 2026]]+Tabla2[[#This Row],[Ent. en Tienda 2026]]</f>
        <v>2567632</v>
      </c>
      <c r="AS90" s="17">
        <f>Tabla2[[#This Row],[Meli Drop 2026]]+Tabla2[[#This Row],[Meli Full 2026]]+Tabla2[[#This Row],[Amazon Drop 2026]]+Tabla2[[#This Row],[Amazon Full 2026]]+Tabla2[[#This Row],[TikTok 2026]]+Tabla2[[#This Row],[Shein 2026]]</f>
        <v>580552</v>
      </c>
      <c r="AT90" s="18">
        <f t="shared" si="33"/>
        <v>0.67806158182360443</v>
      </c>
      <c r="AU90" s="18">
        <f t="shared" si="33"/>
        <v>3.5492541732586869E-2</v>
      </c>
      <c r="AV90" s="17">
        <f t="shared" si="34"/>
        <v>2480720.2837741398</v>
      </c>
      <c r="AW90" s="17">
        <f t="shared" si="34"/>
        <v>520031</v>
      </c>
      <c r="AX90" s="39">
        <f t="shared" si="35"/>
        <v>1.0350348714421094</v>
      </c>
      <c r="AY90" s="39">
        <f t="shared" si="35"/>
        <v>1.1163796004468964</v>
      </c>
      <c r="AZ90" s="39">
        <f t="shared" si="36"/>
        <v>1.0491319347335009</v>
      </c>
      <c r="BA90" s="18">
        <f t="shared" si="21"/>
        <v>3.3001456553416131E-2</v>
      </c>
      <c r="BB90" s="20">
        <f t="shared" si="22"/>
        <v>1.9980033293807233E-2</v>
      </c>
      <c r="BC90" s="17">
        <f t="shared" si="37"/>
        <v>86911.716225860175</v>
      </c>
      <c r="BD90" s="17">
        <f t="shared" si="37"/>
        <v>60521</v>
      </c>
    </row>
    <row r="91" spans="1:56" ht="14.25" customHeight="1" x14ac:dyDescent="0.35">
      <c r="A91" s="19">
        <v>45746</v>
      </c>
      <c r="B91" s="17">
        <v>46369398</v>
      </c>
      <c r="C91" s="17">
        <f t="shared" si="23"/>
        <v>2405801.3448275859</v>
      </c>
      <c r="D91" s="18">
        <f>+Tabla22[[#This Row],[Share diario]]</f>
        <v>2.2801016963024712E-2</v>
      </c>
      <c r="E91" s="17">
        <f>+Tabla22[[#This Row],[Global 2026]]</f>
        <v>45273020</v>
      </c>
      <c r="F91" s="19">
        <v>46110</v>
      </c>
      <c r="G91" s="17">
        <f t="shared" si="24"/>
        <v>2598466.11398621</v>
      </c>
      <c r="H91" s="17">
        <v>2008754.11398621</v>
      </c>
      <c r="I91" s="17">
        <v>589712</v>
      </c>
      <c r="J91" s="17">
        <v>1746951</v>
      </c>
      <c r="K91" s="17">
        <f>+Tabla22[[#This Row],[Web + APP 2026]]</f>
        <v>2957998</v>
      </c>
      <c r="L91" s="17">
        <v>25310.344827586199</v>
      </c>
      <c r="M91" s="17">
        <f>+Tabla22[[#This Row],[Afiliados 2026]]</f>
        <v>26180</v>
      </c>
      <c r="N91" s="17">
        <v>1629</v>
      </c>
      <c r="O91" s="17">
        <f>+Tabla22[[#This Row],[TMK 2026]]</f>
        <v>-154</v>
      </c>
      <c r="P91" s="17">
        <v>3494</v>
      </c>
      <c r="Q91" s="17">
        <f>+Tabla22[[#This Row],[WA 2026]]</f>
        <v>550</v>
      </c>
      <c r="R91" s="17">
        <v>52783</v>
      </c>
      <c r="S91" s="17">
        <f>+Tabla22[[#This Row],[Ent. en Tienda 2026]]</f>
        <v>61517</v>
      </c>
      <c r="T91" s="17">
        <v>424195</v>
      </c>
      <c r="U91" s="17">
        <f>+Tabla22[[#This Row],[Meli Drop 2026]]</f>
        <v>431690</v>
      </c>
      <c r="V91" s="17">
        <v>120034</v>
      </c>
      <c r="W91" s="17">
        <f>+Tabla22[[#This Row],[Meli Full 2026]]</f>
        <v>77277</v>
      </c>
      <c r="X91" s="17">
        <v>20419</v>
      </c>
      <c r="Y91" s="17">
        <f>+Tabla22[[#This Row],[Amazon Drop 2026]]</f>
        <v>13682</v>
      </c>
      <c r="Z91" s="17">
        <v>10986</v>
      </c>
      <c r="AA91" s="17">
        <f>+Tabla22[[#This Row],[Amazon Full 2026]]</f>
        <v>3904</v>
      </c>
      <c r="AB91" s="17">
        <v>0</v>
      </c>
      <c r="AC91" s="17">
        <f>+Tabla22[[#This Row],[TikTok 2026]]</f>
        <v>0</v>
      </c>
      <c r="AD91" s="17">
        <v>0</v>
      </c>
      <c r="AE91" s="17">
        <f>+Tabla22[[#This Row],[Shein 2026]]</f>
        <v>904</v>
      </c>
      <c r="AF91" s="17">
        <f t="shared" si="25"/>
        <v>3573548</v>
      </c>
      <c r="AG91" s="18">
        <f t="shared" si="26"/>
        <v>1.3752528773669299</v>
      </c>
      <c r="AH91" s="17">
        <f t="shared" si="27"/>
        <v>975081.88601379003</v>
      </c>
      <c r="AI91" s="20">
        <f t="shared" si="28"/>
        <v>0.48538781378730245</v>
      </c>
      <c r="AJ91" s="20">
        <f t="shared" si="29"/>
        <v>5.1883385348836873E-2</v>
      </c>
      <c r="AK91" s="21">
        <f t="shared" si="30"/>
        <v>7.8933280792843064E-2</v>
      </c>
      <c r="AL91" s="21">
        <f t="shared" si="31"/>
        <v>-2.3644430320186594E-2</v>
      </c>
      <c r="AO91" s="38">
        <f t="shared" si="32"/>
        <v>46110</v>
      </c>
      <c r="AP91" s="17">
        <f>Tabla2[[#This Row],[Web + APP 2025]]+Tabla2[[#This Row],[Afiliados 2025]]+Tabla2[[#This Row],[TMK 2025]]+Tabla2[[#This Row],[WA 2025]]+Tabla2[[#This Row],[Ent. en Tienda 2025]]</f>
        <v>1830167.3448275861</v>
      </c>
      <c r="AQ91" s="17">
        <f>Tabla2[[#This Row],[Meli Drop 2025]]+Tabla2[[#This Row],[Meli Full 2025]]+Tabla2[[#This Row],[Amazon Drop 2025]]+Tabla2[[#This Row],[Amazon Full 2025]]+Tabla2[[#This Row],[TikTok 2025]]+Tabla2[[#This Row],[Shein 2025]]</f>
        <v>575634</v>
      </c>
      <c r="AR91" s="17">
        <f>Tabla2[[#This Row],[Web + APP 2026]]+Tabla2[[#This Row],[Afiliados 2026]]+Tabla2[[#This Row],[TMK 2026]]+Tabla2[[#This Row],[WA 2026]]+Tabla2[[#This Row],[Ent. en Tienda 2026]]</f>
        <v>3046091</v>
      </c>
      <c r="AS91" s="17">
        <f>Tabla2[[#This Row],[Meli Drop 2026]]+Tabla2[[#This Row],[Meli Full 2026]]+Tabla2[[#This Row],[Amazon Drop 2026]]+Tabla2[[#This Row],[Amazon Full 2026]]+Tabla2[[#This Row],[TikTok 2026]]+Tabla2[[#This Row],[Shein 2026]]</f>
        <v>527457</v>
      </c>
      <c r="AT91" s="18">
        <f t="shared" si="33"/>
        <v>0.66437840157560135</v>
      </c>
      <c r="AU91" s="18">
        <f t="shared" si="33"/>
        <v>-8.3693805438872615E-2</v>
      </c>
      <c r="AV91" s="17">
        <f t="shared" si="34"/>
        <v>2008754.11398621</v>
      </c>
      <c r="AW91" s="17">
        <f t="shared" si="34"/>
        <v>589712</v>
      </c>
      <c r="AX91" s="39">
        <f t="shared" si="35"/>
        <v>1.5164080953418828</v>
      </c>
      <c r="AY91" s="39">
        <f t="shared" si="35"/>
        <v>0.89443151911441521</v>
      </c>
      <c r="AZ91" s="39">
        <f t="shared" si="36"/>
        <v>1.3752528773669299</v>
      </c>
      <c r="BA91" s="18">
        <f t="shared" si="21"/>
        <v>3.3883276182717546E-2</v>
      </c>
      <c r="BB91" s="20">
        <f t="shared" si="22"/>
        <v>2.3898031249337714E-2</v>
      </c>
      <c r="BC91" s="17">
        <f t="shared" si="37"/>
        <v>1037336.88601379</v>
      </c>
      <c r="BD91" s="17">
        <f t="shared" si="37"/>
        <v>-62255</v>
      </c>
    </row>
    <row r="92" spans="1:56" ht="14.25" customHeight="1" x14ac:dyDescent="0.35">
      <c r="A92" s="16">
        <v>45747</v>
      </c>
      <c r="B92" s="17">
        <v>26611832</v>
      </c>
      <c r="C92" s="17">
        <f t="shared" si="23"/>
        <v>3399174.3103448278</v>
      </c>
      <c r="D92" s="18">
        <f>+Tabla22[[#This Row],[Share diario]]</f>
        <v>2.6236599269801774E-2</v>
      </c>
      <c r="E92" s="17">
        <f>+Tabla22[[#This Row],[Global 2026]]</f>
        <v>33370751</v>
      </c>
      <c r="F92" s="19">
        <v>46111</v>
      </c>
      <c r="G92" s="17">
        <f t="shared" si="24"/>
        <v>2961464.0918172901</v>
      </c>
      <c r="H92" s="17">
        <v>2402662.0918172901</v>
      </c>
      <c r="I92" s="17">
        <v>558802</v>
      </c>
      <c r="J92" s="17">
        <v>2655583</v>
      </c>
      <c r="K92" s="17">
        <f>+Tabla22[[#This Row],[Web + APP 2026]]</f>
        <v>3604617</v>
      </c>
      <c r="L92" s="17">
        <v>17754.310344827602</v>
      </c>
      <c r="M92" s="17">
        <f>+Tabla22[[#This Row],[Afiliados 2026]]</f>
        <v>22502</v>
      </c>
      <c r="N92" s="17">
        <v>51685</v>
      </c>
      <c r="O92" s="17">
        <f>+Tabla22[[#This Row],[TMK 2026]]</f>
        <v>35752</v>
      </c>
      <c r="P92" s="17">
        <v>2075</v>
      </c>
      <c r="Q92" s="17">
        <f>+Tabla22[[#This Row],[WA 2026]]</f>
        <v>1275</v>
      </c>
      <c r="R92" s="17">
        <v>59000</v>
      </c>
      <c r="S92" s="17">
        <f>+Tabla22[[#This Row],[Ent. en Tienda 2026]]</f>
        <v>167268</v>
      </c>
      <c r="T92" s="17">
        <v>466998</v>
      </c>
      <c r="U92" s="17">
        <f>+Tabla22[[#This Row],[Meli Drop 2026]]</f>
        <v>465162</v>
      </c>
      <c r="V92" s="17">
        <v>119148</v>
      </c>
      <c r="W92" s="17">
        <f>+Tabla22[[#This Row],[Meli Full 2026]]</f>
        <v>79652</v>
      </c>
      <c r="X92" s="17">
        <v>19608</v>
      </c>
      <c r="Y92" s="17">
        <f>+Tabla22[[#This Row],[Amazon Drop 2026]]</f>
        <v>21229</v>
      </c>
      <c r="Z92" s="17">
        <v>7323</v>
      </c>
      <c r="AA92" s="17">
        <f>+Tabla22[[#This Row],[Amazon Full 2026]]</f>
        <v>5239</v>
      </c>
      <c r="AB92" s="17">
        <v>0</v>
      </c>
      <c r="AC92" s="17">
        <f>+Tabla22[[#This Row],[TikTok 2026]]</f>
        <v>0</v>
      </c>
      <c r="AD92" s="17">
        <v>0</v>
      </c>
      <c r="AE92" s="17">
        <f>+Tabla22[[#This Row],[Shein 2026]]</f>
        <v>861</v>
      </c>
      <c r="AF92" s="17">
        <f t="shared" si="25"/>
        <v>4403557</v>
      </c>
      <c r="AG92" s="18">
        <f t="shared" si="26"/>
        <v>1.486952690788081</v>
      </c>
      <c r="AH92" s="17">
        <f t="shared" si="27"/>
        <v>1442092.9081827099</v>
      </c>
      <c r="AI92" s="20">
        <f t="shared" si="28"/>
        <v>0.29547843033483123</v>
      </c>
      <c r="AJ92" s="20">
        <f t="shared" si="29"/>
        <v>0.12773169131478163</v>
      </c>
      <c r="AK92" s="21">
        <f t="shared" si="30"/>
        <v>0.13195858253234996</v>
      </c>
      <c r="AL92" s="21">
        <f t="shared" si="31"/>
        <v>0.25398172512136696</v>
      </c>
      <c r="AO92" s="38">
        <f t="shared" si="32"/>
        <v>46111</v>
      </c>
      <c r="AP92" s="17">
        <f>Tabla2[[#This Row],[Web + APP 2025]]+Tabla2[[#This Row],[Afiliados 2025]]+Tabla2[[#This Row],[TMK 2025]]+Tabla2[[#This Row],[WA 2025]]+Tabla2[[#This Row],[Ent. en Tienda 2025]]</f>
        <v>2786097.3103448278</v>
      </c>
      <c r="AQ92" s="17">
        <f>Tabla2[[#This Row],[Meli Drop 2025]]+Tabla2[[#This Row],[Meli Full 2025]]+Tabla2[[#This Row],[Amazon Drop 2025]]+Tabla2[[#This Row],[Amazon Full 2025]]+Tabla2[[#This Row],[TikTok 2025]]+Tabla2[[#This Row],[Shein 2025]]</f>
        <v>613077</v>
      </c>
      <c r="AR92" s="17">
        <f>Tabla2[[#This Row],[Web + APP 2026]]+Tabla2[[#This Row],[Afiliados 2026]]+Tabla2[[#This Row],[TMK 2026]]+Tabla2[[#This Row],[WA 2026]]+Tabla2[[#This Row],[Ent. en Tienda 2026]]</f>
        <v>3831414</v>
      </c>
      <c r="AS92" s="17">
        <f>Tabla2[[#This Row],[Meli Drop 2026]]+Tabla2[[#This Row],[Meli Full 2026]]+Tabla2[[#This Row],[Amazon Drop 2026]]+Tabla2[[#This Row],[Amazon Full 2026]]+Tabla2[[#This Row],[TikTok 2026]]+Tabla2[[#This Row],[Shein 2026]]</f>
        <v>572143</v>
      </c>
      <c r="AT92" s="18">
        <f t="shared" si="33"/>
        <v>0.37519030142051868</v>
      </c>
      <c r="AU92" s="18">
        <f t="shared" si="33"/>
        <v>-6.6768122111904415E-2</v>
      </c>
      <c r="AV92" s="17">
        <f t="shared" si="34"/>
        <v>2402662.0918172901</v>
      </c>
      <c r="AW92" s="17">
        <f t="shared" si="34"/>
        <v>558802</v>
      </c>
      <c r="AX92" s="39">
        <f t="shared" si="35"/>
        <v>1.5946537022615825</v>
      </c>
      <c r="AY92" s="39">
        <f t="shared" si="35"/>
        <v>1.0238742882094194</v>
      </c>
      <c r="AZ92" s="39">
        <f t="shared" si="36"/>
        <v>1.486952690788081</v>
      </c>
      <c r="BA92" s="18">
        <f t="shared" si="21"/>
        <v>3.6087266061893365E-2</v>
      </c>
      <c r="BB92" s="20">
        <f t="shared" si="22"/>
        <v>3.6380411209112104E-2</v>
      </c>
      <c r="BC92" s="17">
        <f t="shared" si="37"/>
        <v>1428751.9081827099</v>
      </c>
      <c r="BD92" s="17">
        <f t="shared" si="37"/>
        <v>13341</v>
      </c>
    </row>
    <row r="93" spans="1:56" ht="14.25" customHeight="1" x14ac:dyDescent="0.35">
      <c r="A93" s="19">
        <v>45748</v>
      </c>
      <c r="B93" s="17">
        <v>29808124</v>
      </c>
      <c r="C93" s="17">
        <f t="shared" si="23"/>
        <v>3936832.0344827585</v>
      </c>
      <c r="D93" s="18">
        <f>+Tabla22[[#This Row],[Share diario]]</f>
        <v>3.7069882939612969E-2</v>
      </c>
      <c r="E93" s="17">
        <f>+Tabla22[[#This Row],[Global 2026]]</f>
        <v>38734445</v>
      </c>
      <c r="F93" s="19">
        <v>46112</v>
      </c>
      <c r="G93" s="17">
        <f t="shared" si="24"/>
        <v>4175603.56200366</v>
      </c>
      <c r="H93" s="17">
        <v>3657616.56200366</v>
      </c>
      <c r="I93" s="17">
        <v>517987</v>
      </c>
      <c r="J93" s="17">
        <v>3138536</v>
      </c>
      <c r="K93" s="17">
        <f>+Tabla22[[#This Row],[Web + APP 2026]]</f>
        <v>3283588</v>
      </c>
      <c r="L93" s="17">
        <v>22106.034482758601</v>
      </c>
      <c r="M93" s="17">
        <f>+Tabla22[[#This Row],[Afiliados 2026]]</f>
        <v>15779</v>
      </c>
      <c r="N93" s="17">
        <v>84893</v>
      </c>
      <c r="O93" s="17">
        <f>+Tabla22[[#This Row],[TMK 2026]]</f>
        <v>39244</v>
      </c>
      <c r="P93" s="17">
        <v>8872</v>
      </c>
      <c r="Q93" s="17">
        <f>+Tabla22[[#This Row],[WA 2026]]</f>
        <v>2701</v>
      </c>
      <c r="R93" s="17">
        <v>49545</v>
      </c>
      <c r="S93" s="17">
        <f>+Tabla22[[#This Row],[Ent. en Tienda 2026]]</f>
        <v>39379</v>
      </c>
      <c r="T93" s="17">
        <v>478988</v>
      </c>
      <c r="U93" s="17">
        <f>+Tabla22[[#This Row],[Meli Drop 2026]]</f>
        <v>507477</v>
      </c>
      <c r="V93" s="17">
        <v>121840</v>
      </c>
      <c r="W93" s="17">
        <f>+Tabla22[[#This Row],[Meli Full 2026]]</f>
        <v>107093</v>
      </c>
      <c r="X93" s="17">
        <v>21703</v>
      </c>
      <c r="Y93" s="17">
        <f>+Tabla22[[#This Row],[Amazon Drop 2026]]</f>
        <v>9535</v>
      </c>
      <c r="Z93" s="17">
        <v>10349</v>
      </c>
      <c r="AA93" s="17">
        <f>+Tabla22[[#This Row],[Amazon Full 2026]]</f>
        <v>7513</v>
      </c>
      <c r="AB93" s="17">
        <v>0</v>
      </c>
      <c r="AC93" s="17">
        <f>+Tabla22[[#This Row],[TikTok 2026]]</f>
        <v>0</v>
      </c>
      <c r="AD93" s="17">
        <v>0</v>
      </c>
      <c r="AE93" s="17">
        <f>+Tabla22[[#This Row],[Shein 2026]]</f>
        <v>0</v>
      </c>
      <c r="AF93" s="17">
        <f t="shared" si="25"/>
        <v>4012309</v>
      </c>
      <c r="AG93" s="18">
        <f t="shared" si="26"/>
        <v>0.96089318356522735</v>
      </c>
      <c r="AH93" s="17">
        <f t="shared" si="27"/>
        <v>-163294.56200366002</v>
      </c>
      <c r="AI93" s="20">
        <f t="shared" si="28"/>
        <v>1.9172005525289748E-2</v>
      </c>
      <c r="AJ93" s="20">
        <f t="shared" si="29"/>
        <v>0.13207245227786754</v>
      </c>
      <c r="AK93" s="21">
        <f t="shared" si="30"/>
        <v>0.10358503910408423</v>
      </c>
      <c r="AL93" s="21">
        <f t="shared" si="31"/>
        <v>0.29945933531409086</v>
      </c>
      <c r="AO93" s="38">
        <f t="shared" si="32"/>
        <v>46112</v>
      </c>
      <c r="AP93" s="17">
        <f>Tabla2[[#This Row],[Web + APP 2025]]+Tabla2[[#This Row],[Afiliados 2025]]+Tabla2[[#This Row],[TMK 2025]]+Tabla2[[#This Row],[WA 2025]]+Tabla2[[#This Row],[Ent. en Tienda 2025]]</f>
        <v>3303952.0344827585</v>
      </c>
      <c r="AQ93" s="17">
        <f>Tabla2[[#This Row],[Meli Drop 2025]]+Tabla2[[#This Row],[Meli Full 2025]]+Tabla2[[#This Row],[Amazon Drop 2025]]+Tabla2[[#This Row],[Amazon Full 2025]]+Tabla2[[#This Row],[TikTok 2025]]+Tabla2[[#This Row],[Shein 2025]]</f>
        <v>632880</v>
      </c>
      <c r="AR93" s="17">
        <f>Tabla2[[#This Row],[Web + APP 2026]]+Tabla2[[#This Row],[Afiliados 2026]]+Tabla2[[#This Row],[TMK 2026]]+Tabla2[[#This Row],[WA 2026]]+Tabla2[[#This Row],[Ent. en Tienda 2026]]</f>
        <v>3380691</v>
      </c>
      <c r="AS93" s="17">
        <f>Tabla2[[#This Row],[Meli Drop 2026]]+Tabla2[[#This Row],[Meli Full 2026]]+Tabla2[[#This Row],[Amazon Drop 2026]]+Tabla2[[#This Row],[Amazon Full 2026]]+Tabla2[[#This Row],[TikTok 2026]]+Tabla2[[#This Row],[Shein 2026]]</f>
        <v>631618</v>
      </c>
      <c r="AT93" s="18">
        <f t="shared" si="33"/>
        <v>2.3226416339078293E-2</v>
      </c>
      <c r="AU93" s="18">
        <f t="shared" si="33"/>
        <v>-1.9940589053216717E-3</v>
      </c>
      <c r="AV93" s="17">
        <f t="shared" si="34"/>
        <v>3657616.56200366</v>
      </c>
      <c r="AW93" s="17">
        <f t="shared" si="34"/>
        <v>517987</v>
      </c>
      <c r="AX93" s="39">
        <f t="shared" si="35"/>
        <v>0.92428797351793512</v>
      </c>
      <c r="AY93" s="39">
        <f t="shared" si="35"/>
        <v>1.2193703702988685</v>
      </c>
      <c r="AZ93" s="39">
        <f t="shared" si="36"/>
        <v>0.96089318356522735</v>
      </c>
      <c r="BA93" s="18">
        <f t="shared" si="21"/>
        <v>3.7252920832539914E-2</v>
      </c>
      <c r="BB93" s="20">
        <f t="shared" si="22"/>
        <v>4.3142475025320835E-2</v>
      </c>
      <c r="BC93" s="17">
        <f t="shared" si="37"/>
        <v>-276925.56200366002</v>
      </c>
      <c r="BD93" s="17">
        <f t="shared" si="37"/>
        <v>113631</v>
      </c>
    </row>
    <row r="94" spans="1:56" ht="14.25" customHeight="1" x14ac:dyDescent="0.35">
      <c r="A94" s="16">
        <v>45749</v>
      </c>
      <c r="B94" s="17">
        <v>33038734</v>
      </c>
      <c r="C94" s="17">
        <f t="shared" si="23"/>
        <v>4055303.8620689656</v>
      </c>
      <c r="D94" s="18">
        <f>+Tabla22[[#This Row],[Share diario]]</f>
        <v>4.7400183559419766E-2</v>
      </c>
      <c r="E94" s="17">
        <f>+Tabla22[[#This Row],[Global 2026]]</f>
        <v>43075503</v>
      </c>
      <c r="F94" s="19">
        <v>46113</v>
      </c>
      <c r="G94" s="17">
        <f t="shared" si="24"/>
        <v>3202889.1143756318</v>
      </c>
      <c r="H94" s="17">
        <v>2530915.7136566299</v>
      </c>
      <c r="I94" s="17">
        <v>671973.40071900201</v>
      </c>
      <c r="J94" s="17">
        <v>3224956</v>
      </c>
      <c r="K94" s="17">
        <f>+Tabla22[[#This Row],[Web + APP 2026]]</f>
        <v>2663655</v>
      </c>
      <c r="L94" s="17">
        <v>19000.8620689655</v>
      </c>
      <c r="M94" s="17">
        <f>+Tabla22[[#This Row],[Afiliados 2026]]</f>
        <v>25983</v>
      </c>
      <c r="N94" s="17">
        <v>53719</v>
      </c>
      <c r="O94" s="17">
        <f>+Tabla22[[#This Row],[TMK 2026]]</f>
        <v>48888</v>
      </c>
      <c r="P94" s="17">
        <v>3290</v>
      </c>
      <c r="Q94" s="17">
        <f>+Tabla22[[#This Row],[WA 2026]]</f>
        <v>71</v>
      </c>
      <c r="R94" s="17">
        <v>91562</v>
      </c>
      <c r="S94" s="17">
        <f>+Tabla22[[#This Row],[Ent. en Tienda 2026]]</f>
        <v>69713</v>
      </c>
      <c r="T94" s="17">
        <v>496250</v>
      </c>
      <c r="U94" s="17">
        <f>+Tabla22[[#This Row],[Meli Drop 2026]]</f>
        <v>295216</v>
      </c>
      <c r="V94" s="17">
        <v>140257</v>
      </c>
      <c r="W94" s="17">
        <f>+Tabla22[[#This Row],[Meli Full 2026]]</f>
        <v>108376</v>
      </c>
      <c r="X94" s="17">
        <v>19389</v>
      </c>
      <c r="Y94" s="17">
        <f>+Tabla22[[#This Row],[Amazon Drop 2026]]</f>
        <v>8989</v>
      </c>
      <c r="Z94" s="17">
        <v>6880</v>
      </c>
      <c r="AA94" s="17">
        <f>+Tabla22[[#This Row],[Amazon Full 2026]]</f>
        <v>5695</v>
      </c>
      <c r="AB94" s="17">
        <v>0</v>
      </c>
      <c r="AC94" s="17">
        <f>+Tabla22[[#This Row],[TikTok 2026]]</f>
        <v>0</v>
      </c>
      <c r="AD94" s="17">
        <v>0</v>
      </c>
      <c r="AE94" s="17">
        <f>+Tabla22[[#This Row],[Shein 2026]]</f>
        <v>1536</v>
      </c>
      <c r="AF94" s="17">
        <f t="shared" si="25"/>
        <v>3228122</v>
      </c>
      <c r="AG94" s="18">
        <f t="shared" si="26"/>
        <v>1.0078781639711205</v>
      </c>
      <c r="AH94" s="17">
        <f t="shared" si="27"/>
        <v>25232.885624368209</v>
      </c>
      <c r="AI94" s="20">
        <f t="shared" si="28"/>
        <v>-0.20397530991597446</v>
      </c>
      <c r="AJ94" s="20">
        <f t="shared" si="29"/>
        <v>0.12274392420935275</v>
      </c>
      <c r="AK94" s="21">
        <f t="shared" si="30"/>
        <v>7.4941016939488792E-2</v>
      </c>
      <c r="AL94" s="21">
        <f t="shared" si="31"/>
        <v>0.30378794175345813</v>
      </c>
      <c r="AO94" s="38">
        <f t="shared" si="32"/>
        <v>46113</v>
      </c>
      <c r="AP94" s="17">
        <f>Tabla2[[#This Row],[Web + APP 2025]]+Tabla2[[#This Row],[Afiliados 2025]]+Tabla2[[#This Row],[TMK 2025]]+Tabla2[[#This Row],[WA 2025]]+Tabla2[[#This Row],[Ent. en Tienda 2025]]</f>
        <v>3392527.8620689656</v>
      </c>
      <c r="AQ94" s="17">
        <f>Tabla2[[#This Row],[Meli Drop 2025]]+Tabla2[[#This Row],[Meli Full 2025]]+Tabla2[[#This Row],[Amazon Drop 2025]]+Tabla2[[#This Row],[Amazon Full 2025]]+Tabla2[[#This Row],[TikTok 2025]]+Tabla2[[#This Row],[Shein 2025]]</f>
        <v>662776</v>
      </c>
      <c r="AR94" s="17">
        <f>Tabla2[[#This Row],[Web + APP 2026]]+Tabla2[[#This Row],[Afiliados 2026]]+Tabla2[[#This Row],[TMK 2026]]+Tabla2[[#This Row],[WA 2026]]+Tabla2[[#This Row],[Ent. en Tienda 2026]]</f>
        <v>2808310</v>
      </c>
      <c r="AS94" s="17">
        <f>Tabla2[[#This Row],[Meli Drop 2026]]+Tabla2[[#This Row],[Meli Full 2026]]+Tabla2[[#This Row],[Amazon Drop 2026]]+Tabla2[[#This Row],[Amazon Full 2026]]+Tabla2[[#This Row],[TikTok 2026]]+Tabla2[[#This Row],[Shein 2026]]</f>
        <v>419812</v>
      </c>
      <c r="AT94" s="18">
        <f t="shared" si="33"/>
        <v>-0.17220724068355175</v>
      </c>
      <c r="AU94" s="18">
        <f t="shared" si="33"/>
        <v>-0.36658539234975318</v>
      </c>
      <c r="AV94" s="49">
        <f t="shared" si="34"/>
        <v>2530915.7136566299</v>
      </c>
      <c r="AW94" s="49">
        <f t="shared" si="34"/>
        <v>671973.40071900201</v>
      </c>
      <c r="AX94" s="39">
        <f t="shared" si="35"/>
        <v>1.1096023407048174</v>
      </c>
      <c r="AY94" s="39">
        <f t="shared" si="35"/>
        <v>0.62474496691506998</v>
      </c>
      <c r="AZ94" s="39">
        <f t="shared" si="36"/>
        <v>1.0078781639711205</v>
      </c>
      <c r="BA94" s="18">
        <f t="shared" ref="BA94:BA123" si="38">+AQ94/(SUM($AQ$94:$AQ$123))</f>
        <v>4.7519013312401652E-2</v>
      </c>
      <c r="BB94" s="20">
        <f t="shared" ref="BB94:BB123" si="39">+AP94/(SUM($AP$94:$AP$123))</f>
        <v>4.9851512801423352E-2</v>
      </c>
      <c r="BC94" s="17">
        <f t="shared" si="37"/>
        <v>277394.2863433701</v>
      </c>
      <c r="BD94" s="17">
        <f t="shared" si="37"/>
        <v>-252161.40071900201</v>
      </c>
    </row>
    <row r="95" spans="1:56" ht="14.25" customHeight="1" x14ac:dyDescent="0.35">
      <c r="A95" s="19">
        <v>45750</v>
      </c>
      <c r="B95" s="17">
        <v>37536410</v>
      </c>
      <c r="C95" s="17">
        <f t="shared" si="23"/>
        <v>3052607.3793103448</v>
      </c>
      <c r="D95" s="18">
        <f>+Tabla22[[#This Row],[Share diario]]</f>
        <v>4.882660620712715E-2</v>
      </c>
      <c r="E95" s="17">
        <f>+Tabla22[[#This Row],[Global 2026]]</f>
        <v>36898701</v>
      </c>
      <c r="F95" s="19">
        <v>46114</v>
      </c>
      <c r="G95" s="17">
        <f t="shared" si="24"/>
        <v>2492074.404775437</v>
      </c>
      <c r="H95" s="17">
        <v>1958190.40659514</v>
      </c>
      <c r="I95" s="17">
        <v>533883.99818029697</v>
      </c>
      <c r="J95" s="17">
        <v>2284246</v>
      </c>
      <c r="K95" s="17">
        <f>+Tabla22[[#This Row],[Web + APP 2026]]</f>
        <v>1732887</v>
      </c>
      <c r="L95" s="17">
        <v>20966.379310344801</v>
      </c>
      <c r="M95" s="17">
        <f>+Tabla22[[#This Row],[Afiliados 2026]]</f>
        <v>24716</v>
      </c>
      <c r="N95" s="17">
        <v>55138</v>
      </c>
      <c r="O95" s="17">
        <f>+Tabla22[[#This Row],[TMK 2026]]</f>
        <v>32881</v>
      </c>
      <c r="P95" s="17">
        <v>3034</v>
      </c>
      <c r="Q95" s="17">
        <f>+Tabla22[[#This Row],[WA 2026]]</f>
        <v>6045</v>
      </c>
      <c r="R95" s="17">
        <v>100239</v>
      </c>
      <c r="S95" s="17">
        <f>+Tabla22[[#This Row],[Ent. en Tienda 2026]]</f>
        <v>122827</v>
      </c>
      <c r="T95" s="17">
        <v>439577</v>
      </c>
      <c r="U95" s="17">
        <f>+Tabla22[[#This Row],[Meli Drop 2026]]</f>
        <v>244674</v>
      </c>
      <c r="V95" s="17">
        <v>113852</v>
      </c>
      <c r="W95" s="17">
        <f>+Tabla22[[#This Row],[Meli Full 2026]]</f>
        <v>97541</v>
      </c>
      <c r="X95" s="17">
        <v>26202</v>
      </c>
      <c r="Y95" s="17">
        <f>+Tabla22[[#This Row],[Amazon Drop 2026]]</f>
        <v>9445</v>
      </c>
      <c r="Z95" s="17">
        <v>9353</v>
      </c>
      <c r="AA95" s="17">
        <f>+Tabla22[[#This Row],[Amazon Full 2026]]</f>
        <v>7745</v>
      </c>
      <c r="AB95" s="17">
        <v>0</v>
      </c>
      <c r="AC95" s="17">
        <f>+Tabla22[[#This Row],[TikTok 2026]]</f>
        <v>-585</v>
      </c>
      <c r="AD95" s="17">
        <v>0</v>
      </c>
      <c r="AE95" s="17">
        <f>+Tabla22[[#This Row],[Shein 2026]]</f>
        <v>0</v>
      </c>
      <c r="AF95" s="17">
        <f t="shared" si="25"/>
        <v>2278176</v>
      </c>
      <c r="AG95" s="18">
        <f t="shared" si="26"/>
        <v>0.91416853190035008</v>
      </c>
      <c r="AH95" s="17">
        <f t="shared" si="27"/>
        <v>-213898.40477543697</v>
      </c>
      <c r="AI95" s="20">
        <f t="shared" si="28"/>
        <v>-0.25369504920914754</v>
      </c>
      <c r="AJ95" s="20">
        <f t="shared" si="29"/>
        <v>8.1323903359707142E-2</v>
      </c>
      <c r="AK95" s="21">
        <f t="shared" si="30"/>
        <v>6.1741360488544027E-2</v>
      </c>
      <c r="AL95" s="21">
        <f t="shared" si="31"/>
        <v>-1.698907807113148E-2</v>
      </c>
      <c r="AO95" s="38">
        <f t="shared" si="32"/>
        <v>46114</v>
      </c>
      <c r="AP95" s="17">
        <f>Tabla2[[#This Row],[Web + APP 2025]]+Tabla2[[#This Row],[Afiliados 2025]]+Tabla2[[#This Row],[TMK 2025]]+Tabla2[[#This Row],[WA 2025]]+Tabla2[[#This Row],[Ent. en Tienda 2025]]</f>
        <v>2463623.3793103448</v>
      </c>
      <c r="AQ95" s="17">
        <f>Tabla2[[#This Row],[Meli Drop 2025]]+Tabla2[[#This Row],[Meli Full 2025]]+Tabla2[[#This Row],[Amazon Drop 2025]]+Tabla2[[#This Row],[Amazon Full 2025]]+Tabla2[[#This Row],[TikTok 2025]]+Tabla2[[#This Row],[Shein 2025]]</f>
        <v>588984</v>
      </c>
      <c r="AR95" s="17">
        <f>Tabla2[[#This Row],[Web + APP 2026]]+Tabla2[[#This Row],[Afiliados 2026]]+Tabla2[[#This Row],[TMK 2026]]+Tabla2[[#This Row],[WA 2026]]+Tabla2[[#This Row],[Ent. en Tienda 2026]]</f>
        <v>1919356</v>
      </c>
      <c r="AS95" s="17">
        <f>Tabla2[[#This Row],[Meli Drop 2026]]+Tabla2[[#This Row],[Meli Full 2026]]+Tabla2[[#This Row],[Amazon Drop 2026]]+Tabla2[[#This Row],[Amazon Full 2026]]+Tabla2[[#This Row],[TikTok 2026]]+Tabla2[[#This Row],[Shein 2026]]</f>
        <v>358820</v>
      </c>
      <c r="AT95" s="18">
        <f t="shared" si="33"/>
        <v>-0.2209215028080731</v>
      </c>
      <c r="AU95" s="18">
        <f t="shared" si="33"/>
        <v>-0.39078141341700279</v>
      </c>
      <c r="AV95" s="49">
        <f t="shared" si="34"/>
        <v>1958190.40659514</v>
      </c>
      <c r="AW95" s="49">
        <f t="shared" si="34"/>
        <v>533883.99818029697</v>
      </c>
      <c r="AX95" s="39">
        <f t="shared" si="35"/>
        <v>0.98016821731719928</v>
      </c>
      <c r="AY95" s="39">
        <f t="shared" si="35"/>
        <v>0.67209356568657364</v>
      </c>
      <c r="AZ95" s="39">
        <f t="shared" si="36"/>
        <v>0.91416853190035008</v>
      </c>
      <c r="BA95" s="18">
        <f t="shared" si="38"/>
        <v>4.222835247020347E-2</v>
      </c>
      <c r="BB95" s="20">
        <f t="shared" si="39"/>
        <v>3.6201722557607945E-2</v>
      </c>
      <c r="BC95" s="17">
        <f t="shared" si="37"/>
        <v>-38834.406595139997</v>
      </c>
      <c r="BD95" s="17">
        <f t="shared" si="37"/>
        <v>-175063.99818029697</v>
      </c>
    </row>
    <row r="96" spans="1:56" ht="14.25" customHeight="1" x14ac:dyDescent="0.35">
      <c r="A96" s="16">
        <v>45751</v>
      </c>
      <c r="B96" s="17">
        <v>37845651</v>
      </c>
      <c r="C96" s="17">
        <f t="shared" si="23"/>
        <v>2494838.4137931038</v>
      </c>
      <c r="D96" s="18">
        <f>+Tabla22[[#This Row],[Share diario]]</f>
        <v>3.6753955679788182E-2</v>
      </c>
      <c r="E96" s="17">
        <f>+Tabla22[[#This Row],[Global 2026]]</f>
        <v>17241821</v>
      </c>
      <c r="F96" s="19">
        <v>46115</v>
      </c>
      <c r="G96" s="17">
        <f t="shared" si="24"/>
        <v>2018282.4388011731</v>
      </c>
      <c r="H96" s="17">
        <v>1508618.83358052</v>
      </c>
      <c r="I96" s="17">
        <v>509663.605220653</v>
      </c>
      <c r="J96" s="17">
        <v>1760543</v>
      </c>
      <c r="K96" s="17">
        <f>+Tabla22[[#This Row],[Web + APP 2026]]</f>
        <v>1389487</v>
      </c>
      <c r="L96" s="17">
        <v>20947.4137931035</v>
      </c>
      <c r="M96" s="17">
        <f>+Tabla22[[#This Row],[Afiliados 2026]]</f>
        <v>23309</v>
      </c>
      <c r="N96" s="17">
        <v>62700</v>
      </c>
      <c r="O96" s="17">
        <f>+Tabla22[[#This Row],[TMK 2026]]</f>
        <v>-1550</v>
      </c>
      <c r="P96" s="17">
        <v>517</v>
      </c>
      <c r="Q96" s="17">
        <f>+Tabla22[[#This Row],[WA 2026]]</f>
        <v>0</v>
      </c>
      <c r="R96" s="17">
        <v>58034</v>
      </c>
      <c r="S96" s="17">
        <f>+Tabla22[[#This Row],[Ent. en Tienda 2026]]</f>
        <v>46431</v>
      </c>
      <c r="T96" s="17">
        <v>446985</v>
      </c>
      <c r="U96" s="17">
        <f>+Tabla22[[#This Row],[Meli Drop 2026]]</f>
        <v>273373</v>
      </c>
      <c r="V96" s="17">
        <v>115709</v>
      </c>
      <c r="W96" s="17">
        <f>+Tabla22[[#This Row],[Meli Full 2026]]</f>
        <v>89277</v>
      </c>
      <c r="X96" s="17">
        <v>18229</v>
      </c>
      <c r="Y96" s="17">
        <f>+Tabla22[[#This Row],[Amazon Drop 2026]]</f>
        <v>12317</v>
      </c>
      <c r="Z96" s="17">
        <v>11174</v>
      </c>
      <c r="AA96" s="17">
        <f>+Tabla22[[#This Row],[Amazon Full 2026]]</f>
        <v>3148</v>
      </c>
      <c r="AB96" s="17">
        <v>0</v>
      </c>
      <c r="AC96" s="17">
        <f>+Tabla22[[#This Row],[TikTok 2026]]</f>
        <v>1439</v>
      </c>
      <c r="AD96" s="17">
        <v>0</v>
      </c>
      <c r="AE96" s="17">
        <f>+Tabla22[[#This Row],[Shein 2026]]</f>
        <v>0</v>
      </c>
      <c r="AF96" s="17">
        <f t="shared" si="25"/>
        <v>1837231</v>
      </c>
      <c r="AG96" s="18">
        <f t="shared" si="26"/>
        <v>0.91029430008383028</v>
      </c>
      <c r="AH96" s="17">
        <f t="shared" si="27"/>
        <v>-181051.43880117312</v>
      </c>
      <c r="AI96" s="20">
        <f t="shared" si="28"/>
        <v>-0.2635871766914516</v>
      </c>
      <c r="AJ96" s="20">
        <f t="shared" si="29"/>
        <v>6.5921403064069475E-2</v>
      </c>
      <c r="AK96" s="21">
        <f t="shared" si="30"/>
        <v>0.10655666823127326</v>
      </c>
      <c r="AL96" s="21">
        <f t="shared" si="31"/>
        <v>-0.54441737572436</v>
      </c>
      <c r="AO96" s="38">
        <f t="shared" si="32"/>
        <v>46115</v>
      </c>
      <c r="AP96" s="17">
        <f>Tabla2[[#This Row],[Web + APP 2025]]+Tabla2[[#This Row],[Afiliados 2025]]+Tabla2[[#This Row],[TMK 2025]]+Tabla2[[#This Row],[WA 2025]]+Tabla2[[#This Row],[Ent. en Tienda 2025]]</f>
        <v>1902741.4137931035</v>
      </c>
      <c r="AQ96" s="17">
        <f>Tabla2[[#This Row],[Meli Drop 2025]]+Tabla2[[#This Row],[Meli Full 2025]]+Tabla2[[#This Row],[Amazon Drop 2025]]+Tabla2[[#This Row],[Amazon Full 2025]]+Tabla2[[#This Row],[TikTok 2025]]+Tabla2[[#This Row],[Shein 2025]]</f>
        <v>592097</v>
      </c>
      <c r="AR96" s="17">
        <f>Tabla2[[#This Row],[Web + APP 2026]]+Tabla2[[#This Row],[Afiliados 2026]]+Tabla2[[#This Row],[TMK 2026]]+Tabla2[[#This Row],[WA 2026]]+Tabla2[[#This Row],[Ent. en Tienda 2026]]</f>
        <v>1457677</v>
      </c>
      <c r="AS96" s="17">
        <f>Tabla2[[#This Row],[Meli Drop 2026]]+Tabla2[[#This Row],[Meli Full 2026]]+Tabla2[[#This Row],[Amazon Drop 2026]]+Tabla2[[#This Row],[Amazon Full 2026]]+Tabla2[[#This Row],[TikTok 2026]]+Tabla2[[#This Row],[Shein 2026]]</f>
        <v>379554</v>
      </c>
      <c r="AT96" s="18">
        <f t="shared" si="33"/>
        <v>-0.23390693583836508</v>
      </c>
      <c r="AU96" s="18">
        <f t="shared" si="33"/>
        <v>-0.35896652068833312</v>
      </c>
      <c r="AV96" s="49">
        <f t="shared" si="34"/>
        <v>1508618.83358052</v>
      </c>
      <c r="AW96" s="49">
        <f t="shared" si="34"/>
        <v>509663.605220653</v>
      </c>
      <c r="AX96" s="39">
        <f t="shared" si="35"/>
        <v>0.96623280019670976</v>
      </c>
      <c r="AY96" s="39">
        <f t="shared" si="35"/>
        <v>0.74471474147281214</v>
      </c>
      <c r="AZ96" s="39">
        <f t="shared" si="36"/>
        <v>0.91029430008383028</v>
      </c>
      <c r="BA96" s="18">
        <f t="shared" si="38"/>
        <v>4.2451545054789368E-2</v>
      </c>
      <c r="BB96" s="20">
        <f t="shared" si="39"/>
        <v>2.7959840509506478E-2</v>
      </c>
      <c r="BC96" s="17">
        <f t="shared" si="37"/>
        <v>-50941.833580520004</v>
      </c>
      <c r="BD96" s="17">
        <f t="shared" si="37"/>
        <v>-130109.605220653</v>
      </c>
    </row>
    <row r="97" spans="1:56" ht="14.25" customHeight="1" x14ac:dyDescent="0.35">
      <c r="A97" s="19">
        <v>45752</v>
      </c>
      <c r="B97" s="17">
        <v>49424718</v>
      </c>
      <c r="C97" s="17">
        <f t="shared" si="23"/>
        <v>2143966.3103448274</v>
      </c>
      <c r="D97" s="18">
        <f>+Tabla22[[#This Row],[Share diario]]</f>
        <v>3.0038314494771637E-2</v>
      </c>
      <c r="E97" s="17">
        <f>+Tabla22[[#This Row],[Global 2026]]</f>
        <v>29614522</v>
      </c>
      <c r="F97" s="19">
        <v>46116</v>
      </c>
      <c r="G97" s="17">
        <f t="shared" si="24"/>
        <v>1813607.8576939679</v>
      </c>
      <c r="H97" s="17">
        <v>1438592.65500991</v>
      </c>
      <c r="I97" s="17">
        <v>375015.20268405799</v>
      </c>
      <c r="J97" s="17">
        <v>1496166</v>
      </c>
      <c r="K97" s="17">
        <f>+Tabla22[[#This Row],[Web + APP 2026]]</f>
        <v>1533453</v>
      </c>
      <c r="L97" s="17">
        <v>21429.310344827602</v>
      </c>
      <c r="M97" s="17">
        <f>+Tabla22[[#This Row],[Afiliados 2026]]</f>
        <v>20033</v>
      </c>
      <c r="N97" s="17">
        <v>11511</v>
      </c>
      <c r="O97" s="17">
        <f>+Tabla22[[#This Row],[TMK 2026]]</f>
        <v>3141</v>
      </c>
      <c r="P97" s="17">
        <v>8</v>
      </c>
      <c r="Q97" s="17">
        <f>+Tabla22[[#This Row],[WA 2026]]</f>
        <v>6216</v>
      </c>
      <c r="R97" s="17">
        <v>49878</v>
      </c>
      <c r="S97" s="17">
        <f>+Tabla22[[#This Row],[Ent. en Tienda 2026]]</f>
        <v>58547</v>
      </c>
      <c r="T97" s="17">
        <v>435734</v>
      </c>
      <c r="U97" s="17">
        <f>+Tabla22[[#This Row],[Meli Drop 2026]]</f>
        <v>258489</v>
      </c>
      <c r="V97" s="17">
        <v>114189</v>
      </c>
      <c r="W97" s="17">
        <f>+Tabla22[[#This Row],[Meli Full 2026]]</f>
        <v>94071</v>
      </c>
      <c r="X97" s="17">
        <v>9901</v>
      </c>
      <c r="Y97" s="17">
        <f>+Tabla22[[#This Row],[Amazon Drop 2026]]</f>
        <v>8439</v>
      </c>
      <c r="Z97" s="17">
        <v>5150</v>
      </c>
      <c r="AA97" s="17">
        <f>+Tabla22[[#This Row],[Amazon Full 2026]]</f>
        <v>5821</v>
      </c>
      <c r="AB97" s="17">
        <v>0</v>
      </c>
      <c r="AC97" s="17">
        <f>+Tabla22[[#This Row],[TikTok 2026]]</f>
        <v>0</v>
      </c>
      <c r="AD97" s="17">
        <v>0</v>
      </c>
      <c r="AE97" s="17">
        <f>+Tabla22[[#This Row],[Shein 2026]]</f>
        <v>689</v>
      </c>
      <c r="AF97" s="17">
        <f t="shared" si="25"/>
        <v>1988899</v>
      </c>
      <c r="AG97" s="18">
        <f t="shared" si="26"/>
        <v>1.0966532768163664</v>
      </c>
      <c r="AH97" s="17">
        <f t="shared" si="27"/>
        <v>175291.14230603212</v>
      </c>
      <c r="AI97" s="20">
        <f t="shared" si="28"/>
        <v>-7.2327307381936823E-2</v>
      </c>
      <c r="AJ97" s="20">
        <f t="shared" si="29"/>
        <v>4.3378422722509559E-2</v>
      </c>
      <c r="AK97" s="21">
        <f t="shared" si="30"/>
        <v>6.7159584746969744E-2</v>
      </c>
      <c r="AL97" s="21">
        <f t="shared" si="31"/>
        <v>-0.4008155595344014</v>
      </c>
      <c r="AO97" s="38">
        <f t="shared" si="32"/>
        <v>46116</v>
      </c>
      <c r="AP97" s="17">
        <f>Tabla2[[#This Row],[Web + APP 2025]]+Tabla2[[#This Row],[Afiliados 2025]]+Tabla2[[#This Row],[TMK 2025]]+Tabla2[[#This Row],[WA 2025]]+Tabla2[[#This Row],[Ent. en Tienda 2025]]</f>
        <v>1578992.3103448276</v>
      </c>
      <c r="AQ97" s="17">
        <f>Tabla2[[#This Row],[Meli Drop 2025]]+Tabla2[[#This Row],[Meli Full 2025]]+Tabla2[[#This Row],[Amazon Drop 2025]]+Tabla2[[#This Row],[Amazon Full 2025]]+Tabla2[[#This Row],[TikTok 2025]]+Tabla2[[#This Row],[Shein 2025]]</f>
        <v>564974</v>
      </c>
      <c r="AR97" s="17">
        <f>Tabla2[[#This Row],[Web + APP 2026]]+Tabla2[[#This Row],[Afiliados 2026]]+Tabla2[[#This Row],[TMK 2026]]+Tabla2[[#This Row],[WA 2026]]+Tabla2[[#This Row],[Ent. en Tienda 2026]]</f>
        <v>1621390</v>
      </c>
      <c r="AS97" s="17">
        <f>Tabla2[[#This Row],[Meli Drop 2026]]+Tabla2[[#This Row],[Meli Full 2026]]+Tabla2[[#This Row],[Amazon Drop 2026]]+Tabla2[[#This Row],[Amazon Full 2026]]+Tabla2[[#This Row],[TikTok 2026]]+Tabla2[[#This Row],[Shein 2026]]</f>
        <v>367509</v>
      </c>
      <c r="AT97" s="18">
        <f t="shared" si="33"/>
        <v>2.685110584605277E-2</v>
      </c>
      <c r="AU97" s="18">
        <f t="shared" si="33"/>
        <v>-0.34951165894359737</v>
      </c>
      <c r="AV97" s="49">
        <f t="shared" si="34"/>
        <v>1438592.65500991</v>
      </c>
      <c r="AW97" s="49">
        <f t="shared" si="34"/>
        <v>375015.20268405799</v>
      </c>
      <c r="AX97" s="39">
        <f t="shared" si="35"/>
        <v>1.1270667859685624</v>
      </c>
      <c r="AY97" s="39">
        <f t="shared" si="35"/>
        <v>0.9799842709566583</v>
      </c>
      <c r="AZ97" s="39">
        <f t="shared" si="36"/>
        <v>1.0966532768163664</v>
      </c>
      <c r="BA97" s="18">
        <f t="shared" si="38"/>
        <v>4.0506908860853154E-2</v>
      </c>
      <c r="BB97" s="20">
        <f t="shared" si="39"/>
        <v>2.3202508151104476E-2</v>
      </c>
      <c r="BC97" s="17">
        <f t="shared" si="37"/>
        <v>182797.34499009</v>
      </c>
      <c r="BD97" s="17">
        <f t="shared" si="37"/>
        <v>-7506.2026840579929</v>
      </c>
    </row>
    <row r="98" spans="1:56" ht="14.25" customHeight="1" x14ac:dyDescent="0.35">
      <c r="A98" s="16">
        <v>45753</v>
      </c>
      <c r="B98" s="17">
        <v>48801683</v>
      </c>
      <c r="C98" s="17">
        <f t="shared" si="23"/>
        <v>2564117.2068965519</v>
      </c>
      <c r="D98" s="18">
        <f>+Tabla22[[#This Row],[Share diario]]</f>
        <v>2.5813749676244106E-2</v>
      </c>
      <c r="E98" s="17">
        <f>+Tabla22[[#This Row],[Global 2026]]</f>
        <v>32111892</v>
      </c>
      <c r="F98" s="19">
        <v>46117</v>
      </c>
      <c r="G98" s="17">
        <f t="shared" si="24"/>
        <v>2403925.7696780148</v>
      </c>
      <c r="H98" s="17">
        <v>1923027.8825731699</v>
      </c>
      <c r="I98" s="17">
        <v>480897.88710484502</v>
      </c>
      <c r="J98" s="17">
        <v>1847860</v>
      </c>
      <c r="K98" s="17">
        <f>+Tabla22[[#This Row],[Web + APP 2026]]</f>
        <v>2062753</v>
      </c>
      <c r="L98" s="17">
        <v>18636.206896551699</v>
      </c>
      <c r="M98" s="17">
        <f>+Tabla22[[#This Row],[Afiliados 2026]]</f>
        <v>21508</v>
      </c>
      <c r="N98" s="17">
        <v>26062</v>
      </c>
      <c r="O98" s="17">
        <f>+Tabla22[[#This Row],[TMK 2026]]</f>
        <v>-895</v>
      </c>
      <c r="P98" s="17">
        <v>2036</v>
      </c>
      <c r="Q98" s="17">
        <f>+Tabla22[[#This Row],[WA 2026]]</f>
        <v>0</v>
      </c>
      <c r="R98" s="17">
        <v>55957</v>
      </c>
      <c r="S98" s="17">
        <f>+Tabla22[[#This Row],[Ent. en Tienda 2026]]</f>
        <v>60855</v>
      </c>
      <c r="T98" s="17">
        <v>473249</v>
      </c>
      <c r="U98" s="17">
        <f>+Tabla22[[#This Row],[Meli Drop 2026]]</f>
        <v>330907</v>
      </c>
      <c r="V98" s="17">
        <v>122349</v>
      </c>
      <c r="W98" s="17">
        <f>+Tabla22[[#This Row],[Meli Full 2026]]</f>
        <v>116557</v>
      </c>
      <c r="X98" s="17">
        <v>13822</v>
      </c>
      <c r="Y98" s="17">
        <f>+Tabla22[[#This Row],[Amazon Drop 2026]]</f>
        <v>9893</v>
      </c>
      <c r="Z98" s="17">
        <v>4146</v>
      </c>
      <c r="AA98" s="17">
        <f>+Tabla22[[#This Row],[Amazon Full 2026]]</f>
        <v>5934</v>
      </c>
      <c r="AB98" s="17">
        <v>0</v>
      </c>
      <c r="AC98" s="17">
        <f>+Tabla22[[#This Row],[TikTok 2026]]</f>
        <v>0</v>
      </c>
      <c r="AD98" s="17">
        <v>0</v>
      </c>
      <c r="AE98" s="17">
        <f>+Tabla22[[#This Row],[Shein 2026]]</f>
        <v>2066</v>
      </c>
      <c r="AF98" s="17">
        <f t="shared" si="25"/>
        <v>2609578</v>
      </c>
      <c r="AG98" s="18">
        <f t="shared" si="26"/>
        <v>1.0855484944318936</v>
      </c>
      <c r="AH98" s="17">
        <f t="shared" si="27"/>
        <v>205652.2303219852</v>
      </c>
      <c r="AI98" s="20">
        <f t="shared" si="28"/>
        <v>1.772960806205548E-2</v>
      </c>
      <c r="AJ98" s="20">
        <f t="shared" si="29"/>
        <v>5.2541573348946838E-2</v>
      </c>
      <c r="AK98" s="21">
        <f t="shared" si="30"/>
        <v>8.1265158714410229E-2</v>
      </c>
      <c r="AL98" s="21">
        <f t="shared" si="31"/>
        <v>-0.34199211941112773</v>
      </c>
      <c r="AO98" s="38">
        <f t="shared" si="32"/>
        <v>46117</v>
      </c>
      <c r="AP98" s="17">
        <f>Tabla2[[#This Row],[Web + APP 2025]]+Tabla2[[#This Row],[Afiliados 2025]]+Tabla2[[#This Row],[TMK 2025]]+Tabla2[[#This Row],[WA 2025]]+Tabla2[[#This Row],[Ent. en Tienda 2025]]</f>
        <v>1950551.2068965517</v>
      </c>
      <c r="AQ98" s="17">
        <f>Tabla2[[#This Row],[Meli Drop 2025]]+Tabla2[[#This Row],[Meli Full 2025]]+Tabla2[[#This Row],[Amazon Drop 2025]]+Tabla2[[#This Row],[Amazon Full 2025]]+Tabla2[[#This Row],[TikTok 2025]]+Tabla2[[#This Row],[Shein 2025]]</f>
        <v>613566</v>
      </c>
      <c r="AR98" s="17">
        <f>Tabla2[[#This Row],[Web + APP 2026]]+Tabla2[[#This Row],[Afiliados 2026]]+Tabla2[[#This Row],[TMK 2026]]+Tabla2[[#This Row],[WA 2026]]+Tabla2[[#This Row],[Ent. en Tienda 2026]]</f>
        <v>2144221</v>
      </c>
      <c r="AS98" s="17">
        <f>Tabla2[[#This Row],[Meli Drop 2026]]+Tabla2[[#This Row],[Meli Full 2026]]+Tabla2[[#This Row],[Amazon Drop 2026]]+Tabla2[[#This Row],[Amazon Full 2026]]+Tabla2[[#This Row],[TikTok 2026]]+Tabla2[[#This Row],[Shein 2026]]</f>
        <v>465357</v>
      </c>
      <c r="AT98" s="18">
        <f t="shared" si="33"/>
        <v>9.9289776355878878E-2</v>
      </c>
      <c r="AU98" s="18">
        <f t="shared" si="33"/>
        <v>-0.24155347590968212</v>
      </c>
      <c r="AV98" s="49">
        <f t="shared" si="34"/>
        <v>1923027.8825731699</v>
      </c>
      <c r="AW98" s="49">
        <f t="shared" si="34"/>
        <v>480897.88710484502</v>
      </c>
      <c r="AX98" s="39">
        <f t="shared" si="35"/>
        <v>1.1150233542796351</v>
      </c>
      <c r="AY98" s="39">
        <f t="shared" si="35"/>
        <v>0.96768360285713462</v>
      </c>
      <c r="AZ98" s="39">
        <f t="shared" si="36"/>
        <v>1.0855484944318936</v>
      </c>
      <c r="BA98" s="18">
        <f t="shared" si="38"/>
        <v>4.399080673113847E-2</v>
      </c>
      <c r="BB98" s="20">
        <f t="shared" si="39"/>
        <v>2.8662381685240969E-2</v>
      </c>
      <c r="BC98" s="17">
        <f t="shared" si="37"/>
        <v>221193.11742683011</v>
      </c>
      <c r="BD98" s="17">
        <f t="shared" si="37"/>
        <v>-15540.887104845024</v>
      </c>
    </row>
    <row r="99" spans="1:56" ht="14.25" customHeight="1" x14ac:dyDescent="0.35">
      <c r="A99" s="19">
        <v>45754</v>
      </c>
      <c r="B99" s="17">
        <v>28107408</v>
      </c>
      <c r="C99" s="17">
        <f t="shared" si="23"/>
        <v>3681154.1379310344</v>
      </c>
      <c r="D99" s="18">
        <f>+Tabla22[[#This Row],[Share diario]]</f>
        <v>3.0872443937205406E-2</v>
      </c>
      <c r="E99" s="17">
        <f>+Tabla22[[#This Row],[Global 2026]]</f>
        <v>25748860</v>
      </c>
      <c r="F99" s="19">
        <v>46118</v>
      </c>
      <c r="G99" s="17">
        <f t="shared" si="24"/>
        <v>3799683.2282442148</v>
      </c>
      <c r="H99" s="17">
        <v>3238014.31839043</v>
      </c>
      <c r="I99" s="17">
        <v>561668.90985378495</v>
      </c>
      <c r="J99" s="17">
        <v>2938155</v>
      </c>
      <c r="K99" s="17">
        <f>+Tabla22[[#This Row],[Web + APP 2026]]</f>
        <v>3236683</v>
      </c>
      <c r="L99" s="17">
        <v>17774.1379310345</v>
      </c>
      <c r="M99" s="17">
        <f>+Tabla22[[#This Row],[Afiliados 2026]]</f>
        <v>13884</v>
      </c>
      <c r="N99" s="17">
        <v>73052</v>
      </c>
      <c r="O99" s="17">
        <f>+Tabla22[[#This Row],[TMK 2026]]</f>
        <v>33131</v>
      </c>
      <c r="P99" s="17">
        <v>6096</v>
      </c>
      <c r="Q99" s="17">
        <f>+Tabla22[[#This Row],[WA 2026]]</f>
        <v>1049</v>
      </c>
      <c r="R99" s="17">
        <v>48292</v>
      </c>
      <c r="S99" s="17">
        <f>+Tabla22[[#This Row],[Ent. en Tienda 2026]]</f>
        <v>69872</v>
      </c>
      <c r="T99" s="17">
        <v>444090</v>
      </c>
      <c r="U99" s="17">
        <f>+Tabla22[[#This Row],[Meli Drop 2026]]</f>
        <v>347578</v>
      </c>
      <c r="V99" s="17">
        <v>111346</v>
      </c>
      <c r="W99" s="17">
        <f>+Tabla22[[#This Row],[Meli Full 2026]]</f>
        <v>92698</v>
      </c>
      <c r="X99" s="17">
        <v>36065</v>
      </c>
      <c r="Y99" s="17">
        <f>+Tabla22[[#This Row],[Amazon Drop 2026]]</f>
        <v>11105</v>
      </c>
      <c r="Z99" s="17">
        <v>6284</v>
      </c>
      <c r="AA99" s="17">
        <f>+Tabla22[[#This Row],[Amazon Full 2026]]</f>
        <v>6982</v>
      </c>
      <c r="AB99" s="17">
        <v>0</v>
      </c>
      <c r="AC99" s="17">
        <f>+Tabla22[[#This Row],[TikTok 2026]]</f>
        <v>0</v>
      </c>
      <c r="AD99" s="17">
        <v>0</v>
      </c>
      <c r="AE99" s="17">
        <f>+Tabla22[[#This Row],[Shein 2026]]</f>
        <v>0</v>
      </c>
      <c r="AF99" s="17">
        <f t="shared" si="25"/>
        <v>3812982</v>
      </c>
      <c r="AG99" s="18">
        <f t="shared" si="26"/>
        <v>1.0034999685386747</v>
      </c>
      <c r="AH99" s="17">
        <f t="shared" si="27"/>
        <v>13298.771755785216</v>
      </c>
      <c r="AI99" s="20">
        <f t="shared" si="28"/>
        <v>3.5811557226196111E-2</v>
      </c>
      <c r="AJ99" s="20">
        <f t="shared" si="29"/>
        <v>0.13096739969516344</v>
      </c>
      <c r="AK99" s="21">
        <f t="shared" si="30"/>
        <v>0.14808352680468184</v>
      </c>
      <c r="AL99" s="21">
        <f t="shared" si="31"/>
        <v>-8.3911970822780901E-2</v>
      </c>
      <c r="AO99" s="38">
        <f t="shared" si="32"/>
        <v>46118</v>
      </c>
      <c r="AP99" s="17">
        <f>Tabla2[[#This Row],[Web + APP 2025]]+Tabla2[[#This Row],[Afiliados 2025]]+Tabla2[[#This Row],[TMK 2025]]+Tabla2[[#This Row],[WA 2025]]+Tabla2[[#This Row],[Ent. en Tienda 2025]]</f>
        <v>3083369.1379310344</v>
      </c>
      <c r="AQ99" s="17">
        <f>Tabla2[[#This Row],[Meli Drop 2025]]+Tabla2[[#This Row],[Meli Full 2025]]+Tabla2[[#This Row],[Amazon Drop 2025]]+Tabla2[[#This Row],[Amazon Full 2025]]+Tabla2[[#This Row],[TikTok 2025]]+Tabla2[[#This Row],[Shein 2025]]</f>
        <v>597785</v>
      </c>
      <c r="AR99" s="17">
        <f>Tabla2[[#This Row],[Web + APP 2026]]+Tabla2[[#This Row],[Afiliados 2026]]+Tabla2[[#This Row],[TMK 2026]]+Tabla2[[#This Row],[WA 2026]]+Tabla2[[#This Row],[Ent. en Tienda 2026]]</f>
        <v>3354619</v>
      </c>
      <c r="AS99" s="17">
        <f>Tabla2[[#This Row],[Meli Drop 2026]]+Tabla2[[#This Row],[Meli Full 2026]]+Tabla2[[#This Row],[Amazon Drop 2026]]+Tabla2[[#This Row],[Amazon Full 2026]]+Tabla2[[#This Row],[TikTok 2026]]+Tabla2[[#This Row],[Shein 2026]]</f>
        <v>458363</v>
      </c>
      <c r="AT99" s="18">
        <f t="shared" si="33"/>
        <v>8.7971906682239309E-2</v>
      </c>
      <c r="AU99" s="18">
        <f t="shared" si="33"/>
        <v>-0.23323101114949352</v>
      </c>
      <c r="AV99" s="49">
        <f t="shared" si="34"/>
        <v>3238014.31839043</v>
      </c>
      <c r="AW99" s="49">
        <f t="shared" si="34"/>
        <v>561668.90985378495</v>
      </c>
      <c r="AX99" s="39">
        <f t="shared" si="35"/>
        <v>1.0360111692364389</v>
      </c>
      <c r="AY99" s="39">
        <f t="shared" si="35"/>
        <v>0.81607329862591504</v>
      </c>
      <c r="AZ99" s="39">
        <f t="shared" si="36"/>
        <v>1.0034999685386747</v>
      </c>
      <c r="BA99" s="18">
        <f t="shared" si="38"/>
        <v>4.2859357268449701E-2</v>
      </c>
      <c r="BB99" s="20">
        <f t="shared" si="39"/>
        <v>4.5308578823974863E-2</v>
      </c>
      <c r="BC99" s="17">
        <f t="shared" si="37"/>
        <v>116604.68160957005</v>
      </c>
      <c r="BD99" s="17">
        <f t="shared" si="37"/>
        <v>-103305.90985378495</v>
      </c>
    </row>
    <row r="100" spans="1:56" ht="14.25" customHeight="1" x14ac:dyDescent="0.35">
      <c r="A100" s="16">
        <v>45755</v>
      </c>
      <c r="B100" s="17">
        <v>30891733</v>
      </c>
      <c r="C100" s="17">
        <f t="shared" si="23"/>
        <v>3954165.5862068967</v>
      </c>
      <c r="D100" s="18">
        <f>+Tabla22[[#This Row],[Share diario]]</f>
        <v>4.4321774543620761E-2</v>
      </c>
      <c r="E100" s="17">
        <f>+Tabla22[[#This Row],[Global 2026]]</f>
        <v>29344448</v>
      </c>
      <c r="F100" s="19">
        <v>46119</v>
      </c>
      <c r="G100" s="17">
        <f t="shared" si="24"/>
        <v>4130456.0199458422</v>
      </c>
      <c r="H100" s="17">
        <v>3507321.56373533</v>
      </c>
      <c r="I100" s="17">
        <v>623134.45621051197</v>
      </c>
      <c r="J100" s="17">
        <v>3216605</v>
      </c>
      <c r="K100" s="17">
        <f>+Tabla22[[#This Row],[Web + APP 2026]]</f>
        <v>3458231</v>
      </c>
      <c r="L100" s="17">
        <v>21327.586206896602</v>
      </c>
      <c r="M100" s="17">
        <f>+Tabla22[[#This Row],[Afiliados 2026]]</f>
        <v>13114</v>
      </c>
      <c r="N100" s="17">
        <v>89117</v>
      </c>
      <c r="O100" s="17">
        <f>+Tabla22[[#This Row],[TMK 2026]]</f>
        <v>46704</v>
      </c>
      <c r="P100" s="17">
        <v>9523</v>
      </c>
      <c r="Q100" s="17">
        <f>+Tabla22[[#This Row],[WA 2026]]</f>
        <v>6042</v>
      </c>
      <c r="R100" s="17">
        <v>65722</v>
      </c>
      <c r="S100" s="17">
        <f>+Tabla22[[#This Row],[Ent. en Tienda 2026]]</f>
        <v>57558</v>
      </c>
      <c r="T100" s="17">
        <v>426938</v>
      </c>
      <c r="U100" s="17">
        <f>+Tabla22[[#This Row],[Meli Drop 2026]]</f>
        <v>339334</v>
      </c>
      <c r="V100" s="17">
        <v>95196</v>
      </c>
      <c r="W100" s="17">
        <f>+Tabla22[[#This Row],[Meli Full 2026]]</f>
        <v>100463</v>
      </c>
      <c r="X100" s="17">
        <v>19287</v>
      </c>
      <c r="Y100" s="17">
        <f>+Tabla22[[#This Row],[Amazon Drop 2026]]</f>
        <v>21803</v>
      </c>
      <c r="Z100" s="17">
        <v>10450</v>
      </c>
      <c r="AA100" s="17">
        <f>+Tabla22[[#This Row],[Amazon Full 2026]]</f>
        <v>5551</v>
      </c>
      <c r="AB100" s="17">
        <v>0</v>
      </c>
      <c r="AC100" s="17">
        <f>+Tabla22[[#This Row],[TikTok 2026]]</f>
        <v>0</v>
      </c>
      <c r="AD100" s="17">
        <v>0</v>
      </c>
      <c r="AE100" s="17">
        <f>+Tabla22[[#This Row],[Shein 2026]]</f>
        <v>0</v>
      </c>
      <c r="AF100" s="17">
        <f t="shared" si="25"/>
        <v>4048800</v>
      </c>
      <c r="AG100" s="18">
        <f t="shared" si="26"/>
        <v>0.98023074944956978</v>
      </c>
      <c r="AH100" s="17">
        <f t="shared" si="27"/>
        <v>-81656.019945842214</v>
      </c>
      <c r="AI100" s="20">
        <f t="shared" si="28"/>
        <v>2.3932840375529896E-2</v>
      </c>
      <c r="AJ100" s="20">
        <f t="shared" si="29"/>
        <v>0.12800076920925405</v>
      </c>
      <c r="AK100" s="21">
        <f t="shared" si="30"/>
        <v>0.13797499274820232</v>
      </c>
      <c r="AL100" s="21">
        <f t="shared" si="31"/>
        <v>-5.00873486120057E-2</v>
      </c>
      <c r="AO100" s="38">
        <f t="shared" si="32"/>
        <v>46119</v>
      </c>
      <c r="AP100" s="17">
        <f>Tabla2[[#This Row],[Web + APP 2025]]+Tabla2[[#This Row],[Afiliados 2025]]+Tabla2[[#This Row],[TMK 2025]]+Tabla2[[#This Row],[WA 2025]]+Tabla2[[#This Row],[Ent. en Tienda 2025]]</f>
        <v>3402294.5862068967</v>
      </c>
      <c r="AQ100" s="17">
        <f>Tabla2[[#This Row],[Meli Drop 2025]]+Tabla2[[#This Row],[Meli Full 2025]]+Tabla2[[#This Row],[Amazon Drop 2025]]+Tabla2[[#This Row],[Amazon Full 2025]]+Tabla2[[#This Row],[TikTok 2025]]+Tabla2[[#This Row],[Shein 2025]]</f>
        <v>551871</v>
      </c>
      <c r="AR100" s="17">
        <f>Tabla2[[#This Row],[Web + APP 2026]]+Tabla2[[#This Row],[Afiliados 2026]]+Tabla2[[#This Row],[TMK 2026]]+Tabla2[[#This Row],[WA 2026]]+Tabla2[[#This Row],[Ent. en Tienda 2026]]</f>
        <v>3581649</v>
      </c>
      <c r="AS100" s="17">
        <f>Tabla2[[#This Row],[Meli Drop 2026]]+Tabla2[[#This Row],[Meli Full 2026]]+Tabla2[[#This Row],[Amazon Drop 2026]]+Tabla2[[#This Row],[Amazon Full 2026]]+Tabla2[[#This Row],[TikTok 2026]]+Tabla2[[#This Row],[Shein 2026]]</f>
        <v>467151</v>
      </c>
      <c r="AT100" s="18">
        <f t="shared" si="33"/>
        <v>5.2715721478150845E-2</v>
      </c>
      <c r="AU100" s="18">
        <f t="shared" si="33"/>
        <v>-0.15351413645580214</v>
      </c>
      <c r="AV100" s="49">
        <f t="shared" si="34"/>
        <v>3507321.56373533</v>
      </c>
      <c r="AW100" s="49">
        <f t="shared" si="34"/>
        <v>623134.45621051197</v>
      </c>
      <c r="AX100" s="39">
        <f t="shared" si="35"/>
        <v>1.0211920791732341</v>
      </c>
      <c r="AY100" s="39">
        <f t="shared" si="35"/>
        <v>0.74967929528548416</v>
      </c>
      <c r="AZ100" s="39">
        <f t="shared" si="36"/>
        <v>0.98023074944956978</v>
      </c>
      <c r="BA100" s="18">
        <f t="shared" si="38"/>
        <v>3.9567463812401796E-2</v>
      </c>
      <c r="BB100" s="20">
        <f t="shared" si="39"/>
        <v>4.9995029964195636E-2</v>
      </c>
      <c r="BC100" s="17">
        <f t="shared" si="37"/>
        <v>74327.436264669988</v>
      </c>
      <c r="BD100" s="17">
        <f t="shared" si="37"/>
        <v>-155983.45621051197</v>
      </c>
    </row>
    <row r="101" spans="1:56" ht="14.25" customHeight="1" x14ac:dyDescent="0.35">
      <c r="A101" s="19">
        <v>45756</v>
      </c>
      <c r="B101" s="17">
        <v>33570758</v>
      </c>
      <c r="C101" s="17">
        <f t="shared" si="23"/>
        <v>3343296.7586206896</v>
      </c>
      <c r="D101" s="18">
        <f>+Tabla22[[#This Row],[Share diario]]</f>
        <v>4.7608882718099717E-2</v>
      </c>
      <c r="E101" s="17">
        <f>+Tabla22[[#This Row],[Global 2026]]</f>
        <v>32604834</v>
      </c>
      <c r="F101" s="19">
        <v>46120</v>
      </c>
      <c r="G101" s="17">
        <f t="shared" si="24"/>
        <v>4462204.5025639776</v>
      </c>
      <c r="H101" s="17">
        <v>3823240.0389817902</v>
      </c>
      <c r="I101" s="17">
        <v>638964.46358218696</v>
      </c>
      <c r="J101" s="17">
        <v>2654418</v>
      </c>
      <c r="K101" s="17">
        <f>+Tabla22[[#This Row],[Web + APP 2026]]</f>
        <v>3303877</v>
      </c>
      <c r="L101" s="17">
        <v>17257.758620689699</v>
      </c>
      <c r="M101" s="17">
        <f>+Tabla22[[#This Row],[Afiliados 2026]]</f>
        <v>7511</v>
      </c>
      <c r="N101" s="17">
        <v>79591</v>
      </c>
      <c r="O101" s="17">
        <f>+Tabla22[[#This Row],[TMK 2026]]</f>
        <v>44772</v>
      </c>
      <c r="P101" s="17">
        <v>3785</v>
      </c>
      <c r="Q101" s="17">
        <f>+Tabla22[[#This Row],[WA 2026]]</f>
        <v>1353</v>
      </c>
      <c r="R101" s="17">
        <v>72783</v>
      </c>
      <c r="S101" s="17">
        <f>+Tabla22[[#This Row],[Ent. en Tienda 2026]]</f>
        <v>93757</v>
      </c>
      <c r="T101" s="17">
        <v>402853</v>
      </c>
      <c r="U101" s="17">
        <f>+Tabla22[[#This Row],[Meli Drop 2026]]</f>
        <v>499464</v>
      </c>
      <c r="V101" s="17">
        <v>84871</v>
      </c>
      <c r="W101" s="17">
        <f>+Tabla22[[#This Row],[Meli Full 2026]]</f>
        <v>121896</v>
      </c>
      <c r="X101" s="17">
        <v>19957</v>
      </c>
      <c r="Y101" s="17">
        <f>+Tabla22[[#This Row],[Amazon Drop 2026]]</f>
        <v>23159</v>
      </c>
      <c r="Z101" s="17">
        <v>7781</v>
      </c>
      <c r="AA101" s="17">
        <f>+Tabla22[[#This Row],[Amazon Full 2026]]</f>
        <v>6698</v>
      </c>
      <c r="AB101" s="17">
        <v>0</v>
      </c>
      <c r="AC101" s="17">
        <f>+Tabla22[[#This Row],[TikTok 2026]]</f>
        <v>1621</v>
      </c>
      <c r="AD101" s="17">
        <v>0</v>
      </c>
      <c r="AE101" s="17">
        <f>+Tabla22[[#This Row],[Shein 2026]]</f>
        <v>2497</v>
      </c>
      <c r="AF101" s="17">
        <f t="shared" si="25"/>
        <v>4106605</v>
      </c>
      <c r="AG101" s="18">
        <f t="shared" si="26"/>
        <v>0.92030855995962302</v>
      </c>
      <c r="AH101" s="17">
        <f t="shared" si="27"/>
        <v>-355599.50256397761</v>
      </c>
      <c r="AI101" s="20">
        <f t="shared" si="28"/>
        <v>0.22831004738395433</v>
      </c>
      <c r="AJ101" s="20">
        <f t="shared" si="29"/>
        <v>9.9589552271077394E-2</v>
      </c>
      <c r="AK101" s="21">
        <f t="shared" si="30"/>
        <v>0.12595080226447403</v>
      </c>
      <c r="AL101" s="21">
        <f t="shared" si="31"/>
        <v>-2.8772778976274505E-2</v>
      </c>
      <c r="AO101" s="38">
        <f t="shared" si="32"/>
        <v>46120</v>
      </c>
      <c r="AP101" s="17">
        <f>Tabla2[[#This Row],[Web + APP 2025]]+Tabla2[[#This Row],[Afiliados 2025]]+Tabla2[[#This Row],[TMK 2025]]+Tabla2[[#This Row],[WA 2025]]+Tabla2[[#This Row],[Ent. en Tienda 2025]]</f>
        <v>2827834.7586206896</v>
      </c>
      <c r="AQ101" s="17">
        <f>Tabla2[[#This Row],[Meli Drop 2025]]+Tabla2[[#This Row],[Meli Full 2025]]+Tabla2[[#This Row],[Amazon Drop 2025]]+Tabla2[[#This Row],[Amazon Full 2025]]+Tabla2[[#This Row],[TikTok 2025]]+Tabla2[[#This Row],[Shein 2025]]</f>
        <v>515462</v>
      </c>
      <c r="AR101" s="17">
        <f>Tabla2[[#This Row],[Web + APP 2026]]+Tabla2[[#This Row],[Afiliados 2026]]+Tabla2[[#This Row],[TMK 2026]]+Tabla2[[#This Row],[WA 2026]]+Tabla2[[#This Row],[Ent. en Tienda 2026]]</f>
        <v>3451270</v>
      </c>
      <c r="AS101" s="17">
        <f>Tabla2[[#This Row],[Meli Drop 2026]]+Tabla2[[#This Row],[Meli Full 2026]]+Tabla2[[#This Row],[Amazon Drop 2026]]+Tabla2[[#This Row],[Amazon Full 2026]]+Tabla2[[#This Row],[TikTok 2026]]+Tabla2[[#This Row],[Shein 2026]]</f>
        <v>655335</v>
      </c>
      <c r="AT101" s="18">
        <f t="shared" si="33"/>
        <v>0.22046381581482444</v>
      </c>
      <c r="AU101" s="18">
        <f t="shared" si="33"/>
        <v>0.27135462943922151</v>
      </c>
      <c r="AV101" s="49">
        <f t="shared" si="34"/>
        <v>3823240.0389817902</v>
      </c>
      <c r="AW101" s="49">
        <f t="shared" si="34"/>
        <v>638964.46358218696</v>
      </c>
      <c r="AX101" s="39">
        <f t="shared" si="35"/>
        <v>0.90270816501470474</v>
      </c>
      <c r="AY101" s="39">
        <f t="shared" si="35"/>
        <v>1.0256204176458201</v>
      </c>
      <c r="AZ101" s="39">
        <f t="shared" si="36"/>
        <v>0.92030855995962302</v>
      </c>
      <c r="BA101" s="18">
        <f t="shared" si="38"/>
        <v>3.6957049802704353E-2</v>
      </c>
      <c r="BB101" s="20">
        <f t="shared" si="39"/>
        <v>4.155362797336503E-2</v>
      </c>
      <c r="BC101" s="17">
        <f t="shared" si="37"/>
        <v>-371970.03898179019</v>
      </c>
      <c r="BD101" s="17">
        <f t="shared" si="37"/>
        <v>16370.53641781304</v>
      </c>
    </row>
    <row r="102" spans="1:56" ht="14.25" customHeight="1" x14ac:dyDescent="0.35">
      <c r="A102" s="16">
        <v>45757</v>
      </c>
      <c r="B102" s="17">
        <v>38193351</v>
      </c>
      <c r="C102" s="17">
        <f t="shared" si="23"/>
        <v>2855594.3793103448</v>
      </c>
      <c r="D102" s="18">
        <f>+Tabla22[[#This Row],[Share diario]]</f>
        <v>4.0253909403339526E-2</v>
      </c>
      <c r="E102" s="17">
        <f>+Tabla22[[#This Row],[Global 2026]]</f>
        <v>37442596</v>
      </c>
      <c r="F102" s="19">
        <v>46121</v>
      </c>
      <c r="G102" s="17">
        <f t="shared" si="24"/>
        <v>3442825.792989464</v>
      </c>
      <c r="H102" s="17">
        <v>2838051.03188224</v>
      </c>
      <c r="I102" s="17">
        <v>604774.76110722404</v>
      </c>
      <c r="J102" s="17">
        <v>2192657</v>
      </c>
      <c r="K102" s="17">
        <f>+Tabla22[[#This Row],[Web + APP 2026]]</f>
        <v>3172823</v>
      </c>
      <c r="L102" s="17">
        <v>17516.379310344801</v>
      </c>
      <c r="M102" s="17">
        <f>+Tabla22[[#This Row],[Afiliados 2026]]</f>
        <v>20804</v>
      </c>
      <c r="N102" s="17">
        <v>43419</v>
      </c>
      <c r="O102" s="17">
        <f>+Tabla22[[#This Row],[TMK 2026]]</f>
        <v>11709</v>
      </c>
      <c r="P102" s="17">
        <v>11270</v>
      </c>
      <c r="Q102" s="17">
        <f>+Tabla22[[#This Row],[WA 2026]]</f>
        <v>1421</v>
      </c>
      <c r="R102" s="17">
        <v>53292</v>
      </c>
      <c r="S102" s="17">
        <f>+Tabla22[[#This Row],[Ent. en Tienda 2026]]</f>
        <v>87691</v>
      </c>
      <c r="T102" s="17">
        <v>414956</v>
      </c>
      <c r="U102" s="17">
        <f>+Tabla22[[#This Row],[Meli Drop 2026]]</f>
        <v>462300</v>
      </c>
      <c r="V102" s="17">
        <v>99227</v>
      </c>
      <c r="W102" s="17">
        <f>+Tabla22[[#This Row],[Meli Full 2026]]</f>
        <v>118189</v>
      </c>
      <c r="X102" s="17">
        <v>16763</v>
      </c>
      <c r="Y102" s="17">
        <f>+Tabla22[[#This Row],[Amazon Drop 2026]]</f>
        <v>14527</v>
      </c>
      <c r="Z102" s="17">
        <v>6494</v>
      </c>
      <c r="AA102" s="17">
        <f>+Tabla22[[#This Row],[Amazon Full 2026]]</f>
        <v>13979</v>
      </c>
      <c r="AB102" s="17">
        <v>0</v>
      </c>
      <c r="AC102" s="17">
        <f>+Tabla22[[#This Row],[TikTok 2026]]</f>
        <v>0</v>
      </c>
      <c r="AD102" s="17">
        <v>0</v>
      </c>
      <c r="AE102" s="17">
        <f>+Tabla22[[#This Row],[Shein 2026]]</f>
        <v>818</v>
      </c>
      <c r="AF102" s="17">
        <f t="shared" si="25"/>
        <v>3904261</v>
      </c>
      <c r="AG102" s="18">
        <f t="shared" si="26"/>
        <v>1.1340280440416546</v>
      </c>
      <c r="AH102" s="17">
        <f t="shared" si="27"/>
        <v>461435.20701053599</v>
      </c>
      <c r="AI102" s="20">
        <f t="shared" si="28"/>
        <v>0.36723234514242131</v>
      </c>
      <c r="AJ102" s="20">
        <f t="shared" ref="AJ102:AJ118" si="40">+C102/B105</f>
        <v>6.662610932271204E-2</v>
      </c>
      <c r="AK102" s="21">
        <f t="shared" si="30"/>
        <v>0.10427324537005928</v>
      </c>
      <c r="AL102" s="21">
        <f t="shared" ref="AL102:AL118" si="41">+E102/B105-1</f>
        <v>-0.12639746299520838</v>
      </c>
      <c r="AO102" s="38">
        <f t="shared" si="32"/>
        <v>46121</v>
      </c>
      <c r="AP102" s="17">
        <f>Tabla2[[#This Row],[Web + APP 2025]]+Tabla2[[#This Row],[Afiliados 2025]]+Tabla2[[#This Row],[TMK 2025]]+Tabla2[[#This Row],[WA 2025]]+Tabla2[[#This Row],[Ent. en Tienda 2025]]</f>
        <v>2318154.3793103448</v>
      </c>
      <c r="AQ102" s="17">
        <f>Tabla2[[#This Row],[Meli Drop 2025]]+Tabla2[[#This Row],[Meli Full 2025]]+Tabla2[[#This Row],[Amazon Drop 2025]]+Tabla2[[#This Row],[Amazon Full 2025]]+Tabla2[[#This Row],[TikTok 2025]]+Tabla2[[#This Row],[Shein 2025]]</f>
        <v>537440</v>
      </c>
      <c r="AR102" s="17">
        <f>Tabla2[[#This Row],[Web + APP 2026]]+Tabla2[[#This Row],[Afiliados 2026]]+Tabla2[[#This Row],[TMK 2026]]+Tabla2[[#This Row],[WA 2026]]+Tabla2[[#This Row],[Ent. en Tienda 2026]]</f>
        <v>3294448</v>
      </c>
      <c r="AS102" s="17">
        <f>Tabla2[[#This Row],[Meli Drop 2026]]+Tabla2[[#This Row],[Meli Full 2026]]+Tabla2[[#This Row],[Amazon Drop 2026]]+Tabla2[[#This Row],[Amazon Full 2026]]+Tabla2[[#This Row],[TikTok 2026]]+Tabla2[[#This Row],[Shein 2026]]</f>
        <v>609813</v>
      </c>
      <c r="AT102" s="18">
        <f t="shared" si="33"/>
        <v>0.42115125265302833</v>
      </c>
      <c r="AU102" s="18">
        <f t="shared" si="33"/>
        <v>0.13466247395058062</v>
      </c>
      <c r="AV102" s="49">
        <f t="shared" si="34"/>
        <v>2838051.03188224</v>
      </c>
      <c r="AW102" s="49">
        <f t="shared" si="34"/>
        <v>604774.76110722404</v>
      </c>
      <c r="AX102" s="39">
        <f t="shared" si="35"/>
        <v>1.1608135170899554</v>
      </c>
      <c r="AY102" s="39">
        <f t="shared" si="35"/>
        <v>1.0083307691008003</v>
      </c>
      <c r="AZ102" s="39">
        <f t="shared" si="36"/>
        <v>1.1340280440416546</v>
      </c>
      <c r="BA102" s="18">
        <f t="shared" si="38"/>
        <v>3.8532805223208358E-2</v>
      </c>
      <c r="BB102" s="20">
        <f t="shared" si="39"/>
        <v>3.4064127816886301E-2</v>
      </c>
      <c r="BC102" s="17">
        <f t="shared" si="37"/>
        <v>456396.96811776003</v>
      </c>
      <c r="BD102" s="17">
        <f t="shared" si="37"/>
        <v>5038.2388927759603</v>
      </c>
    </row>
    <row r="103" spans="1:56" ht="14.25" customHeight="1" x14ac:dyDescent="0.35">
      <c r="A103" s="19">
        <v>45758</v>
      </c>
      <c r="B103" s="17">
        <v>38630835</v>
      </c>
      <c r="C103" s="17">
        <f t="shared" si="23"/>
        <v>2228457.1034482759</v>
      </c>
      <c r="D103" s="18">
        <f>+Tabla22[[#This Row],[Share diario]]</f>
        <v>3.4381882834973787E-2</v>
      </c>
      <c r="E103" s="17">
        <f>+Tabla22[[#This Row],[Global 2026]]</f>
        <v>38060436</v>
      </c>
      <c r="F103" s="19">
        <v>46122</v>
      </c>
      <c r="G103" s="17">
        <f t="shared" si="24"/>
        <v>3326298.0552961957</v>
      </c>
      <c r="H103" s="17">
        <v>2749076.7175187599</v>
      </c>
      <c r="I103" s="17">
        <v>577221.33777743601</v>
      </c>
      <c r="J103" s="17">
        <v>1604794</v>
      </c>
      <c r="K103" s="17">
        <f>+Tabla22[[#This Row],[Web + APP 2026]]</f>
        <v>2535597</v>
      </c>
      <c r="L103" s="17">
        <v>16868.103448275899</v>
      </c>
      <c r="M103" s="17">
        <f>+Tabla22[[#This Row],[Afiliados 2026]]</f>
        <v>22229</v>
      </c>
      <c r="N103" s="17">
        <v>51502</v>
      </c>
      <c r="O103" s="17">
        <f>+Tabla22[[#This Row],[TMK 2026]]</f>
        <v>16211</v>
      </c>
      <c r="P103" s="17">
        <v>8066</v>
      </c>
      <c r="Q103" s="17">
        <f>+Tabla22[[#This Row],[WA 2026]]</f>
        <v>1789</v>
      </c>
      <c r="R103" s="17">
        <v>71162</v>
      </c>
      <c r="S103" s="17">
        <f>+Tabla22[[#This Row],[Ent. en Tienda 2026]]</f>
        <v>52425</v>
      </c>
      <c r="T103" s="17">
        <v>379811</v>
      </c>
      <c r="U103" s="17">
        <f>+Tabla22[[#This Row],[Meli Drop 2026]]</f>
        <v>374003</v>
      </c>
      <c r="V103" s="17">
        <v>81052</v>
      </c>
      <c r="W103" s="17">
        <f>+Tabla22[[#This Row],[Meli Full 2026]]</f>
        <v>127024</v>
      </c>
      <c r="X103" s="17">
        <v>5276</v>
      </c>
      <c r="Y103" s="17">
        <f>+Tabla22[[#This Row],[Amazon Drop 2026]]</f>
        <v>13679</v>
      </c>
      <c r="Z103" s="17">
        <v>9926</v>
      </c>
      <c r="AA103" s="17">
        <f>+Tabla22[[#This Row],[Amazon Full 2026]]</f>
        <v>5354</v>
      </c>
      <c r="AB103" s="17">
        <v>0</v>
      </c>
      <c r="AC103" s="17">
        <f>+Tabla22[[#This Row],[TikTok 2026]]</f>
        <v>0</v>
      </c>
      <c r="AD103" s="17">
        <v>0</v>
      </c>
      <c r="AE103" s="17">
        <f>+Tabla22[[#This Row],[Shein 2026]]</f>
        <v>646</v>
      </c>
      <c r="AF103" s="17">
        <f t="shared" si="25"/>
        <v>3148957</v>
      </c>
      <c r="AG103" s="18">
        <f t="shared" si="26"/>
        <v>0.94668515799002739</v>
      </c>
      <c r="AH103" s="17">
        <f t="shared" si="27"/>
        <v>-177341.05529619567</v>
      </c>
      <c r="AI103" s="20">
        <f t="shared" si="28"/>
        <v>0.41306601555280498</v>
      </c>
      <c r="AJ103" s="20">
        <f t="shared" si="40"/>
        <v>6.6954933563361366E-2</v>
      </c>
      <c r="AK103" s="21">
        <f t="shared" si="30"/>
        <v>8.2735704866859647E-2</v>
      </c>
      <c r="AL103" s="21">
        <f t="shared" si="41"/>
        <v>0.14354185226600014</v>
      </c>
      <c r="AO103" s="38">
        <f t="shared" si="32"/>
        <v>46122</v>
      </c>
      <c r="AP103" s="17">
        <f>Tabla2[[#This Row],[Web + APP 2025]]+Tabla2[[#This Row],[Afiliados 2025]]+Tabla2[[#This Row],[TMK 2025]]+Tabla2[[#This Row],[WA 2025]]+Tabla2[[#This Row],[Ent. en Tienda 2025]]</f>
        <v>1752392.1034482759</v>
      </c>
      <c r="AQ103" s="17">
        <f>Tabla2[[#This Row],[Meli Drop 2025]]+Tabla2[[#This Row],[Meli Full 2025]]+Tabla2[[#This Row],[Amazon Drop 2025]]+Tabla2[[#This Row],[Amazon Full 2025]]+Tabla2[[#This Row],[TikTok 2025]]+Tabla2[[#This Row],[Shein 2025]]</f>
        <v>476065</v>
      </c>
      <c r="AR103" s="17">
        <f>Tabla2[[#This Row],[Web + APP 2026]]+Tabla2[[#This Row],[Afiliados 2026]]+Tabla2[[#This Row],[TMK 2026]]+Tabla2[[#This Row],[WA 2026]]+Tabla2[[#This Row],[Ent. en Tienda 2026]]</f>
        <v>2628251</v>
      </c>
      <c r="AS103" s="17">
        <f>Tabla2[[#This Row],[Meli Drop 2026]]+Tabla2[[#This Row],[Meli Full 2026]]+Tabla2[[#This Row],[Amazon Drop 2026]]+Tabla2[[#This Row],[Amazon Full 2026]]+Tabla2[[#This Row],[TikTok 2026]]+Tabla2[[#This Row],[Shein 2026]]</f>
        <v>520706</v>
      </c>
      <c r="AT103" s="18">
        <f t="shared" si="33"/>
        <v>0.49980760289221204</v>
      </c>
      <c r="AU103" s="18">
        <f t="shared" si="33"/>
        <v>9.377080860806819E-2</v>
      </c>
      <c r="AV103" s="49">
        <f t="shared" si="34"/>
        <v>2749076.7175187599</v>
      </c>
      <c r="AW103" s="49">
        <f t="shared" si="34"/>
        <v>577221.33777743601</v>
      </c>
      <c r="AX103" s="39">
        <f t="shared" si="35"/>
        <v>0.95604861925140672</v>
      </c>
      <c r="AY103" s="39">
        <f t="shared" si="35"/>
        <v>0.90209069887290427</v>
      </c>
      <c r="AZ103" s="39">
        <f t="shared" si="36"/>
        <v>0.94668515799002739</v>
      </c>
      <c r="BA103" s="18">
        <f t="shared" si="38"/>
        <v>3.413240532633724E-2</v>
      </c>
      <c r="BB103" s="20">
        <f t="shared" si="39"/>
        <v>2.5750532030969959E-2</v>
      </c>
      <c r="BC103" s="17">
        <f t="shared" si="37"/>
        <v>-120825.71751875989</v>
      </c>
      <c r="BD103" s="17">
        <f t="shared" si="37"/>
        <v>-56515.337777436012</v>
      </c>
    </row>
    <row r="104" spans="1:56" ht="14.25" customHeight="1" x14ac:dyDescent="0.35">
      <c r="A104" s="16">
        <v>45759</v>
      </c>
      <c r="B104" s="17">
        <v>47070678</v>
      </c>
      <c r="C104" s="17">
        <f t="shared" si="23"/>
        <v>1943897.9655172415</v>
      </c>
      <c r="D104" s="18">
        <f>+Tabla22[[#This Row],[Share diario]]</f>
        <v>2.683103440343227E-2</v>
      </c>
      <c r="E104" s="17">
        <f>+Tabla22[[#This Row],[Global 2026]]</f>
        <v>44317773</v>
      </c>
      <c r="F104" s="19">
        <v>46123</v>
      </c>
      <c r="G104" s="17">
        <f t="shared" si="24"/>
        <v>2937113.3031593719</v>
      </c>
      <c r="H104" s="17">
        <v>2441321.4519349602</v>
      </c>
      <c r="I104" s="17">
        <v>495791.85122441198</v>
      </c>
      <c r="J104" s="17">
        <v>1381331</v>
      </c>
      <c r="K104" s="17">
        <f>+Tabla22[[#This Row],[Web + APP 2026]]</f>
        <v>1919461</v>
      </c>
      <c r="L104" s="17">
        <v>16293.9655172414</v>
      </c>
      <c r="M104" s="17">
        <f>+Tabla22[[#This Row],[Afiliados 2026]]</f>
        <v>23291</v>
      </c>
      <c r="N104" s="17">
        <v>6610</v>
      </c>
      <c r="O104" s="17">
        <f>+Tabla22[[#This Row],[TMK 2026]]</f>
        <v>9774</v>
      </c>
      <c r="P104" s="17">
        <v>11834</v>
      </c>
      <c r="Q104" s="17">
        <f>+Tabla22[[#This Row],[WA 2026]]</f>
        <v>0</v>
      </c>
      <c r="R104" s="17">
        <v>53467</v>
      </c>
      <c r="S104" s="17">
        <f>+Tabla22[[#This Row],[Ent. en Tienda 2026]]</f>
        <v>121634</v>
      </c>
      <c r="T104" s="17">
        <v>372193</v>
      </c>
      <c r="U104" s="17">
        <f>+Tabla22[[#This Row],[Meli Drop 2026]]</f>
        <v>377396</v>
      </c>
      <c r="V104" s="17">
        <v>72801</v>
      </c>
      <c r="W104" s="17">
        <f>+Tabla22[[#This Row],[Meli Full 2026]]</f>
        <v>109212</v>
      </c>
      <c r="X104" s="17">
        <v>17561</v>
      </c>
      <c r="Y104" s="17">
        <f>+Tabla22[[#This Row],[Amazon Drop 2026]]</f>
        <v>11510</v>
      </c>
      <c r="Z104" s="17">
        <v>11807</v>
      </c>
      <c r="AA104" s="17">
        <f>+Tabla22[[#This Row],[Amazon Full 2026]]</f>
        <v>7393</v>
      </c>
      <c r="AB104" s="17">
        <v>0</v>
      </c>
      <c r="AC104" s="17">
        <f>+Tabla22[[#This Row],[TikTok 2026]]</f>
        <v>0</v>
      </c>
      <c r="AD104" s="17">
        <v>0</v>
      </c>
      <c r="AE104" s="17">
        <f>+Tabla22[[#This Row],[Shein 2026]]</f>
        <v>0</v>
      </c>
      <c r="AF104" s="17">
        <f t="shared" si="25"/>
        <v>2579671</v>
      </c>
      <c r="AG104" s="18">
        <f t="shared" si="26"/>
        <v>0.87830149324682805</v>
      </c>
      <c r="AH104" s="17">
        <f t="shared" si="27"/>
        <v>-357442.30315937195</v>
      </c>
      <c r="AI104" s="20">
        <f t="shared" si="28"/>
        <v>0.32706090842252045</v>
      </c>
      <c r="AJ104" s="20">
        <f t="shared" si="40"/>
        <v>5.109711220230076E-2</v>
      </c>
      <c r="AK104" s="21">
        <f t="shared" si="30"/>
        <v>5.8208497976646977E-2</v>
      </c>
      <c r="AL104" s="21">
        <f t="shared" si="41"/>
        <v>0.16493265578090344</v>
      </c>
      <c r="AO104" s="38">
        <f t="shared" si="32"/>
        <v>46123</v>
      </c>
      <c r="AP104" s="17">
        <f>Tabla2[[#This Row],[Web + APP 2025]]+Tabla2[[#This Row],[Afiliados 2025]]+Tabla2[[#This Row],[TMK 2025]]+Tabla2[[#This Row],[WA 2025]]+Tabla2[[#This Row],[Ent. en Tienda 2025]]</f>
        <v>1469535.9655172415</v>
      </c>
      <c r="AQ104" s="17">
        <f>Tabla2[[#This Row],[Meli Drop 2025]]+Tabla2[[#This Row],[Meli Full 2025]]+Tabla2[[#This Row],[Amazon Drop 2025]]+Tabla2[[#This Row],[Amazon Full 2025]]+Tabla2[[#This Row],[TikTok 2025]]+Tabla2[[#This Row],[Shein 2025]]</f>
        <v>474362</v>
      </c>
      <c r="AR104" s="17">
        <f>Tabla2[[#This Row],[Web + APP 2026]]+Tabla2[[#This Row],[Afiliados 2026]]+Tabla2[[#This Row],[TMK 2026]]+Tabla2[[#This Row],[WA 2026]]+Tabla2[[#This Row],[Ent. en Tienda 2026]]</f>
        <v>2074160</v>
      </c>
      <c r="AS104" s="17">
        <f>Tabla2[[#This Row],[Meli Drop 2026]]+Tabla2[[#This Row],[Meli Full 2026]]+Tabla2[[#This Row],[Amazon Drop 2026]]+Tabla2[[#This Row],[Amazon Full 2026]]+Tabla2[[#This Row],[TikTok 2026]]+Tabla2[[#This Row],[Shein 2026]]</f>
        <v>505511</v>
      </c>
      <c r="AT104" s="18">
        <f t="shared" si="33"/>
        <v>0.41143874574716199</v>
      </c>
      <c r="AU104" s="18">
        <f t="shared" si="33"/>
        <v>6.5665040622984172E-2</v>
      </c>
      <c r="AV104" s="49">
        <f t="shared" si="34"/>
        <v>2441321.4519349602</v>
      </c>
      <c r="AW104" s="49">
        <f t="shared" si="34"/>
        <v>495791.85122441198</v>
      </c>
      <c r="AX104" s="39">
        <f t="shared" si="35"/>
        <v>0.8496054455901525</v>
      </c>
      <c r="AY104" s="39">
        <f t="shared" si="35"/>
        <v>1.0196032846275822</v>
      </c>
      <c r="AZ104" s="39">
        <f t="shared" si="36"/>
        <v>0.87830149324682805</v>
      </c>
      <c r="BA104" s="18">
        <f t="shared" si="38"/>
        <v>3.4010305431846466E-2</v>
      </c>
      <c r="BB104" s="20">
        <f t="shared" si="39"/>
        <v>2.159410150060119E-2</v>
      </c>
      <c r="BC104" s="17">
        <f t="shared" si="37"/>
        <v>-367161.45193496021</v>
      </c>
      <c r="BD104" s="17">
        <f t="shared" si="37"/>
        <v>9719.1487755880225</v>
      </c>
    </row>
    <row r="105" spans="1:56" ht="14.25" customHeight="1" x14ac:dyDescent="0.35">
      <c r="A105" s="19">
        <v>45760</v>
      </c>
      <c r="B105" s="17">
        <v>42859990</v>
      </c>
      <c r="C105" s="17">
        <f t="shared" si="23"/>
        <v>2131055.4482758623</v>
      </c>
      <c r="D105" s="18">
        <f>+Tabla22[[#This Row],[Share diario]]</f>
        <v>2.3404889916367962E-2</v>
      </c>
      <c r="E105" s="17">
        <f>+Tabla22[[#This Row],[Global 2026]]</f>
        <v>45342867</v>
      </c>
      <c r="F105" s="19">
        <v>46124</v>
      </c>
      <c r="G105" s="17">
        <f t="shared" si="24"/>
        <v>3206594.500332939</v>
      </c>
      <c r="H105" s="17">
        <v>2685635.78252867</v>
      </c>
      <c r="I105" s="17">
        <v>520958.71780426899</v>
      </c>
      <c r="J105" s="17">
        <v>1569406</v>
      </c>
      <c r="K105" s="17">
        <f>+Tabla22[[#This Row],[Web + APP 2026]]</f>
        <v>2182914</v>
      </c>
      <c r="L105" s="17">
        <v>19453.448275862102</v>
      </c>
      <c r="M105" s="17">
        <f>+Tabla22[[#This Row],[Afiliados 2026]]</f>
        <v>23094</v>
      </c>
      <c r="N105" s="17">
        <v>1820</v>
      </c>
      <c r="O105" s="17">
        <f>+Tabla22[[#This Row],[TMK 2026]]</f>
        <v>-748</v>
      </c>
      <c r="P105" s="17">
        <v>11036</v>
      </c>
      <c r="Q105" s="17">
        <f>+Tabla22[[#This Row],[WA 2026]]</f>
        <v>0</v>
      </c>
      <c r="R105" s="17">
        <v>72440</v>
      </c>
      <c r="S105" s="17">
        <f>+Tabla22[[#This Row],[Ent. en Tienda 2026]]</f>
        <v>47402</v>
      </c>
      <c r="T105" s="17">
        <v>333556</v>
      </c>
      <c r="U105" s="17">
        <f>+Tabla22[[#This Row],[Meli Drop 2026]]</f>
        <v>497090</v>
      </c>
      <c r="V105" s="17">
        <v>96341</v>
      </c>
      <c r="W105" s="17">
        <f>+Tabla22[[#This Row],[Meli Full 2026]]</f>
        <v>137516</v>
      </c>
      <c r="X105" s="17">
        <v>15131</v>
      </c>
      <c r="Y105" s="17">
        <f>+Tabla22[[#This Row],[Amazon Drop 2026]]</f>
        <v>16747</v>
      </c>
      <c r="Z105" s="17">
        <v>11872</v>
      </c>
      <c r="AA105" s="17">
        <f>+Tabla22[[#This Row],[Amazon Full 2026]]</f>
        <v>6469</v>
      </c>
      <c r="AB105" s="17">
        <v>0</v>
      </c>
      <c r="AC105" s="17">
        <f>+Tabla22[[#This Row],[TikTok 2026]]</f>
        <v>0</v>
      </c>
      <c r="AD105" s="17">
        <v>0</v>
      </c>
      <c r="AE105" s="17">
        <f>+Tabla22[[#This Row],[Shein 2026]]</f>
        <v>0</v>
      </c>
      <c r="AF105" s="17">
        <f t="shared" si="25"/>
        <v>2910484</v>
      </c>
      <c r="AG105" s="18">
        <f t="shared" si="26"/>
        <v>0.90765576991347241</v>
      </c>
      <c r="AH105" s="17">
        <f t="shared" si="27"/>
        <v>-296110.50033293897</v>
      </c>
      <c r="AI105" s="20">
        <f t="shared" si="28"/>
        <v>0.36574766384175361</v>
      </c>
      <c r="AJ105" s="20">
        <f t="shared" si="40"/>
        <v>5.182121160569092E-2</v>
      </c>
      <c r="AK105" s="21">
        <f t="shared" si="30"/>
        <v>6.4188354035928083E-2</v>
      </c>
      <c r="AL105" s="21">
        <f t="shared" si="41"/>
        <v>0.1026096517182371</v>
      </c>
      <c r="AO105" s="38">
        <f t="shared" si="32"/>
        <v>46124</v>
      </c>
      <c r="AP105" s="17">
        <f>Tabla2[[#This Row],[Web + APP 2025]]+Tabla2[[#This Row],[Afiliados 2025]]+Tabla2[[#This Row],[TMK 2025]]+Tabla2[[#This Row],[WA 2025]]+Tabla2[[#This Row],[Ent. en Tienda 2025]]</f>
        <v>1674155.448275862</v>
      </c>
      <c r="AQ105" s="17">
        <f>Tabla2[[#This Row],[Meli Drop 2025]]+Tabla2[[#This Row],[Meli Full 2025]]+Tabla2[[#This Row],[Amazon Drop 2025]]+Tabla2[[#This Row],[Amazon Full 2025]]+Tabla2[[#This Row],[TikTok 2025]]+Tabla2[[#This Row],[Shein 2025]]</f>
        <v>456900</v>
      </c>
      <c r="AR105" s="17">
        <f>Tabla2[[#This Row],[Web + APP 2026]]+Tabla2[[#This Row],[Afiliados 2026]]+Tabla2[[#This Row],[TMK 2026]]+Tabla2[[#This Row],[WA 2026]]+Tabla2[[#This Row],[Ent. en Tienda 2026]]</f>
        <v>2252662</v>
      </c>
      <c r="AS105" s="17">
        <f>Tabla2[[#This Row],[Meli Drop 2026]]+Tabla2[[#This Row],[Meli Full 2026]]+Tabla2[[#This Row],[Amazon Drop 2026]]+Tabla2[[#This Row],[Amazon Full 2026]]+Tabla2[[#This Row],[TikTok 2026]]+Tabla2[[#This Row],[Shein 2026]]</f>
        <v>657822</v>
      </c>
      <c r="AT105" s="18">
        <f t="shared" si="33"/>
        <v>0.34555127620909754</v>
      </c>
      <c r="AU105" s="18">
        <f t="shared" si="33"/>
        <v>0.43975049244911357</v>
      </c>
      <c r="AV105" s="49">
        <f t="shared" si="34"/>
        <v>2685635.78252867</v>
      </c>
      <c r="AW105" s="49">
        <f t="shared" si="34"/>
        <v>520958.71780426899</v>
      </c>
      <c r="AX105" s="39">
        <f t="shared" si="35"/>
        <v>0.8387816451711847</v>
      </c>
      <c r="AY105" s="39">
        <f t="shared" si="35"/>
        <v>1.2627142564627403</v>
      </c>
      <c r="AZ105" s="39">
        <f t="shared" si="36"/>
        <v>0.90765576991347241</v>
      </c>
      <c r="BA105" s="18">
        <f t="shared" si="38"/>
        <v>3.2758333407420175E-2</v>
      </c>
      <c r="BB105" s="20">
        <f t="shared" si="39"/>
        <v>2.4600883221751468E-2</v>
      </c>
      <c r="BC105" s="17">
        <f t="shared" si="37"/>
        <v>-432973.78252867004</v>
      </c>
      <c r="BD105" s="17">
        <f t="shared" si="37"/>
        <v>136863.28219573101</v>
      </c>
    </row>
    <row r="106" spans="1:56" ht="14.25" customHeight="1" x14ac:dyDescent="0.35">
      <c r="A106" s="16">
        <v>45761</v>
      </c>
      <c r="B106" s="17">
        <v>33282941</v>
      </c>
      <c r="C106" s="17">
        <f t="shared" si="23"/>
        <v>3391252.4137931033</v>
      </c>
      <c r="D106" s="18">
        <f>+Tabla22[[#This Row],[Share diario]]</f>
        <v>2.5658300516458021E-2</v>
      </c>
      <c r="E106" s="17">
        <f>+Tabla22[[#This Row],[Global 2026]]</f>
        <v>25303094</v>
      </c>
      <c r="F106" s="19">
        <v>46125</v>
      </c>
      <c r="G106" s="17">
        <f t="shared" si="24"/>
        <v>4091565.706355758</v>
      </c>
      <c r="H106" s="17">
        <v>3548869.4431393798</v>
      </c>
      <c r="I106" s="17">
        <v>542696.26321637805</v>
      </c>
      <c r="J106" s="17">
        <v>2602332</v>
      </c>
      <c r="K106" s="17">
        <f>+Tabla22[[#This Row],[Web + APP 2026]]</f>
        <v>3545385</v>
      </c>
      <c r="L106" s="17">
        <v>16797.4137931035</v>
      </c>
      <c r="M106" s="17">
        <f>+Tabla22[[#This Row],[Afiliados 2026]]</f>
        <v>17718</v>
      </c>
      <c r="N106" s="17">
        <v>67991</v>
      </c>
      <c r="O106" s="17">
        <f>+Tabla22[[#This Row],[TMK 2026]]</f>
        <v>56841</v>
      </c>
      <c r="P106" s="17">
        <v>21714</v>
      </c>
      <c r="Q106" s="17">
        <f>+Tabla22[[#This Row],[WA 2026]]</f>
        <v>2996</v>
      </c>
      <c r="R106" s="17">
        <v>83069</v>
      </c>
      <c r="S106" s="17">
        <f>+Tabla22[[#This Row],[Ent. en Tienda 2026]]</f>
        <v>100894</v>
      </c>
      <c r="T106" s="17">
        <v>470529</v>
      </c>
      <c r="U106" s="17">
        <f>+Tabla22[[#This Row],[Meli Drop 2026]]</f>
        <v>599220</v>
      </c>
      <c r="V106" s="17">
        <v>93695</v>
      </c>
      <c r="W106" s="17">
        <f>+Tabla22[[#This Row],[Meli Full 2026]]</f>
        <v>96164</v>
      </c>
      <c r="X106" s="17">
        <v>26519</v>
      </c>
      <c r="Y106" s="17">
        <f>+Tabla22[[#This Row],[Amazon Drop 2026]]</f>
        <v>20425</v>
      </c>
      <c r="Z106" s="17">
        <v>8606</v>
      </c>
      <c r="AA106" s="17">
        <f>+Tabla22[[#This Row],[Amazon Full 2026]]</f>
        <v>6939</v>
      </c>
      <c r="AB106" s="17">
        <v>0</v>
      </c>
      <c r="AC106" s="17">
        <f>+Tabla22[[#This Row],[TikTok 2026]]</f>
        <v>1740</v>
      </c>
      <c r="AD106" s="17">
        <v>0</v>
      </c>
      <c r="AE106" s="17">
        <f>+Tabla22[[#This Row],[Shein 2026]]</f>
        <v>2669</v>
      </c>
      <c r="AF106" s="17">
        <f t="shared" si="25"/>
        <v>4450991</v>
      </c>
      <c r="AG106" s="18">
        <f t="shared" si="26"/>
        <v>1.0878454165078952</v>
      </c>
      <c r="AH106" s="17">
        <f t="shared" si="27"/>
        <v>359425.29364424199</v>
      </c>
      <c r="AI106" s="20">
        <f t="shared" si="28"/>
        <v>0.31249180447219582</v>
      </c>
      <c r="AJ106" s="20">
        <f t="shared" si="40"/>
        <v>9.4189397079498999E-2</v>
      </c>
      <c r="AK106" s="21">
        <f t="shared" si="30"/>
        <v>0.17590698592037796</v>
      </c>
      <c r="AL106" s="21">
        <f t="shared" si="41"/>
        <v>-0.29722625233897138</v>
      </c>
      <c r="AO106" s="38">
        <f t="shared" si="32"/>
        <v>46125</v>
      </c>
      <c r="AP106" s="17">
        <f>Tabla2[[#This Row],[Web + APP 2025]]+Tabla2[[#This Row],[Afiliados 2025]]+Tabla2[[#This Row],[TMK 2025]]+Tabla2[[#This Row],[WA 2025]]+Tabla2[[#This Row],[Ent. en Tienda 2025]]</f>
        <v>2791903.4137931033</v>
      </c>
      <c r="AQ106" s="17">
        <f>Tabla2[[#This Row],[Meli Drop 2025]]+Tabla2[[#This Row],[Meli Full 2025]]+Tabla2[[#This Row],[Amazon Drop 2025]]+Tabla2[[#This Row],[Amazon Full 2025]]+Tabla2[[#This Row],[TikTok 2025]]+Tabla2[[#This Row],[Shein 2025]]</f>
        <v>599349</v>
      </c>
      <c r="AR106" s="17">
        <f>Tabla2[[#This Row],[Web + APP 2026]]+Tabla2[[#This Row],[Afiliados 2026]]+Tabla2[[#This Row],[TMK 2026]]+Tabla2[[#This Row],[WA 2026]]+Tabla2[[#This Row],[Ent. en Tienda 2026]]</f>
        <v>3723834</v>
      </c>
      <c r="AS106" s="17">
        <f>Tabla2[[#This Row],[Meli Drop 2026]]+Tabla2[[#This Row],[Meli Full 2026]]+Tabla2[[#This Row],[Amazon Drop 2026]]+Tabla2[[#This Row],[Amazon Full 2026]]+Tabla2[[#This Row],[TikTok 2026]]+Tabla2[[#This Row],[Shein 2026]]</f>
        <v>727157</v>
      </c>
      <c r="AT106" s="18">
        <f t="shared" si="33"/>
        <v>0.33379757394284937</v>
      </c>
      <c r="AU106" s="18">
        <f t="shared" si="33"/>
        <v>0.21324470383699645</v>
      </c>
      <c r="AV106" s="49">
        <f t="shared" si="34"/>
        <v>3548869.4431393798</v>
      </c>
      <c r="AW106" s="49">
        <f t="shared" si="34"/>
        <v>542696.26321637805</v>
      </c>
      <c r="AX106" s="39">
        <f t="shared" si="35"/>
        <v>1.0493014915493324</v>
      </c>
      <c r="AY106" s="39">
        <f t="shared" si="35"/>
        <v>1.3398968249576388</v>
      </c>
      <c r="AZ106" s="39">
        <f t="shared" si="36"/>
        <v>1.0878454165078952</v>
      </c>
      <c r="BA106" s="18">
        <f t="shared" si="38"/>
        <v>4.2971491287817631E-2</v>
      </c>
      <c r="BB106" s="20">
        <f t="shared" si="39"/>
        <v>4.1025634698299521E-2</v>
      </c>
      <c r="BC106" s="17">
        <f t="shared" si="37"/>
        <v>174964.55686062016</v>
      </c>
      <c r="BD106" s="17">
        <f t="shared" si="37"/>
        <v>184460.73678362195</v>
      </c>
    </row>
    <row r="107" spans="1:56" ht="14.25" customHeight="1" x14ac:dyDescent="0.35">
      <c r="A107" s="19">
        <v>45762</v>
      </c>
      <c r="B107" s="17">
        <v>38043206</v>
      </c>
      <c r="C107" s="17">
        <f t="shared" si="23"/>
        <v>3026574.2758620689</v>
      </c>
      <c r="D107" s="18">
        <f>+Tabla22[[#This Row],[Share diario]]</f>
        <v>4.0831304333571371E-2</v>
      </c>
      <c r="E107" s="17">
        <f>+Tabla22[[#This Row],[Global 2026]]</f>
        <v>28217356</v>
      </c>
      <c r="F107" s="19">
        <v>46126</v>
      </c>
      <c r="G107" s="17">
        <f t="shared" si="24"/>
        <v>4355526.0469413977</v>
      </c>
      <c r="H107" s="17">
        <v>3902260.8948228299</v>
      </c>
      <c r="I107" s="17">
        <v>453265.15211856802</v>
      </c>
      <c r="J107" s="17">
        <v>2444873</v>
      </c>
      <c r="K107" s="17">
        <f>+Tabla22[[#This Row],[Web + APP 2026]]</f>
        <v>3863997</v>
      </c>
      <c r="L107" s="17">
        <v>19573.275862069</v>
      </c>
      <c r="M107" s="17">
        <f>+Tabla22[[#This Row],[Afiliados 2026]]</f>
        <v>23988</v>
      </c>
      <c r="N107" s="17">
        <v>50256</v>
      </c>
      <c r="O107" s="17">
        <f>+Tabla22[[#This Row],[TMK 2026]]</f>
        <v>19513</v>
      </c>
      <c r="P107" s="17">
        <v>13006</v>
      </c>
      <c r="Q107" s="17">
        <f>+Tabla22[[#This Row],[WA 2026]]</f>
        <v>3125</v>
      </c>
      <c r="R107" s="17">
        <v>55749</v>
      </c>
      <c r="S107" s="17">
        <f>+Tabla22[[#This Row],[Ent. en Tienda 2026]]</f>
        <v>94878</v>
      </c>
      <c r="T107" s="17">
        <v>297114</v>
      </c>
      <c r="U107" s="17">
        <f>+Tabla22[[#This Row],[Meli Drop 2026]]</f>
        <v>330568</v>
      </c>
      <c r="V107" s="17">
        <v>118730</v>
      </c>
      <c r="W107" s="17">
        <f>+Tabla22[[#This Row],[Meli Full 2026]]</f>
        <v>67207</v>
      </c>
      <c r="X107" s="17">
        <v>16825</v>
      </c>
      <c r="Y107" s="17">
        <f>+Tabla22[[#This Row],[Amazon Drop 2026]]</f>
        <v>14175</v>
      </c>
      <c r="Z107" s="17">
        <v>10448</v>
      </c>
      <c r="AA107" s="17">
        <f>+Tabla22[[#This Row],[Amazon Full 2026]]</f>
        <v>8738</v>
      </c>
      <c r="AB107" s="17">
        <v>0</v>
      </c>
      <c r="AC107" s="17">
        <f>+Tabla22[[#This Row],[TikTok 2026]]</f>
        <v>2248</v>
      </c>
      <c r="AD107" s="17">
        <v>0</v>
      </c>
      <c r="AE107" s="17">
        <f>+Tabla22[[#This Row],[Shein 2026]]</f>
        <v>732</v>
      </c>
      <c r="AF107" s="17">
        <f t="shared" si="25"/>
        <v>4429169</v>
      </c>
      <c r="AG107" s="18">
        <f t="shared" si="26"/>
        <v>1.0169079354054873</v>
      </c>
      <c r="AH107" s="17">
        <f t="shared" si="27"/>
        <v>73642.953058602288</v>
      </c>
      <c r="AI107" s="20">
        <f t="shared" si="28"/>
        <v>0.46342650016029285</v>
      </c>
      <c r="AJ107" s="20">
        <f t="shared" si="40"/>
        <v>0.19475834443974993</v>
      </c>
      <c r="AK107" s="21">
        <f t="shared" si="30"/>
        <v>0.15696612396994247</v>
      </c>
      <c r="AL107" s="21">
        <f t="shared" si="41"/>
        <v>0.81577091395245049</v>
      </c>
      <c r="AO107" s="38">
        <f t="shared" si="32"/>
        <v>46126</v>
      </c>
      <c r="AP107" s="17">
        <f>Tabla2[[#This Row],[Web + APP 2025]]+Tabla2[[#This Row],[Afiliados 2025]]+Tabla2[[#This Row],[TMK 2025]]+Tabla2[[#This Row],[WA 2025]]+Tabla2[[#This Row],[Ent. en Tienda 2025]]</f>
        <v>2583457.2758620689</v>
      </c>
      <c r="AQ107" s="17">
        <f>Tabla2[[#This Row],[Meli Drop 2025]]+Tabla2[[#This Row],[Meli Full 2025]]+Tabla2[[#This Row],[Amazon Drop 2025]]+Tabla2[[#This Row],[Amazon Full 2025]]+Tabla2[[#This Row],[TikTok 2025]]+Tabla2[[#This Row],[Shein 2025]]</f>
        <v>443117</v>
      </c>
      <c r="AR107" s="17">
        <f>Tabla2[[#This Row],[Web + APP 2026]]+Tabla2[[#This Row],[Afiliados 2026]]+Tabla2[[#This Row],[TMK 2026]]+Tabla2[[#This Row],[WA 2026]]+Tabla2[[#This Row],[Ent. en Tienda 2026]]</f>
        <v>4005501</v>
      </c>
      <c r="AS107" s="17">
        <f>Tabla2[[#This Row],[Meli Drop 2026]]+Tabla2[[#This Row],[Meli Full 2026]]+Tabla2[[#This Row],[Amazon Drop 2026]]+Tabla2[[#This Row],[Amazon Full 2026]]+Tabla2[[#This Row],[TikTok 2026]]+Tabla2[[#This Row],[Shein 2026]]</f>
        <v>423668</v>
      </c>
      <c r="AT107" s="18">
        <f t="shared" si="33"/>
        <v>0.55044212939941572</v>
      </c>
      <c r="AU107" s="18">
        <f t="shared" si="33"/>
        <v>-4.3891342467113681E-2</v>
      </c>
      <c r="AV107" s="49">
        <f t="shared" si="34"/>
        <v>3902260.8948228299</v>
      </c>
      <c r="AW107" s="49">
        <f t="shared" si="34"/>
        <v>453265.15211856802</v>
      </c>
      <c r="AX107" s="39">
        <f t="shared" si="35"/>
        <v>1.0264564845764514</v>
      </c>
      <c r="AY107" s="39">
        <f t="shared" si="35"/>
        <v>0.93470234369390526</v>
      </c>
      <c r="AZ107" s="39">
        <f t="shared" si="36"/>
        <v>1.0169079354054873</v>
      </c>
      <c r="BA107" s="18">
        <f t="shared" si="38"/>
        <v>3.1770134437504496E-2</v>
      </c>
      <c r="BB107" s="20">
        <f t="shared" si="39"/>
        <v>3.7962622179033449E-2</v>
      </c>
      <c r="BC107" s="17">
        <f t="shared" si="37"/>
        <v>103240.10517717013</v>
      </c>
      <c r="BD107" s="17">
        <f t="shared" si="37"/>
        <v>-29597.152118568018</v>
      </c>
    </row>
    <row r="108" spans="1:56" ht="14.25" customHeight="1" x14ac:dyDescent="0.35">
      <c r="A108" s="16">
        <v>45763</v>
      </c>
      <c r="B108" s="17">
        <v>41123227</v>
      </c>
      <c r="C108" s="17">
        <f t="shared" si="23"/>
        <v>2418990.2758620689</v>
      </c>
      <c r="D108" s="18">
        <f>+Tabla22[[#This Row],[Share diario]]</f>
        <v>3.6440512314345808E-2</v>
      </c>
      <c r="E108" s="17">
        <f>+Tabla22[[#This Row],[Global 2026]]</f>
        <v>30934395</v>
      </c>
      <c r="F108" s="19">
        <v>46127</v>
      </c>
      <c r="G108" s="17">
        <f t="shared" si="24"/>
        <v>4584480.9785924656</v>
      </c>
      <c r="H108" s="17">
        <v>4112402.5295298402</v>
      </c>
      <c r="I108" s="17">
        <v>472078.449062625</v>
      </c>
      <c r="J108" s="17">
        <v>1792566</v>
      </c>
      <c r="K108" s="17">
        <f>+Tabla22[[#This Row],[Web + APP 2026]]</f>
        <v>3534692</v>
      </c>
      <c r="L108" s="17">
        <v>19598.275862069</v>
      </c>
      <c r="M108" s="17">
        <f>+Tabla22[[#This Row],[Afiliados 2026]]</f>
        <v>21408</v>
      </c>
      <c r="N108" s="17">
        <v>46001</v>
      </c>
      <c r="O108" s="17">
        <f>+Tabla22[[#This Row],[TMK 2026]]</f>
        <v>53680</v>
      </c>
      <c r="P108" s="17">
        <v>12990</v>
      </c>
      <c r="Q108" s="17">
        <f>+Tabla22[[#This Row],[WA 2026]]</f>
        <v>4047</v>
      </c>
      <c r="R108" s="17">
        <v>70129</v>
      </c>
      <c r="S108" s="17">
        <f>+Tabla22[[#This Row],[Ent. en Tienda 2026]]</f>
        <v>65918</v>
      </c>
      <c r="T108" s="17">
        <v>329344</v>
      </c>
      <c r="U108" s="17">
        <f>+Tabla22[[#This Row],[Meli Drop 2026]]</f>
        <v>262840</v>
      </c>
      <c r="V108" s="17">
        <v>114466</v>
      </c>
      <c r="W108" s="17">
        <f>+Tabla22[[#This Row],[Meli Full 2026]]</f>
        <v>39646</v>
      </c>
      <c r="X108" s="17">
        <v>22862</v>
      </c>
      <c r="Y108" s="17">
        <f>+Tabla22[[#This Row],[Amazon Drop 2026]]</f>
        <v>15104</v>
      </c>
      <c r="Z108" s="17">
        <v>11034</v>
      </c>
      <c r="AA108" s="17">
        <f>+Tabla22[[#This Row],[Amazon Full 2026]]</f>
        <v>8648</v>
      </c>
      <c r="AB108" s="17">
        <v>0</v>
      </c>
      <c r="AC108" s="17">
        <f>+Tabla22[[#This Row],[TikTok 2026]]</f>
        <v>4107</v>
      </c>
      <c r="AD108" s="17">
        <v>0</v>
      </c>
      <c r="AE108" s="17">
        <f>+Tabla22[[#This Row],[Shein 2026]]</f>
        <v>2066</v>
      </c>
      <c r="AF108" s="17">
        <f t="shared" si="25"/>
        <v>4012156</v>
      </c>
      <c r="AG108" s="18">
        <f t="shared" si="26"/>
        <v>0.87516035484387988</v>
      </c>
      <c r="AH108" s="17">
        <f t="shared" si="27"/>
        <v>-572324.97859246563</v>
      </c>
      <c r="AI108" s="20">
        <f t="shared" si="28"/>
        <v>0.65860774226145491</v>
      </c>
      <c r="AJ108" s="20">
        <f t="shared" si="40"/>
        <v>8.8033181104417588E-2</v>
      </c>
      <c r="AK108" s="21">
        <f t="shared" si="30"/>
        <v>0.12969886755503057</v>
      </c>
      <c r="AL108" s="21">
        <f t="shared" si="41"/>
        <v>0.12578096099211855</v>
      </c>
      <c r="AO108" s="38">
        <f t="shared" si="32"/>
        <v>46127</v>
      </c>
      <c r="AP108" s="17">
        <f>Tabla2[[#This Row],[Web + APP 2025]]+Tabla2[[#This Row],[Afiliados 2025]]+Tabla2[[#This Row],[TMK 2025]]+Tabla2[[#This Row],[WA 2025]]+Tabla2[[#This Row],[Ent. en Tienda 2025]]</f>
        <v>1941284.2758620691</v>
      </c>
      <c r="AQ108" s="17">
        <f>Tabla2[[#This Row],[Meli Drop 2025]]+Tabla2[[#This Row],[Meli Full 2025]]+Tabla2[[#This Row],[Amazon Drop 2025]]+Tabla2[[#This Row],[Amazon Full 2025]]+Tabla2[[#This Row],[TikTok 2025]]+Tabla2[[#This Row],[Shein 2025]]</f>
        <v>477706</v>
      </c>
      <c r="AR108" s="17">
        <f>Tabla2[[#This Row],[Web + APP 2026]]+Tabla2[[#This Row],[Afiliados 2026]]+Tabla2[[#This Row],[TMK 2026]]+Tabla2[[#This Row],[WA 2026]]+Tabla2[[#This Row],[Ent. en Tienda 2026]]</f>
        <v>3679745</v>
      </c>
      <c r="AS108" s="17">
        <f>Tabla2[[#This Row],[Meli Drop 2026]]+Tabla2[[#This Row],[Meli Full 2026]]+Tabla2[[#This Row],[Amazon Drop 2026]]+Tabla2[[#This Row],[Amazon Full 2026]]+Tabla2[[#This Row],[TikTok 2026]]+Tabla2[[#This Row],[Shein 2026]]</f>
        <v>332411</v>
      </c>
      <c r="AT108" s="18">
        <f t="shared" si="33"/>
        <v>0.89552094237508317</v>
      </c>
      <c r="AU108" s="18">
        <f t="shared" si="33"/>
        <v>-0.30415150741250896</v>
      </c>
      <c r="AV108" s="49">
        <f t="shared" si="34"/>
        <v>4112402.5295298402</v>
      </c>
      <c r="AW108" s="49">
        <f t="shared" si="34"/>
        <v>472078.449062625</v>
      </c>
      <c r="AX108" s="39">
        <f t="shared" si="35"/>
        <v>0.89479202815797687</v>
      </c>
      <c r="AY108" s="39">
        <f t="shared" si="35"/>
        <v>0.70414356058838645</v>
      </c>
      <c r="AZ108" s="39">
        <f t="shared" si="36"/>
        <v>0.87516035484387988</v>
      </c>
      <c r="BA108" s="18">
        <f t="shared" si="38"/>
        <v>3.4250060010341567E-2</v>
      </c>
      <c r="BB108" s="20">
        <f t="shared" si="39"/>
        <v>2.8526208734014659E-2</v>
      </c>
      <c r="BC108" s="17">
        <f t="shared" si="37"/>
        <v>-432657.52952984022</v>
      </c>
      <c r="BD108" s="17">
        <f t="shared" si="37"/>
        <v>-139667.449062625</v>
      </c>
    </row>
    <row r="109" spans="1:56" ht="14.25" customHeight="1" x14ac:dyDescent="0.35">
      <c r="A109" s="19">
        <v>45764</v>
      </c>
      <c r="B109" s="17">
        <v>36004609</v>
      </c>
      <c r="C109" s="17">
        <f t="shared" si="23"/>
        <v>1877662.6896551724</v>
      </c>
      <c r="D109" s="18">
        <f>+Tabla22[[#This Row],[Share diario]]</f>
        <v>2.912508892937268E-2</v>
      </c>
      <c r="E109" s="17">
        <f>+Tabla22[[#This Row],[Global 2026]]</f>
        <v>35697133</v>
      </c>
      <c r="F109" s="19">
        <v>46128</v>
      </c>
      <c r="G109" s="17">
        <f t="shared" si="24"/>
        <v>3849003.8644771161</v>
      </c>
      <c r="H109" s="17">
        <v>3227221.74691774</v>
      </c>
      <c r="I109" s="17">
        <v>621782.11755937606</v>
      </c>
      <c r="J109" s="17">
        <v>1396188</v>
      </c>
      <c r="K109" s="17">
        <f>+Tabla22[[#This Row],[Web + APP 2026]]</f>
        <v>3470178</v>
      </c>
      <c r="L109" s="17">
        <v>18720.689655172398</v>
      </c>
      <c r="M109" s="17">
        <f>+Tabla22[[#This Row],[Afiliados 2026]]</f>
        <v>28270</v>
      </c>
      <c r="N109" s="17">
        <v>28846</v>
      </c>
      <c r="O109" s="17">
        <f>+Tabla22[[#This Row],[TMK 2026]]</f>
        <v>24297</v>
      </c>
      <c r="P109" s="17">
        <v>77</v>
      </c>
      <c r="Q109" s="17">
        <f>+Tabla22[[#This Row],[WA 2026]]</f>
        <v>671</v>
      </c>
      <c r="R109" s="17">
        <v>58156</v>
      </c>
      <c r="S109" s="17">
        <f>+Tabla22[[#This Row],[Ent. en Tienda 2026]]</f>
        <v>75563</v>
      </c>
      <c r="T109" s="17">
        <v>252134</v>
      </c>
      <c r="U109" s="17">
        <f>+Tabla22[[#This Row],[Meli Drop 2026]]</f>
        <v>302084</v>
      </c>
      <c r="V109" s="17">
        <v>102799</v>
      </c>
      <c r="W109" s="17">
        <f>+Tabla22[[#This Row],[Meli Full 2026]]</f>
        <v>48237</v>
      </c>
      <c r="X109" s="17">
        <v>13428</v>
      </c>
      <c r="Y109" s="17">
        <f>+Tabla22[[#This Row],[Amazon Drop 2026]]</f>
        <v>25300</v>
      </c>
      <c r="Z109" s="17">
        <v>7314</v>
      </c>
      <c r="AA109" s="17">
        <f>+Tabla22[[#This Row],[Amazon Full 2026]]</f>
        <v>8648</v>
      </c>
      <c r="AB109" s="17">
        <v>0</v>
      </c>
      <c r="AC109" s="17">
        <f>+Tabla22[[#This Row],[TikTok 2026]]</f>
        <v>2420</v>
      </c>
      <c r="AD109" s="17">
        <v>0</v>
      </c>
      <c r="AE109" s="17">
        <f>+Tabla22[[#This Row],[Shein 2026]]</f>
        <v>903</v>
      </c>
      <c r="AF109" s="17">
        <f t="shared" si="25"/>
        <v>3986571</v>
      </c>
      <c r="AG109" s="18">
        <f t="shared" si="26"/>
        <v>1.0357409710061625</v>
      </c>
      <c r="AH109" s="17">
        <f t="shared" si="27"/>
        <v>137567.13552288385</v>
      </c>
      <c r="AI109" s="20">
        <f t="shared" si="28"/>
        <v>1.1231561035769011</v>
      </c>
      <c r="AJ109" s="20">
        <f t="shared" si="40"/>
        <v>6.5358346766637154E-2</v>
      </c>
      <c r="AK109" s="21">
        <f t="shared" si="30"/>
        <v>0.11167762408258389</v>
      </c>
      <c r="AL109" s="21">
        <f t="shared" si="41"/>
        <v>0.24255842651761639</v>
      </c>
      <c r="AO109" s="38">
        <f t="shared" si="32"/>
        <v>46128</v>
      </c>
      <c r="AP109" s="17">
        <f>Tabla2[[#This Row],[Web + APP 2025]]+Tabla2[[#This Row],[Afiliados 2025]]+Tabla2[[#This Row],[TMK 2025]]+Tabla2[[#This Row],[WA 2025]]+Tabla2[[#This Row],[Ent. en Tienda 2025]]</f>
        <v>1501987.6896551724</v>
      </c>
      <c r="AQ109" s="17">
        <f>Tabla2[[#This Row],[Meli Drop 2025]]+Tabla2[[#This Row],[Meli Full 2025]]+Tabla2[[#This Row],[Amazon Drop 2025]]+Tabla2[[#This Row],[Amazon Full 2025]]+Tabla2[[#This Row],[TikTok 2025]]+Tabla2[[#This Row],[Shein 2025]]</f>
        <v>375675</v>
      </c>
      <c r="AR109" s="17">
        <f>Tabla2[[#This Row],[Web + APP 2026]]+Tabla2[[#This Row],[Afiliados 2026]]+Tabla2[[#This Row],[TMK 2026]]+Tabla2[[#This Row],[WA 2026]]+Tabla2[[#This Row],[Ent. en Tienda 2026]]</f>
        <v>3598979</v>
      </c>
      <c r="AS109" s="17">
        <f>Tabla2[[#This Row],[Meli Drop 2026]]+Tabla2[[#This Row],[Meli Full 2026]]+Tabla2[[#This Row],[Amazon Drop 2026]]+Tabla2[[#This Row],[Amazon Full 2026]]+Tabla2[[#This Row],[TikTok 2026]]+Tabla2[[#This Row],[Shein 2026]]</f>
        <v>387592</v>
      </c>
      <c r="AT109" s="18">
        <f t="shared" si="33"/>
        <v>1.3961441393878911</v>
      </c>
      <c r="AU109" s="18">
        <f t="shared" si="33"/>
        <v>3.1721567844546383E-2</v>
      </c>
      <c r="AV109" s="49">
        <f t="shared" si="34"/>
        <v>3227221.74691774</v>
      </c>
      <c r="AW109" s="49">
        <f t="shared" si="34"/>
        <v>621782.11755937606</v>
      </c>
      <c r="AX109" s="39">
        <f t="shared" si="35"/>
        <v>1.1151942079707782</v>
      </c>
      <c r="AY109" s="39">
        <f t="shared" si="35"/>
        <v>0.62335662132159586</v>
      </c>
      <c r="AZ109" s="39">
        <f t="shared" si="36"/>
        <v>1.0357409710061625</v>
      </c>
      <c r="BA109" s="18">
        <f t="shared" si="38"/>
        <v>2.6934749185451027E-2</v>
      </c>
      <c r="BB109" s="20">
        <f t="shared" si="39"/>
        <v>2.2070963476998846E-2</v>
      </c>
      <c r="BC109" s="17">
        <f t="shared" si="37"/>
        <v>371757.25308226002</v>
      </c>
      <c r="BD109" s="17">
        <f t="shared" si="37"/>
        <v>-234190.11755937606</v>
      </c>
    </row>
    <row r="110" spans="1:56" ht="14.25" customHeight="1" x14ac:dyDescent="0.35">
      <c r="A110" s="16">
        <v>45765</v>
      </c>
      <c r="B110" s="17">
        <v>15540152</v>
      </c>
      <c r="C110" s="17">
        <f t="shared" si="23"/>
        <v>1515798.5172413792</v>
      </c>
      <c r="D110" s="18">
        <f>+Tabla22[[#This Row],[Share diario]]</f>
        <v>2.2607404982677267E-2</v>
      </c>
      <c r="E110" s="17">
        <f>+Tabla22[[#This Row],[Global 2026]]</f>
        <v>36809100</v>
      </c>
      <c r="F110" s="19">
        <v>46129</v>
      </c>
      <c r="G110" s="17">
        <f t="shared" si="24"/>
        <v>3229637.3642553282</v>
      </c>
      <c r="H110" s="17">
        <v>2423378.2517975001</v>
      </c>
      <c r="I110" s="17">
        <v>806259.11245782801</v>
      </c>
      <c r="J110" s="17">
        <v>1047803</v>
      </c>
      <c r="K110" s="17">
        <f>+Tabla22[[#This Row],[Web + APP 2026]]</f>
        <v>2853424</v>
      </c>
      <c r="L110" s="17">
        <v>13265.517241379301</v>
      </c>
      <c r="M110" s="17">
        <f>+Tabla22[[#This Row],[Afiliados 2026]]</f>
        <v>23469</v>
      </c>
      <c r="N110" s="17">
        <v>10416</v>
      </c>
      <c r="O110" s="17">
        <f>+Tabla22[[#This Row],[TMK 2026]]</f>
        <v>52403</v>
      </c>
      <c r="P110" s="17">
        <v>1772</v>
      </c>
      <c r="Q110" s="17">
        <f>+Tabla22[[#This Row],[WA 2026]]</f>
        <v>274</v>
      </c>
      <c r="R110" s="17">
        <v>83897</v>
      </c>
      <c r="S110" s="17">
        <f>+Tabla22[[#This Row],[Ent. en Tienda 2026]]</f>
        <v>99139</v>
      </c>
      <c r="T110" s="17">
        <v>262910</v>
      </c>
      <c r="U110" s="17">
        <f>+Tabla22[[#This Row],[Meli Drop 2026]]</f>
        <v>306316</v>
      </c>
      <c r="V110" s="17">
        <v>73506</v>
      </c>
      <c r="W110" s="17">
        <f>+Tabla22[[#This Row],[Meli Full 2026]]</f>
        <v>34098</v>
      </c>
      <c r="X110" s="17">
        <v>15139</v>
      </c>
      <c r="Y110" s="17">
        <f>+Tabla22[[#This Row],[Amazon Drop 2026]]</f>
        <v>17055</v>
      </c>
      <c r="Z110" s="17">
        <v>7090</v>
      </c>
      <c r="AA110" s="17">
        <f>+Tabla22[[#This Row],[Amazon Full 2026]]</f>
        <v>11232</v>
      </c>
      <c r="AB110" s="17">
        <v>0</v>
      </c>
      <c r="AC110" s="17">
        <f>+Tabla22[[#This Row],[TikTok 2026]]</f>
        <v>2023</v>
      </c>
      <c r="AD110" s="17">
        <v>0</v>
      </c>
      <c r="AE110" s="17">
        <f>+Tabla22[[#This Row],[Shein 2026]]</f>
        <v>0</v>
      </c>
      <c r="AF110" s="17">
        <f t="shared" si="25"/>
        <v>3399433</v>
      </c>
      <c r="AG110" s="18">
        <f t="shared" si="26"/>
        <v>1.0525742108460596</v>
      </c>
      <c r="AH110" s="17">
        <f t="shared" si="27"/>
        <v>169795.6357446718</v>
      </c>
      <c r="AI110" s="20">
        <f t="shared" si="28"/>
        <v>1.2426681127691501</v>
      </c>
      <c r="AJ110" s="20">
        <f t="shared" si="40"/>
        <v>6.2612020802733287E-2</v>
      </c>
      <c r="AK110" s="21">
        <f t="shared" si="30"/>
        <v>9.2353059433672655E-2</v>
      </c>
      <c r="AL110" s="21">
        <f t="shared" si="41"/>
        <v>0.52044754544570204</v>
      </c>
      <c r="AO110" s="38">
        <f t="shared" si="32"/>
        <v>46129</v>
      </c>
      <c r="AP110" s="17">
        <f>Tabla2[[#This Row],[Web + APP 2025]]+Tabla2[[#This Row],[Afiliados 2025]]+Tabla2[[#This Row],[TMK 2025]]+Tabla2[[#This Row],[WA 2025]]+Tabla2[[#This Row],[Ent. en Tienda 2025]]</f>
        <v>1157153.5172413792</v>
      </c>
      <c r="AQ110" s="17">
        <f>Tabla2[[#This Row],[Meli Drop 2025]]+Tabla2[[#This Row],[Meli Full 2025]]+Tabla2[[#This Row],[Amazon Drop 2025]]+Tabla2[[#This Row],[Amazon Full 2025]]+Tabla2[[#This Row],[TikTok 2025]]+Tabla2[[#This Row],[Shein 2025]]</f>
        <v>358645</v>
      </c>
      <c r="AR110" s="17">
        <f>Tabla2[[#This Row],[Web + APP 2026]]+Tabla2[[#This Row],[Afiliados 2026]]+Tabla2[[#This Row],[TMK 2026]]+Tabla2[[#This Row],[WA 2026]]+Tabla2[[#This Row],[Ent. en Tienda 2026]]</f>
        <v>3028709</v>
      </c>
      <c r="AS110" s="17">
        <f>Tabla2[[#This Row],[Meli Drop 2026]]+Tabla2[[#This Row],[Meli Full 2026]]+Tabla2[[#This Row],[Amazon Drop 2026]]+Tabla2[[#This Row],[Amazon Full 2026]]+Tabla2[[#This Row],[TikTok 2026]]+Tabla2[[#This Row],[Shein 2026]]</f>
        <v>370724</v>
      </c>
      <c r="AT110" s="18">
        <f t="shared" si="33"/>
        <v>1.6173787270857156</v>
      </c>
      <c r="AU110" s="18">
        <f t="shared" si="33"/>
        <v>3.3679543838614823E-2</v>
      </c>
      <c r="AV110" s="49">
        <f t="shared" si="34"/>
        <v>2423378.2517975001</v>
      </c>
      <c r="AW110" s="49">
        <f t="shared" si="34"/>
        <v>806259.11245782801</v>
      </c>
      <c r="AX110" s="39">
        <f t="shared" si="35"/>
        <v>1.2497879758364201</v>
      </c>
      <c r="AY110" s="39">
        <f t="shared" si="35"/>
        <v>0.45980751630809136</v>
      </c>
      <c r="AZ110" s="39">
        <f t="shared" si="36"/>
        <v>1.0525742108460596</v>
      </c>
      <c r="BA110" s="18">
        <f t="shared" si="38"/>
        <v>2.5713750240543246E-2</v>
      </c>
      <c r="BB110" s="20">
        <f t="shared" si="39"/>
        <v>1.7003796497279292E-2</v>
      </c>
      <c r="BC110" s="17">
        <f t="shared" si="37"/>
        <v>605330.74820249993</v>
      </c>
      <c r="BD110" s="17">
        <f t="shared" si="37"/>
        <v>-435535.11245782801</v>
      </c>
    </row>
    <row r="111" spans="1:56" ht="14.25" customHeight="1" x14ac:dyDescent="0.35">
      <c r="A111" s="19">
        <v>45766</v>
      </c>
      <c r="B111" s="17">
        <v>27478165</v>
      </c>
      <c r="C111" s="17">
        <f t="shared" si="23"/>
        <v>1361861.4482758623</v>
      </c>
      <c r="D111" s="18">
        <f>+Tabla22[[#This Row],[Share diario]]</f>
        <v>1.8250493627111931E-2</v>
      </c>
      <c r="E111" s="17">
        <f>+Tabla22[[#This Row],[Global 2026]]</f>
        <v>47810548</v>
      </c>
      <c r="F111" s="19">
        <v>46130</v>
      </c>
      <c r="G111" s="17">
        <f t="shared" si="24"/>
        <v>3047041.5702864998</v>
      </c>
      <c r="H111" s="17">
        <v>2295427.3833223199</v>
      </c>
      <c r="I111" s="17">
        <v>751614.18696417997</v>
      </c>
      <c r="J111" s="17">
        <v>1029021</v>
      </c>
      <c r="K111" s="17">
        <f>+Tabla22[[#This Row],[Web + APP 2026]]</f>
        <v>1975856</v>
      </c>
      <c r="L111" s="17">
        <v>15128.4482758621</v>
      </c>
      <c r="M111" s="17">
        <f>+Tabla22[[#This Row],[Afiliados 2026]]</f>
        <v>34542</v>
      </c>
      <c r="N111" s="17">
        <v>1459</v>
      </c>
      <c r="O111" s="17">
        <f>+Tabla22[[#This Row],[TMK 2026]]</f>
        <v>12478</v>
      </c>
      <c r="P111" s="17">
        <v>1022</v>
      </c>
      <c r="Q111" s="17">
        <f>+Tabla22[[#This Row],[WA 2026]]</f>
        <v>5202</v>
      </c>
      <c r="R111" s="17">
        <v>56811</v>
      </c>
      <c r="S111" s="17">
        <f>+Tabla22[[#This Row],[Ent. en Tienda 2026]]</f>
        <v>74166</v>
      </c>
      <c r="T111" s="17">
        <v>164386</v>
      </c>
      <c r="U111" s="17">
        <f>+Tabla22[[#This Row],[Meli Drop 2026]]</f>
        <v>278466</v>
      </c>
      <c r="V111" s="17">
        <v>71020</v>
      </c>
      <c r="W111" s="17">
        <f>+Tabla22[[#This Row],[Meli Full 2026]]</f>
        <v>33090</v>
      </c>
      <c r="X111" s="17">
        <v>15099</v>
      </c>
      <c r="Y111" s="17">
        <f>+Tabla22[[#This Row],[Amazon Drop 2026]]</f>
        <v>20145</v>
      </c>
      <c r="Z111" s="17">
        <v>7915</v>
      </c>
      <c r="AA111" s="17">
        <f>+Tabla22[[#This Row],[Amazon Full 2026]]</f>
        <v>8615</v>
      </c>
      <c r="AB111" s="17">
        <v>0</v>
      </c>
      <c r="AC111" s="17">
        <f>+Tabla22[[#This Row],[TikTok 2026]]</f>
        <v>2201</v>
      </c>
      <c r="AD111" s="17">
        <v>0</v>
      </c>
      <c r="AE111" s="17">
        <f>+Tabla22[[#This Row],[Shein 2026]]</f>
        <v>775</v>
      </c>
      <c r="AF111" s="17">
        <f t="shared" si="25"/>
        <v>2445536</v>
      </c>
      <c r="AG111" s="18">
        <f t="shared" si="26"/>
        <v>0.80259357924350772</v>
      </c>
      <c r="AH111" s="17">
        <f t="shared" si="27"/>
        <v>-601505.5702864998</v>
      </c>
      <c r="AI111" s="20">
        <f t="shared" si="28"/>
        <v>0.79573039760842534</v>
      </c>
      <c r="AJ111" s="20">
        <f t="shared" si="40"/>
        <v>4.7795214372671098E-2</v>
      </c>
      <c r="AK111" s="21">
        <f t="shared" si="30"/>
        <v>5.1150553639334982E-2</v>
      </c>
      <c r="AL111" s="21">
        <f t="shared" si="41"/>
        <v>0.67793529498017069</v>
      </c>
      <c r="AO111" s="38">
        <f t="shared" si="32"/>
        <v>46130</v>
      </c>
      <c r="AP111" s="17">
        <f>Tabla2[[#This Row],[Web + APP 2025]]+Tabla2[[#This Row],[Afiliados 2025]]+Tabla2[[#This Row],[TMK 2025]]+Tabla2[[#This Row],[WA 2025]]+Tabla2[[#This Row],[Ent. en Tienda 2025]]</f>
        <v>1103441.4482758623</v>
      </c>
      <c r="AQ111" s="17">
        <f>Tabla2[[#This Row],[Meli Drop 2025]]+Tabla2[[#This Row],[Meli Full 2025]]+Tabla2[[#This Row],[Amazon Drop 2025]]+Tabla2[[#This Row],[Amazon Full 2025]]+Tabla2[[#This Row],[TikTok 2025]]+Tabla2[[#This Row],[Shein 2025]]</f>
        <v>258420</v>
      </c>
      <c r="AR111" s="17">
        <f>Tabla2[[#This Row],[Web + APP 2026]]+Tabla2[[#This Row],[Afiliados 2026]]+Tabla2[[#This Row],[TMK 2026]]+Tabla2[[#This Row],[WA 2026]]+Tabla2[[#This Row],[Ent. en Tienda 2026]]</f>
        <v>2102244</v>
      </c>
      <c r="AS111" s="17">
        <f>Tabla2[[#This Row],[Meli Drop 2026]]+Tabla2[[#This Row],[Meli Full 2026]]+Tabla2[[#This Row],[Amazon Drop 2026]]+Tabla2[[#This Row],[Amazon Full 2026]]+Tabla2[[#This Row],[TikTok 2026]]+Tabla2[[#This Row],[Shein 2026]]</f>
        <v>343292</v>
      </c>
      <c r="AT111" s="18">
        <f t="shared" si="33"/>
        <v>0.90517041324193159</v>
      </c>
      <c r="AU111" s="18">
        <f t="shared" si="33"/>
        <v>0.32842659236901173</v>
      </c>
      <c r="AV111" s="49">
        <f t="shared" si="34"/>
        <v>2295427.3833223199</v>
      </c>
      <c r="AW111" s="49">
        <f t="shared" si="34"/>
        <v>751614.18696417997</v>
      </c>
      <c r="AX111" s="39">
        <f t="shared" si="35"/>
        <v>0.91583990644796043</v>
      </c>
      <c r="AY111" s="39">
        <f t="shared" si="35"/>
        <v>0.45673964908323428</v>
      </c>
      <c r="AZ111" s="39">
        <f t="shared" si="36"/>
        <v>0.80259357924350772</v>
      </c>
      <c r="BA111" s="18">
        <f t="shared" si="38"/>
        <v>1.8527924095306458E-2</v>
      </c>
      <c r="BB111" s="20">
        <f t="shared" si="39"/>
        <v>1.6214524307782099E-2</v>
      </c>
      <c r="BC111" s="17">
        <f t="shared" si="37"/>
        <v>-193183.38332231995</v>
      </c>
      <c r="BD111" s="17">
        <f t="shared" si="37"/>
        <v>-408322.18696417997</v>
      </c>
    </row>
    <row r="112" spans="1:56" ht="14.25" customHeight="1" x14ac:dyDescent="0.35">
      <c r="A112" s="16">
        <v>45767</v>
      </c>
      <c r="B112" s="17">
        <v>28728736</v>
      </c>
      <c r="C112" s="17">
        <f t="shared" si="23"/>
        <v>1822418.0344827585</v>
      </c>
      <c r="D112" s="18">
        <f>+Tabla22[[#This Row],[Share diario]]</f>
        <v>1.6397062934196113E-2</v>
      </c>
      <c r="E112" s="17">
        <f>+Tabla22[[#This Row],[Global 2026]]</f>
        <v>47890384</v>
      </c>
      <c r="F112" s="19">
        <v>46131</v>
      </c>
      <c r="G112" s="17">
        <f t="shared" si="24"/>
        <v>3292789.7531871479</v>
      </c>
      <c r="H112" s="17">
        <v>2583740.9904822102</v>
      </c>
      <c r="I112" s="17">
        <v>709048.76270493795</v>
      </c>
      <c r="J112" s="17">
        <v>1427487</v>
      </c>
      <c r="K112" s="17">
        <f>+Tabla22[[#This Row],[Web + APP 2026]]</f>
        <v>2555315</v>
      </c>
      <c r="L112" s="17">
        <v>14906.0344827586</v>
      </c>
      <c r="M112" s="17">
        <f>+Tabla22[[#This Row],[Afiliados 2026]]</f>
        <v>26884</v>
      </c>
      <c r="N112" s="17">
        <v>6558</v>
      </c>
      <c r="O112" s="17">
        <f>+Tabla22[[#This Row],[TMK 2026]]</f>
        <v>-3026</v>
      </c>
      <c r="P112" s="17">
        <v>2552</v>
      </c>
      <c r="Q112" s="17">
        <f>+Tabla22[[#This Row],[WA 2026]]</f>
        <v>5082</v>
      </c>
      <c r="R112" s="17">
        <v>23514</v>
      </c>
      <c r="S112" s="17">
        <f>+Tabla22[[#This Row],[Ent. en Tienda 2026]]</f>
        <v>58228</v>
      </c>
      <c r="T112" s="17">
        <v>241574</v>
      </c>
      <c r="U112" s="17">
        <f>+Tabla22[[#This Row],[Meli Drop 2026]]</f>
        <v>337847</v>
      </c>
      <c r="V112" s="17">
        <v>85791</v>
      </c>
      <c r="W112" s="17">
        <f>+Tabla22[[#This Row],[Meli Full 2026]]</f>
        <v>30590</v>
      </c>
      <c r="X112" s="17">
        <v>14358</v>
      </c>
      <c r="Y112" s="17">
        <f>+Tabla22[[#This Row],[Amazon Drop 2026]]</f>
        <v>30639</v>
      </c>
      <c r="Z112" s="17">
        <v>5678</v>
      </c>
      <c r="AA112" s="17">
        <f>+Tabla22[[#This Row],[Amazon Full 2026]]</f>
        <v>7830</v>
      </c>
      <c r="AB112" s="17">
        <v>0</v>
      </c>
      <c r="AC112" s="17">
        <f>+Tabla22[[#This Row],[TikTok 2026]]</f>
        <v>2928</v>
      </c>
      <c r="AD112" s="17">
        <v>0</v>
      </c>
      <c r="AE112" s="17">
        <f>+Tabla22[[#This Row],[Shein 2026]]</f>
        <v>2669</v>
      </c>
      <c r="AF112" s="17">
        <f t="shared" si="25"/>
        <v>3054986</v>
      </c>
      <c r="AG112" s="18">
        <f t="shared" si="26"/>
        <v>0.92778046246136014</v>
      </c>
      <c r="AH112" s="17">
        <f t="shared" si="27"/>
        <v>-237803.7531871479</v>
      </c>
      <c r="AI112" s="20">
        <f t="shared" si="28"/>
        <v>0.67633657162917116</v>
      </c>
      <c r="AJ112" s="20">
        <f t="shared" si="40"/>
        <v>5.7309496536236182E-2</v>
      </c>
      <c r="AK112" s="21">
        <f t="shared" si="30"/>
        <v>6.37912195483753E-2</v>
      </c>
      <c r="AL112" s="21">
        <f t="shared" si="41"/>
        <v>0.50600671417630583</v>
      </c>
      <c r="AO112" s="38">
        <f t="shared" si="32"/>
        <v>46131</v>
      </c>
      <c r="AP112" s="17">
        <f>Tabla2[[#This Row],[Web + APP 2025]]+Tabla2[[#This Row],[Afiliados 2025]]+Tabla2[[#This Row],[TMK 2025]]+Tabla2[[#This Row],[WA 2025]]+Tabla2[[#This Row],[Ent. en Tienda 2025]]</f>
        <v>1475017.0344827585</v>
      </c>
      <c r="AQ112" s="17">
        <f>Tabla2[[#This Row],[Meli Drop 2025]]+Tabla2[[#This Row],[Meli Full 2025]]+Tabla2[[#This Row],[Amazon Drop 2025]]+Tabla2[[#This Row],[Amazon Full 2025]]+Tabla2[[#This Row],[TikTok 2025]]+Tabla2[[#This Row],[Shein 2025]]</f>
        <v>347401</v>
      </c>
      <c r="AR112" s="17">
        <f>Tabla2[[#This Row],[Web + APP 2026]]+Tabla2[[#This Row],[Afiliados 2026]]+Tabla2[[#This Row],[TMK 2026]]+Tabla2[[#This Row],[WA 2026]]+Tabla2[[#This Row],[Ent. en Tienda 2026]]</f>
        <v>2642483</v>
      </c>
      <c r="AS112" s="17">
        <f>Tabla2[[#This Row],[Meli Drop 2026]]+Tabla2[[#This Row],[Meli Full 2026]]+Tabla2[[#This Row],[Amazon Drop 2026]]+Tabla2[[#This Row],[Amazon Full 2026]]+Tabla2[[#This Row],[TikTok 2026]]+Tabla2[[#This Row],[Shein 2026]]</f>
        <v>412503</v>
      </c>
      <c r="AT112" s="18">
        <f t="shared" si="33"/>
        <v>0.79149320870496576</v>
      </c>
      <c r="AU112" s="18">
        <f t="shared" si="33"/>
        <v>0.18739727289213337</v>
      </c>
      <c r="AV112" s="49">
        <f t="shared" si="34"/>
        <v>2583740.9904822102</v>
      </c>
      <c r="AW112" s="49">
        <f t="shared" si="34"/>
        <v>709048.76270493795</v>
      </c>
      <c r="AX112" s="39">
        <f t="shared" si="35"/>
        <v>1.0227352547078747</v>
      </c>
      <c r="AY112" s="39">
        <f t="shared" si="35"/>
        <v>0.5817695787611975</v>
      </c>
      <c r="AZ112" s="39">
        <f t="shared" si="36"/>
        <v>0.92778046246136014</v>
      </c>
      <c r="BA112" s="18">
        <f t="shared" si="38"/>
        <v>2.4907589809742125E-2</v>
      </c>
      <c r="BB112" s="20">
        <f t="shared" si="39"/>
        <v>2.1674643088116206E-2</v>
      </c>
      <c r="BC112" s="17">
        <f t="shared" si="37"/>
        <v>58742.009517789818</v>
      </c>
      <c r="BD112" s="17">
        <f t="shared" si="37"/>
        <v>-296545.76270493795</v>
      </c>
    </row>
    <row r="113" spans="1:58" ht="14.25" customHeight="1" x14ac:dyDescent="0.35">
      <c r="A113" s="19">
        <v>45768</v>
      </c>
      <c r="B113" s="17">
        <v>24209385</v>
      </c>
      <c r="C113" s="17">
        <f t="shared" si="23"/>
        <v>2934304</v>
      </c>
      <c r="D113" s="18">
        <f>+Tabla22[[#This Row],[Share diario]]</f>
        <v>2.1942249148515978E-2</v>
      </c>
      <c r="E113" s="17">
        <f>+Tabla22[[#This Row],[Global 2026]]</f>
        <v>25946603</v>
      </c>
      <c r="F113" s="19">
        <v>46132</v>
      </c>
      <c r="G113" s="17">
        <f t="shared" si="24"/>
        <v>4640854.5148641914</v>
      </c>
      <c r="H113" s="17">
        <v>3921418.0021528802</v>
      </c>
      <c r="I113" s="17">
        <v>719436.51271131099</v>
      </c>
      <c r="J113" s="17">
        <v>2363849</v>
      </c>
      <c r="K113" s="17">
        <f>+Tabla22[[#This Row],[Web + APP 2026]]</f>
        <v>3569997</v>
      </c>
      <c r="L113" s="17">
        <v>17125</v>
      </c>
      <c r="M113" s="17">
        <f>+Tabla22[[#This Row],[Afiliados 2026]]</f>
        <v>23882</v>
      </c>
      <c r="N113" s="17">
        <v>35717</v>
      </c>
      <c r="O113" s="17">
        <f>+Tabla22[[#This Row],[TMK 2026]]</f>
        <v>57151</v>
      </c>
      <c r="P113" s="17">
        <v>5563</v>
      </c>
      <c r="Q113" s="17">
        <f>+Tabla22[[#This Row],[WA 2026]]</f>
        <v>2735</v>
      </c>
      <c r="R113" s="17">
        <v>61395</v>
      </c>
      <c r="S113" s="17">
        <f>+Tabla22[[#This Row],[Ent. en Tienda 2026]]</f>
        <v>75423</v>
      </c>
      <c r="T113" s="17">
        <v>313296</v>
      </c>
      <c r="U113" s="17">
        <f>+Tabla22[[#This Row],[Meli Drop 2026]]</f>
        <v>380425</v>
      </c>
      <c r="V113" s="17">
        <v>96557</v>
      </c>
      <c r="W113" s="17">
        <f>+Tabla22[[#This Row],[Meli Full 2026]]</f>
        <v>38997</v>
      </c>
      <c r="X113" s="17">
        <v>30744</v>
      </c>
      <c r="Y113" s="17">
        <f>+Tabla22[[#This Row],[Amazon Drop 2026]]</f>
        <v>24724</v>
      </c>
      <c r="Z113" s="17">
        <v>10058</v>
      </c>
      <c r="AA113" s="17">
        <f>+Tabla22[[#This Row],[Amazon Full 2026]]</f>
        <v>7395</v>
      </c>
      <c r="AB113" s="17">
        <v>0</v>
      </c>
      <c r="AC113" s="17">
        <f>+Tabla22[[#This Row],[TikTok 2026]]</f>
        <v>672</v>
      </c>
      <c r="AD113" s="17">
        <v>0</v>
      </c>
      <c r="AE113" s="17">
        <f>+Tabla22[[#This Row],[Shein 2026]]</f>
        <v>4349</v>
      </c>
      <c r="AF113" s="17">
        <f t="shared" si="25"/>
        <v>4185750</v>
      </c>
      <c r="AG113" s="18">
        <f t="shared" si="26"/>
        <v>0.90193519029598168</v>
      </c>
      <c r="AH113" s="17">
        <f t="shared" si="27"/>
        <v>-455104.51486419141</v>
      </c>
      <c r="AI113" s="20">
        <f t="shared" si="28"/>
        <v>0.42648818936279276</v>
      </c>
      <c r="AJ113" s="20">
        <f t="shared" si="40"/>
        <v>8.196480856090993E-2</v>
      </c>
      <c r="AK113" s="21">
        <f t="shared" si="30"/>
        <v>0.16132169594609361</v>
      </c>
      <c r="AL113" s="21">
        <f t="shared" si="41"/>
        <v>-0.27522562498605085</v>
      </c>
      <c r="AO113" s="38">
        <f t="shared" si="32"/>
        <v>46132</v>
      </c>
      <c r="AP113" s="17">
        <f>Tabla2[[#This Row],[Web + APP 2025]]+Tabla2[[#This Row],[Afiliados 2025]]+Tabla2[[#This Row],[TMK 2025]]+Tabla2[[#This Row],[WA 2025]]+Tabla2[[#This Row],[Ent. en Tienda 2025]]</f>
        <v>2483649</v>
      </c>
      <c r="AQ113" s="17">
        <f>Tabla2[[#This Row],[Meli Drop 2025]]+Tabla2[[#This Row],[Meli Full 2025]]+Tabla2[[#This Row],[Amazon Drop 2025]]+Tabla2[[#This Row],[Amazon Full 2025]]+Tabla2[[#This Row],[TikTok 2025]]+Tabla2[[#This Row],[Shein 2025]]</f>
        <v>450655</v>
      </c>
      <c r="AR113" s="17">
        <f>Tabla2[[#This Row],[Web + APP 2026]]+Tabla2[[#This Row],[Afiliados 2026]]+Tabla2[[#This Row],[TMK 2026]]+Tabla2[[#This Row],[WA 2026]]+Tabla2[[#This Row],[Ent. en Tienda 2026]]</f>
        <v>3729188</v>
      </c>
      <c r="AS113" s="17">
        <f>Tabla2[[#This Row],[Meli Drop 2026]]+Tabla2[[#This Row],[Meli Full 2026]]+Tabla2[[#This Row],[Amazon Drop 2026]]+Tabla2[[#This Row],[Amazon Full 2026]]+Tabla2[[#This Row],[TikTok 2026]]+Tabla2[[#This Row],[Shein 2026]]</f>
        <v>456562</v>
      </c>
      <c r="AT113" s="18">
        <f t="shared" si="33"/>
        <v>0.50149558170256747</v>
      </c>
      <c r="AU113" s="18">
        <f t="shared" si="33"/>
        <v>1.3107587844359836E-2</v>
      </c>
      <c r="AV113" s="49">
        <f t="shared" si="34"/>
        <v>3921418.0021528802</v>
      </c>
      <c r="AW113" s="49">
        <f t="shared" si="34"/>
        <v>719436.51271131099</v>
      </c>
      <c r="AX113" s="39">
        <f t="shared" si="35"/>
        <v>0.95097946659923915</v>
      </c>
      <c r="AY113" s="39">
        <f t="shared" si="35"/>
        <v>0.634610548579712</v>
      </c>
      <c r="AZ113" s="39">
        <f t="shared" si="36"/>
        <v>0.90193519029598168</v>
      </c>
      <c r="BA113" s="18">
        <f t="shared" si="38"/>
        <v>3.2310585996325102E-2</v>
      </c>
      <c r="BB113" s="20">
        <f t="shared" si="39"/>
        <v>3.6495989112447072E-2</v>
      </c>
      <c r="BC113" s="17">
        <f t="shared" si="37"/>
        <v>-192230.00215288019</v>
      </c>
      <c r="BD113" s="17">
        <f t="shared" si="37"/>
        <v>-262874.51271131099</v>
      </c>
    </row>
    <row r="114" spans="1:58" ht="14.25" customHeight="1" x14ac:dyDescent="0.35">
      <c r="A114" s="16">
        <v>45769</v>
      </c>
      <c r="B114" s="17">
        <v>28493678</v>
      </c>
      <c r="C114" s="17">
        <f t="shared" si="23"/>
        <v>3130136.3103448278</v>
      </c>
      <c r="D114" s="18">
        <f>+Tabla22[[#This Row],[Share diario]]</f>
        <v>3.5329561180380296E-2</v>
      </c>
      <c r="E114" s="17">
        <f>+Tabla22[[#This Row],[Global 2026]]</f>
        <v>29155457</v>
      </c>
      <c r="F114" s="19">
        <v>46133</v>
      </c>
      <c r="G114" s="17">
        <f t="shared" si="24"/>
        <v>4656374.6585687567</v>
      </c>
      <c r="H114" s="17">
        <v>4035988.4624826298</v>
      </c>
      <c r="I114" s="17">
        <v>620386.19608612696</v>
      </c>
      <c r="J114" s="17">
        <v>2523969</v>
      </c>
      <c r="K114" s="17">
        <f>+Tabla22[[#This Row],[Web + APP 2026]]</f>
        <v>4139341</v>
      </c>
      <c r="L114" s="17">
        <v>18554.310344827602</v>
      </c>
      <c r="M114" s="17">
        <f>+Tabla22[[#This Row],[Afiliados 2026]]</f>
        <v>24511</v>
      </c>
      <c r="N114" s="17">
        <v>108487</v>
      </c>
      <c r="O114" s="17">
        <f>+Tabla22[[#This Row],[TMK 2026]]</f>
        <v>54526</v>
      </c>
      <c r="P114" s="17">
        <v>10773</v>
      </c>
      <c r="Q114" s="17">
        <f>+Tabla22[[#This Row],[WA 2026]]</f>
        <v>3314</v>
      </c>
      <c r="R114" s="17">
        <v>28432</v>
      </c>
      <c r="S114" s="17">
        <f>+Tabla22[[#This Row],[Ent. en Tienda 2026]]</f>
        <v>85133</v>
      </c>
      <c r="T114" s="17">
        <v>315822</v>
      </c>
      <c r="U114" s="17">
        <f>+Tabla22[[#This Row],[Meli Drop 2026]]</f>
        <v>395267</v>
      </c>
      <c r="V114" s="17">
        <v>99999</v>
      </c>
      <c r="W114" s="17">
        <f>+Tabla22[[#This Row],[Meli Full 2026]]</f>
        <v>32186</v>
      </c>
      <c r="X114" s="17">
        <v>19059</v>
      </c>
      <c r="Y114" s="17">
        <f>+Tabla22[[#This Row],[Amazon Drop 2026]]</f>
        <v>19904</v>
      </c>
      <c r="Z114" s="17">
        <v>5041</v>
      </c>
      <c r="AA114" s="17">
        <f>+Tabla22[[#This Row],[Amazon Full 2026]]</f>
        <v>12866</v>
      </c>
      <c r="AB114" s="17">
        <v>0</v>
      </c>
      <c r="AC114" s="17">
        <f>+Tabla22[[#This Row],[TikTok 2026]]</f>
        <v>1339</v>
      </c>
      <c r="AD114" s="17">
        <v>0</v>
      </c>
      <c r="AE114" s="17">
        <f>+Tabla22[[#This Row],[Shein 2026]]</f>
        <v>2841</v>
      </c>
      <c r="AF114" s="17">
        <f t="shared" si="25"/>
        <v>4771228</v>
      </c>
      <c r="AG114" s="18">
        <f t="shared" si="26"/>
        <v>1.0246658290736739</v>
      </c>
      <c r="AH114" s="17">
        <f t="shared" si="27"/>
        <v>114853.34143124335</v>
      </c>
      <c r="AI114" s="20">
        <f t="shared" si="28"/>
        <v>0.52428761144730562</v>
      </c>
      <c r="AJ114" s="20">
        <f t="shared" si="40"/>
        <v>8.1666001287627021E-2</v>
      </c>
      <c r="AK114" s="21">
        <f t="shared" si="30"/>
        <v>0.16364785501390014</v>
      </c>
      <c r="AL114" s="21">
        <f t="shared" si="41"/>
        <v>-0.23932718807346343</v>
      </c>
      <c r="AO114" s="38">
        <f t="shared" si="32"/>
        <v>46133</v>
      </c>
      <c r="AP114" s="17">
        <f>Tabla2[[#This Row],[Web + APP 2025]]+Tabla2[[#This Row],[Afiliados 2025]]+Tabla2[[#This Row],[TMK 2025]]+Tabla2[[#This Row],[WA 2025]]+Tabla2[[#This Row],[Ent. en Tienda 2025]]</f>
        <v>2690215.3103448278</v>
      </c>
      <c r="AQ114" s="17">
        <f>Tabla2[[#This Row],[Meli Drop 2025]]+Tabla2[[#This Row],[Meli Full 2025]]+Tabla2[[#This Row],[Amazon Drop 2025]]+Tabla2[[#This Row],[Amazon Full 2025]]+Tabla2[[#This Row],[TikTok 2025]]+Tabla2[[#This Row],[Shein 2025]]</f>
        <v>439921</v>
      </c>
      <c r="AR114" s="17">
        <f>Tabla2[[#This Row],[Web + APP 2026]]+Tabla2[[#This Row],[Afiliados 2026]]+Tabla2[[#This Row],[TMK 2026]]+Tabla2[[#This Row],[WA 2026]]+Tabla2[[#This Row],[Ent. en Tienda 2026]]</f>
        <v>4306825</v>
      </c>
      <c r="AS114" s="17">
        <f>Tabla2[[#This Row],[Meli Drop 2026]]+Tabla2[[#This Row],[Meli Full 2026]]+Tabla2[[#This Row],[Amazon Drop 2026]]+Tabla2[[#This Row],[Amazon Full 2026]]+Tabla2[[#This Row],[TikTok 2026]]+Tabla2[[#This Row],[Shein 2026]]</f>
        <v>464403</v>
      </c>
      <c r="AT114" s="18">
        <f t="shared" si="33"/>
        <v>0.60092204643945668</v>
      </c>
      <c r="AU114" s="18">
        <f t="shared" si="33"/>
        <v>5.5650900957217253E-2</v>
      </c>
      <c r="AV114" s="49">
        <f t="shared" si="34"/>
        <v>4035988.4624826298</v>
      </c>
      <c r="AW114" s="49">
        <f t="shared" si="34"/>
        <v>620386.19608612696</v>
      </c>
      <c r="AX114" s="39">
        <f t="shared" si="35"/>
        <v>1.0671053795210237</v>
      </c>
      <c r="AY114" s="39">
        <f t="shared" si="35"/>
        <v>0.74857081432470796</v>
      </c>
      <c r="AZ114" s="39">
        <f t="shared" si="36"/>
        <v>1.0246658290736739</v>
      </c>
      <c r="BA114" s="18">
        <f t="shared" si="38"/>
        <v>3.1540991006622214E-2</v>
      </c>
      <c r="BB114" s="20">
        <f t="shared" si="39"/>
        <v>3.953137849852506E-2</v>
      </c>
      <c r="BC114" s="17">
        <f t="shared" si="37"/>
        <v>270836.53751737019</v>
      </c>
      <c r="BD114" s="17">
        <f t="shared" si="37"/>
        <v>-155983.19608612696</v>
      </c>
    </row>
    <row r="115" spans="1:58" ht="14.25" customHeight="1" x14ac:dyDescent="0.35">
      <c r="A115" s="19">
        <v>45770</v>
      </c>
      <c r="B115" s="17">
        <v>31799582</v>
      </c>
      <c r="C115" s="17">
        <f t="shared" si="23"/>
        <v>3381983.7586206896</v>
      </c>
      <c r="D115" s="18">
        <f>+Tabla22[[#This Row],[Share diario]]</f>
        <v>3.7687418304053512E-2</v>
      </c>
      <c r="E115" s="17">
        <f>+Tabla22[[#This Row],[Global 2026]]</f>
        <v>30577431</v>
      </c>
      <c r="F115" s="19">
        <v>46134</v>
      </c>
      <c r="G115" s="17">
        <f t="shared" si="24"/>
        <v>4508167.3730940577</v>
      </c>
      <c r="H115" s="17">
        <v>3939193.9936038898</v>
      </c>
      <c r="I115" s="17">
        <v>568973.37949016795</v>
      </c>
      <c r="J115" s="17">
        <v>2790322</v>
      </c>
      <c r="K115" s="17">
        <f>+Tabla22[[#This Row],[Web + APP 2026]]</f>
        <v>3741744</v>
      </c>
      <c r="L115" s="17">
        <v>14407.758620689699</v>
      </c>
      <c r="M115" s="17">
        <f>+Tabla22[[#This Row],[Afiliados 2026]]</f>
        <v>21002</v>
      </c>
      <c r="N115" s="17">
        <v>48820</v>
      </c>
      <c r="O115" s="17">
        <f>+Tabla22[[#This Row],[TMK 2026]]</f>
        <v>36270</v>
      </c>
      <c r="P115" s="17">
        <v>26723</v>
      </c>
      <c r="Q115" s="17">
        <f>+Tabla22[[#This Row],[WA 2026]]</f>
        <v>0</v>
      </c>
      <c r="R115" s="17">
        <v>52261</v>
      </c>
      <c r="S115" s="17">
        <f>+Tabla22[[#This Row],[Ent. en Tienda 2026]]</f>
        <v>93176</v>
      </c>
      <c r="T115" s="17">
        <v>314535</v>
      </c>
      <c r="U115" s="17">
        <f>+Tabla22[[#This Row],[Meli Drop 2026]]</f>
        <v>357567</v>
      </c>
      <c r="V115" s="17">
        <v>102425</v>
      </c>
      <c r="W115" s="17">
        <f>+Tabla22[[#This Row],[Meli Full 2026]]</f>
        <v>53926</v>
      </c>
      <c r="X115" s="17">
        <v>23735</v>
      </c>
      <c r="Y115" s="17">
        <f>+Tabla22[[#This Row],[Amazon Drop 2026]]</f>
        <v>25691</v>
      </c>
      <c r="Z115" s="17">
        <v>8755</v>
      </c>
      <c r="AA115" s="17">
        <f>+Tabla22[[#This Row],[Amazon Full 2026]]</f>
        <v>4757</v>
      </c>
      <c r="AB115" s="17">
        <v>0</v>
      </c>
      <c r="AC115" s="17">
        <f>+Tabla22[[#This Row],[TikTok 2026]]</f>
        <v>5288</v>
      </c>
      <c r="AD115" s="17">
        <v>0</v>
      </c>
      <c r="AE115" s="17">
        <f>+Tabla22[[#This Row],[Shein 2026]]</f>
        <v>4650</v>
      </c>
      <c r="AF115" s="17">
        <f t="shared" si="25"/>
        <v>4344071</v>
      </c>
      <c r="AG115" s="18">
        <f t="shared" si="26"/>
        <v>0.96360020391580214</v>
      </c>
      <c r="AH115" s="17">
        <f t="shared" si="27"/>
        <v>-164096.37309405766</v>
      </c>
      <c r="AI115" s="20">
        <f t="shared" si="28"/>
        <v>0.28447423466388511</v>
      </c>
      <c r="AJ115" s="20">
        <f t="shared" si="40"/>
        <v>7.9243259290922893E-2</v>
      </c>
      <c r="AK115" s="21">
        <f t="shared" si="30"/>
        <v>0.14206788660564715</v>
      </c>
      <c r="AL115" s="21">
        <f t="shared" si="41"/>
        <v>-0.28354023374390069</v>
      </c>
      <c r="AO115" s="38">
        <f t="shared" si="32"/>
        <v>46134</v>
      </c>
      <c r="AP115" s="17">
        <f>Tabla2[[#This Row],[Web + APP 2025]]+Tabla2[[#This Row],[Afiliados 2025]]+Tabla2[[#This Row],[TMK 2025]]+Tabla2[[#This Row],[WA 2025]]+Tabla2[[#This Row],[Ent. en Tienda 2025]]</f>
        <v>2932533.7586206896</v>
      </c>
      <c r="AQ115" s="17">
        <f>Tabla2[[#This Row],[Meli Drop 2025]]+Tabla2[[#This Row],[Meli Full 2025]]+Tabla2[[#This Row],[Amazon Drop 2025]]+Tabla2[[#This Row],[Amazon Full 2025]]+Tabla2[[#This Row],[TikTok 2025]]+Tabla2[[#This Row],[Shein 2025]]</f>
        <v>449450</v>
      </c>
      <c r="AR115" s="17">
        <f>Tabla2[[#This Row],[Web + APP 2026]]+Tabla2[[#This Row],[Afiliados 2026]]+Tabla2[[#This Row],[TMK 2026]]+Tabla2[[#This Row],[WA 2026]]+Tabla2[[#This Row],[Ent. en Tienda 2026]]</f>
        <v>3892192</v>
      </c>
      <c r="AS115" s="17">
        <f>Tabla2[[#This Row],[Meli Drop 2026]]+Tabla2[[#This Row],[Meli Full 2026]]+Tabla2[[#This Row],[Amazon Drop 2026]]+Tabla2[[#This Row],[Amazon Full 2026]]+Tabla2[[#This Row],[TikTok 2026]]+Tabla2[[#This Row],[Shein 2026]]</f>
        <v>451879</v>
      </c>
      <c r="AT115" s="18">
        <f t="shared" si="33"/>
        <v>0.32724541995747858</v>
      </c>
      <c r="AU115" s="18">
        <f t="shared" si="33"/>
        <v>5.4043831349426252E-3</v>
      </c>
      <c r="AV115" s="49">
        <f t="shared" si="34"/>
        <v>3939193.9936038898</v>
      </c>
      <c r="AW115" s="49">
        <f t="shared" si="34"/>
        <v>568973.37949016795</v>
      </c>
      <c r="AX115" s="39">
        <f t="shared" si="35"/>
        <v>0.98806811909233017</v>
      </c>
      <c r="AY115" s="39">
        <f t="shared" si="35"/>
        <v>0.79420060109826041</v>
      </c>
      <c r="AZ115" s="39">
        <f t="shared" si="36"/>
        <v>0.96360020391580214</v>
      </c>
      <c r="BA115" s="18">
        <f t="shared" si="38"/>
        <v>3.2224191179612602E-2</v>
      </c>
      <c r="BB115" s="20">
        <f t="shared" si="39"/>
        <v>4.3092127803286286E-2</v>
      </c>
      <c r="BC115" s="17">
        <f t="shared" si="37"/>
        <v>-47001.99360388983</v>
      </c>
      <c r="BD115" s="17">
        <f t="shared" si="37"/>
        <v>-117094.37949016795</v>
      </c>
    </row>
    <row r="116" spans="1:58" ht="14.25" customHeight="1" x14ac:dyDescent="0.35">
      <c r="A116" s="16">
        <v>45771</v>
      </c>
      <c r="B116" s="17">
        <v>35799559</v>
      </c>
      <c r="C116" s="17">
        <f t="shared" si="23"/>
        <v>2583844.7931034481</v>
      </c>
      <c r="D116" s="18">
        <f>+Tabla22[[#This Row],[Share diario]]</f>
        <v>4.071970801636169E-2</v>
      </c>
      <c r="E116" s="17">
        <f>+Tabla22[[#This Row],[Global 2026]]</f>
        <v>35456383</v>
      </c>
      <c r="F116" s="19">
        <v>46135</v>
      </c>
      <c r="G116" s="17">
        <f t="shared" si="24"/>
        <v>3746831.352177362</v>
      </c>
      <c r="H116" s="17">
        <v>3186575.4791342602</v>
      </c>
      <c r="I116" s="17">
        <v>560255.87304310198</v>
      </c>
      <c r="J116" s="17">
        <v>2029339</v>
      </c>
      <c r="K116" s="17">
        <f>+Tabla22[[#This Row],[Web + APP 2026]]</f>
        <v>3133148</v>
      </c>
      <c r="L116" s="17">
        <v>15613.793103448301</v>
      </c>
      <c r="M116" s="17">
        <f>+Tabla22[[#This Row],[Afiliados 2026]]</f>
        <v>22359</v>
      </c>
      <c r="N116" s="17">
        <v>42994</v>
      </c>
      <c r="O116" s="17">
        <f>+Tabla22[[#This Row],[TMK 2026]]</f>
        <v>23409</v>
      </c>
      <c r="P116" s="17">
        <v>15816</v>
      </c>
      <c r="Q116" s="17">
        <f>+Tabla22[[#This Row],[WA 2026]]</f>
        <v>0</v>
      </c>
      <c r="R116" s="17">
        <v>73103</v>
      </c>
      <c r="S116" s="17">
        <f>+Tabla22[[#This Row],[Ent. en Tienda 2026]]</f>
        <v>68920</v>
      </c>
      <c r="T116" s="17">
        <v>277457</v>
      </c>
      <c r="U116" s="17">
        <f>+Tabla22[[#This Row],[Meli Drop 2026]]</f>
        <v>357674</v>
      </c>
      <c r="V116" s="17">
        <v>104526</v>
      </c>
      <c r="W116" s="17">
        <f>+Tabla22[[#This Row],[Meli Full 2026]]</f>
        <v>42322</v>
      </c>
      <c r="X116" s="17">
        <v>16782</v>
      </c>
      <c r="Y116" s="17">
        <f>+Tabla22[[#This Row],[Amazon Drop 2026]]</f>
        <v>18255</v>
      </c>
      <c r="Z116" s="17">
        <v>8214</v>
      </c>
      <c r="AA116" s="17">
        <f>+Tabla22[[#This Row],[Amazon Full 2026]]</f>
        <v>8264</v>
      </c>
      <c r="AB116" s="17">
        <v>0</v>
      </c>
      <c r="AC116" s="17">
        <f>+Tabla22[[#This Row],[TikTok 2026]]</f>
        <v>5048</v>
      </c>
      <c r="AD116" s="17">
        <v>0</v>
      </c>
      <c r="AE116" s="17">
        <f>+Tabla22[[#This Row],[Shein 2026]]</f>
        <v>4994</v>
      </c>
      <c r="AF116" s="17">
        <f t="shared" si="25"/>
        <v>3684393</v>
      </c>
      <c r="AG116" s="18">
        <f t="shared" si="26"/>
        <v>0.98333569186638792</v>
      </c>
      <c r="AH116" s="17">
        <f t="shared" si="27"/>
        <v>-62438.352177361958</v>
      </c>
      <c r="AI116" s="20">
        <f t="shared" si="28"/>
        <v>0.42593433236935518</v>
      </c>
      <c r="AJ116" s="20">
        <f t="shared" si="40"/>
        <v>6.2218501992446842E-2</v>
      </c>
      <c r="AK116" s="21">
        <f t="shared" si="30"/>
        <v>0.10391339127851817</v>
      </c>
      <c r="AL116" s="21">
        <f t="shared" si="41"/>
        <v>-0.1462168926637476</v>
      </c>
      <c r="AO116" s="38">
        <f t="shared" si="32"/>
        <v>46135</v>
      </c>
      <c r="AP116" s="17">
        <f>Tabla2[[#This Row],[Web + APP 2025]]+Tabla2[[#This Row],[Afiliados 2025]]+Tabla2[[#This Row],[TMK 2025]]+Tabla2[[#This Row],[WA 2025]]+Tabla2[[#This Row],[Ent. en Tienda 2025]]</f>
        <v>2176865.7931034481</v>
      </c>
      <c r="AQ116" s="17">
        <f>Tabla2[[#This Row],[Meli Drop 2025]]+Tabla2[[#This Row],[Meli Full 2025]]+Tabla2[[#This Row],[Amazon Drop 2025]]+Tabla2[[#This Row],[Amazon Full 2025]]+Tabla2[[#This Row],[TikTok 2025]]+Tabla2[[#This Row],[Shein 2025]]</f>
        <v>406979</v>
      </c>
      <c r="AR116" s="17">
        <f>Tabla2[[#This Row],[Web + APP 2026]]+Tabla2[[#This Row],[Afiliados 2026]]+Tabla2[[#This Row],[TMK 2026]]+Tabla2[[#This Row],[WA 2026]]+Tabla2[[#This Row],[Ent. en Tienda 2026]]</f>
        <v>3247836</v>
      </c>
      <c r="AS116" s="17">
        <f>Tabla2[[#This Row],[Meli Drop 2026]]+Tabla2[[#This Row],[Meli Full 2026]]+Tabla2[[#This Row],[Amazon Drop 2026]]+Tabla2[[#This Row],[Amazon Full 2026]]+Tabla2[[#This Row],[TikTok 2026]]+Tabla2[[#This Row],[Shein 2026]]</f>
        <v>436557</v>
      </c>
      <c r="AT116" s="18">
        <f t="shared" si="33"/>
        <v>0.49197805867936562</v>
      </c>
      <c r="AU116" s="18">
        <f t="shared" si="33"/>
        <v>7.2676968590516866E-2</v>
      </c>
      <c r="AV116" s="49">
        <f t="shared" si="34"/>
        <v>3186575.4791342602</v>
      </c>
      <c r="AW116" s="49">
        <f t="shared" si="34"/>
        <v>560255.87304310198</v>
      </c>
      <c r="AX116" s="39">
        <f t="shared" si="35"/>
        <v>1.0192245629412748</v>
      </c>
      <c r="AY116" s="39">
        <f t="shared" si="35"/>
        <v>0.77921003777931752</v>
      </c>
      <c r="AZ116" s="39">
        <f t="shared" si="36"/>
        <v>0.98333569186638792</v>
      </c>
      <c r="BA116" s="18">
        <f t="shared" si="38"/>
        <v>2.9179150299449452E-2</v>
      </c>
      <c r="BB116" s="20">
        <f t="shared" si="39"/>
        <v>3.1987962181597281E-2</v>
      </c>
      <c r="BC116" s="17">
        <f t="shared" si="37"/>
        <v>61260.520865739789</v>
      </c>
      <c r="BD116" s="17">
        <f t="shared" si="37"/>
        <v>-123698.87304310198</v>
      </c>
    </row>
    <row r="117" spans="1:58" ht="14.25" customHeight="1" x14ac:dyDescent="0.35">
      <c r="A117" s="19">
        <v>45772</v>
      </c>
      <c r="B117" s="17">
        <v>38328512</v>
      </c>
      <c r="C117" s="17">
        <f t="shared" si="23"/>
        <v>2538592.9655172415</v>
      </c>
      <c r="D117" s="18">
        <f>+Tabla22[[#This Row],[Share diario]]</f>
        <v>3.1109967712464468E-2</v>
      </c>
      <c r="E117" s="17">
        <f>+Tabla22[[#This Row],[Global 2026]]</f>
        <v>35631295</v>
      </c>
      <c r="F117" s="19">
        <v>46136</v>
      </c>
      <c r="G117" s="17">
        <f t="shared" si="24"/>
        <v>2943088.510209234</v>
      </c>
      <c r="H117" s="17">
        <v>2445372.7951799599</v>
      </c>
      <c r="I117" s="17">
        <v>497715.715029274</v>
      </c>
      <c r="J117" s="17">
        <v>1938792</v>
      </c>
      <c r="K117" s="17">
        <f>+Tabla22[[#This Row],[Web + APP 2026]]</f>
        <v>2485615</v>
      </c>
      <c r="L117" s="17">
        <v>18018.965517241399</v>
      </c>
      <c r="M117" s="17">
        <f>+Tabla22[[#This Row],[Afiliados 2026]]</f>
        <v>21234</v>
      </c>
      <c r="N117" s="17">
        <v>42050</v>
      </c>
      <c r="O117" s="17">
        <f>+Tabla22[[#This Row],[TMK 2026]]</f>
        <v>22286</v>
      </c>
      <c r="P117" s="17">
        <v>8072</v>
      </c>
      <c r="Q117" s="17">
        <f>+Tabla22[[#This Row],[WA 2026]]</f>
        <v>0</v>
      </c>
      <c r="R117" s="17">
        <v>101687</v>
      </c>
      <c r="S117" s="17">
        <f>+Tabla22[[#This Row],[Ent. en Tienda 2026]]</f>
        <v>56136</v>
      </c>
      <c r="T117" s="17">
        <v>321502</v>
      </c>
      <c r="U117" s="17">
        <f>+Tabla22[[#This Row],[Meli Drop 2026]]</f>
        <v>280641</v>
      </c>
      <c r="V117" s="17">
        <v>81927</v>
      </c>
      <c r="W117" s="17">
        <f>+Tabla22[[#This Row],[Meli Full 2026]]</f>
        <v>37782</v>
      </c>
      <c r="X117" s="17">
        <v>14919</v>
      </c>
      <c r="Y117" s="17">
        <f>+Tabla22[[#This Row],[Amazon Drop 2026]]</f>
        <v>17034</v>
      </c>
      <c r="Z117" s="17">
        <v>11625</v>
      </c>
      <c r="AA117" s="17">
        <f>+Tabla22[[#This Row],[Amazon Full 2026]]</f>
        <v>10707</v>
      </c>
      <c r="AB117" s="17">
        <v>0</v>
      </c>
      <c r="AC117" s="17">
        <f>+Tabla22[[#This Row],[TikTok 2026]]</f>
        <v>8599</v>
      </c>
      <c r="AD117" s="17">
        <v>0</v>
      </c>
      <c r="AE117" s="17">
        <f>+Tabla22[[#This Row],[Shein 2026]]</f>
        <v>1378</v>
      </c>
      <c r="AF117" s="17">
        <f t="shared" si="25"/>
        <v>2941412</v>
      </c>
      <c r="AG117" s="18">
        <f t="shared" si="26"/>
        <v>0.99943035685015302</v>
      </c>
      <c r="AH117" s="17">
        <f t="shared" si="27"/>
        <v>-1676.5102092339657</v>
      </c>
      <c r="AI117" s="20">
        <f t="shared" si="28"/>
        <v>0.15867807086619079</v>
      </c>
      <c r="AJ117" s="20">
        <f t="shared" si="40"/>
        <v>0.10357615202134368</v>
      </c>
      <c r="AK117" s="21">
        <f t="shared" si="30"/>
        <v>8.2551363906363778E-2</v>
      </c>
      <c r="AL117" s="21">
        <f t="shared" si="41"/>
        <v>0.45377871827726746</v>
      </c>
      <c r="AO117" s="38">
        <f t="shared" si="32"/>
        <v>46136</v>
      </c>
      <c r="AP117" s="17">
        <f>Tabla2[[#This Row],[Web + APP 2025]]+Tabla2[[#This Row],[Afiliados 2025]]+Tabla2[[#This Row],[TMK 2025]]+Tabla2[[#This Row],[WA 2025]]+Tabla2[[#This Row],[Ent. en Tienda 2025]]</f>
        <v>2108619.9655172415</v>
      </c>
      <c r="AQ117" s="17">
        <f>Tabla2[[#This Row],[Meli Drop 2025]]+Tabla2[[#This Row],[Meli Full 2025]]+Tabla2[[#This Row],[Amazon Drop 2025]]+Tabla2[[#This Row],[Amazon Full 2025]]+Tabla2[[#This Row],[TikTok 2025]]+Tabla2[[#This Row],[Shein 2025]]</f>
        <v>429973</v>
      </c>
      <c r="AR117" s="17">
        <f>Tabla2[[#This Row],[Web + APP 2026]]+Tabla2[[#This Row],[Afiliados 2026]]+Tabla2[[#This Row],[TMK 2026]]+Tabla2[[#This Row],[WA 2026]]+Tabla2[[#This Row],[Ent. en Tienda 2026]]</f>
        <v>2585271</v>
      </c>
      <c r="AS117" s="17">
        <f>Tabla2[[#This Row],[Meli Drop 2026]]+Tabla2[[#This Row],[Meli Full 2026]]+Tabla2[[#This Row],[Amazon Drop 2026]]+Tabla2[[#This Row],[Amazon Full 2026]]+Tabla2[[#This Row],[TikTok 2026]]+Tabla2[[#This Row],[Shein 2026]]</f>
        <v>356141</v>
      </c>
      <c r="AT117" s="18">
        <f t="shared" si="33"/>
        <v>0.22604881025388401</v>
      </c>
      <c r="AU117" s="18">
        <f t="shared" si="33"/>
        <v>-0.17171310756721936</v>
      </c>
      <c r="AV117" s="49">
        <f t="shared" si="34"/>
        <v>2445372.7951799599</v>
      </c>
      <c r="AW117" s="49">
        <f t="shared" si="34"/>
        <v>497715.715029274</v>
      </c>
      <c r="AX117" s="39">
        <f t="shared" si="35"/>
        <v>1.0572093568292702</v>
      </c>
      <c r="AY117" s="39">
        <f t="shared" si="35"/>
        <v>0.71555104499574207</v>
      </c>
      <c r="AZ117" s="39">
        <f t="shared" si="36"/>
        <v>0.99943035685015302</v>
      </c>
      <c r="BA117" s="18">
        <f t="shared" si="38"/>
        <v>3.0827749814376613E-2</v>
      </c>
      <c r="BB117" s="20">
        <f t="shared" si="39"/>
        <v>3.0985123624073196E-2</v>
      </c>
      <c r="BC117" s="17">
        <f t="shared" si="37"/>
        <v>139898.20482004015</v>
      </c>
      <c r="BD117" s="17">
        <f t="shared" si="37"/>
        <v>-141574.715029274</v>
      </c>
    </row>
    <row r="118" spans="1:58" ht="14.25" customHeight="1" x14ac:dyDescent="0.35">
      <c r="A118" s="16">
        <v>45773</v>
      </c>
      <c r="B118" s="17">
        <v>42678504</v>
      </c>
      <c r="C118" s="17">
        <f t="shared" si="23"/>
        <v>2232713.931034483</v>
      </c>
      <c r="D118" s="18">
        <f>+Tabla22[[#This Row],[Share diario]]</f>
        <v>3.0565127364896218E-2</v>
      </c>
      <c r="E118" s="17">
        <f>+Tabla22[[#This Row],[Global 2026]]</f>
        <v>44200408</v>
      </c>
      <c r="F118" s="19">
        <v>46137</v>
      </c>
      <c r="G118" s="17">
        <f t="shared" si="24"/>
        <v>2922593.1010954212</v>
      </c>
      <c r="H118" s="17">
        <v>2381328.42008851</v>
      </c>
      <c r="I118" s="17">
        <v>541264.68100691098</v>
      </c>
      <c r="J118" s="17">
        <v>1752638</v>
      </c>
      <c r="K118" s="17">
        <f>+Tabla22[[#This Row],[Web + APP 2026]]</f>
        <v>1858764</v>
      </c>
      <c r="L118" s="17">
        <v>19887.931034482801</v>
      </c>
      <c r="M118" s="17">
        <f>+Tabla22[[#This Row],[Afiliados 2026]]</f>
        <v>23248</v>
      </c>
      <c r="N118" s="17">
        <v>25737</v>
      </c>
      <c r="O118" s="17">
        <f>+Tabla22[[#This Row],[TMK 2026]]</f>
        <v>9296</v>
      </c>
      <c r="P118" s="17">
        <v>1459</v>
      </c>
      <c r="Q118" s="17">
        <f>+Tabla22[[#This Row],[WA 2026]]</f>
        <v>1497</v>
      </c>
      <c r="R118" s="17">
        <v>72841</v>
      </c>
      <c r="S118" s="17">
        <f>+Tabla22[[#This Row],[Ent. en Tienda 2026]]</f>
        <v>70341</v>
      </c>
      <c r="T118" s="17">
        <v>250845</v>
      </c>
      <c r="U118" s="17">
        <f>+Tabla22[[#This Row],[Meli Drop 2026]]</f>
        <v>308728</v>
      </c>
      <c r="V118" s="17">
        <v>82494</v>
      </c>
      <c r="W118" s="17">
        <f>+Tabla22[[#This Row],[Meli Full 2026]]</f>
        <v>43807</v>
      </c>
      <c r="X118" s="17">
        <v>16169</v>
      </c>
      <c r="Y118" s="17">
        <f>+Tabla22[[#This Row],[Amazon Drop 2026]]</f>
        <v>13947</v>
      </c>
      <c r="Z118" s="17">
        <v>10643</v>
      </c>
      <c r="AA118" s="17">
        <f>+Tabla22[[#This Row],[Amazon Full 2026]]</f>
        <v>4542</v>
      </c>
      <c r="AB118" s="17">
        <v>0</v>
      </c>
      <c r="AC118" s="17">
        <f>+Tabla22[[#This Row],[TikTok 2026]]</f>
        <v>1327</v>
      </c>
      <c r="AD118" s="17">
        <v>0</v>
      </c>
      <c r="AE118" s="17">
        <f>+Tabla22[[#This Row],[Shein 2026]]</f>
        <v>2411</v>
      </c>
      <c r="AF118" s="17">
        <f t="shared" si="25"/>
        <v>2337908</v>
      </c>
      <c r="AG118" s="18">
        <f t="shared" si="26"/>
        <v>0.7999430365875172</v>
      </c>
      <c r="AH118" s="17">
        <f t="shared" si="27"/>
        <v>-584685.10109542124</v>
      </c>
      <c r="AI118" s="20">
        <f t="shared" si="28"/>
        <v>4.7114888971368396E-2</v>
      </c>
      <c r="AJ118" s="20">
        <f t="shared" si="40"/>
        <v>8.4174409820860205E-2</v>
      </c>
      <c r="AK118" s="21">
        <f t="shared" si="30"/>
        <v>5.2893357907465473E-2</v>
      </c>
      <c r="AL118" s="21">
        <f t="shared" si="41"/>
        <v>0.66637705150045323</v>
      </c>
      <c r="AO118" s="38">
        <f t="shared" si="32"/>
        <v>46137</v>
      </c>
      <c r="AP118" s="17">
        <f>Tabla2[[#This Row],[Web + APP 2025]]+Tabla2[[#This Row],[Afiliados 2025]]+Tabla2[[#This Row],[TMK 2025]]+Tabla2[[#This Row],[WA 2025]]+Tabla2[[#This Row],[Ent. en Tienda 2025]]</f>
        <v>1872562.9310344828</v>
      </c>
      <c r="AQ118" s="17">
        <f>Tabla2[[#This Row],[Meli Drop 2025]]+Tabla2[[#This Row],[Meli Full 2025]]+Tabla2[[#This Row],[Amazon Drop 2025]]+Tabla2[[#This Row],[Amazon Full 2025]]+Tabla2[[#This Row],[TikTok 2025]]+Tabla2[[#This Row],[Shein 2025]]</f>
        <v>360151</v>
      </c>
      <c r="AR118" s="17">
        <f>Tabla2[[#This Row],[Web + APP 2026]]+Tabla2[[#This Row],[Afiliados 2026]]+Tabla2[[#This Row],[TMK 2026]]+Tabla2[[#This Row],[WA 2026]]+Tabla2[[#This Row],[Ent. en Tienda 2026]]</f>
        <v>1963146</v>
      </c>
      <c r="AS118" s="17">
        <f>Tabla2[[#This Row],[Meli Drop 2026]]+Tabla2[[#This Row],[Meli Full 2026]]+Tabla2[[#This Row],[Amazon Drop 2026]]+Tabla2[[#This Row],[Amazon Full 2026]]+Tabla2[[#This Row],[TikTok 2026]]+Tabla2[[#This Row],[Shein 2026]]</f>
        <v>374762</v>
      </c>
      <c r="AT118" s="18">
        <f t="shared" si="33"/>
        <v>4.8373844993009341E-2</v>
      </c>
      <c r="AU118" s="18">
        <f t="shared" si="33"/>
        <v>4.0569094629752556E-2</v>
      </c>
      <c r="AV118" s="49">
        <f t="shared" si="34"/>
        <v>2381328.42008851</v>
      </c>
      <c r="AW118" s="49">
        <f t="shared" si="34"/>
        <v>541264.68100691098</v>
      </c>
      <c r="AX118" s="39">
        <f t="shared" si="35"/>
        <v>0.82439111860388958</v>
      </c>
      <c r="AY118" s="39">
        <f t="shared" si="35"/>
        <v>0.69238214343273385</v>
      </c>
      <c r="AZ118" s="39">
        <f t="shared" si="36"/>
        <v>0.7999430365875172</v>
      </c>
      <c r="BA118" s="18">
        <f t="shared" si="38"/>
        <v>2.5821725837198037E-2</v>
      </c>
      <c r="BB118" s="20">
        <f t="shared" si="39"/>
        <v>2.7516382686686592E-2</v>
      </c>
      <c r="BC118" s="17">
        <f t="shared" si="37"/>
        <v>-418182.42008851003</v>
      </c>
      <c r="BD118" s="17">
        <f t="shared" si="37"/>
        <v>-166502.68100691098</v>
      </c>
    </row>
    <row r="119" spans="1:58" ht="14.25" customHeight="1" x14ac:dyDescent="0.35">
      <c r="A119" s="19">
        <v>45774</v>
      </c>
      <c r="B119" s="17">
        <v>41528560</v>
      </c>
      <c r="C119" s="17">
        <f t="shared" si="23"/>
        <v>2438760.9655172415</v>
      </c>
      <c r="D119" s="18">
        <f>+Tabla22[[#This Row],[Share diario]]</f>
        <v>2.6882287392434513E-2</v>
      </c>
      <c r="E119" s="17">
        <f>+Tabla22[[#This Row],[Global 2026]]</f>
        <v>44483663</v>
      </c>
      <c r="F119" s="19">
        <v>46138</v>
      </c>
      <c r="G119" s="17">
        <f t="shared" si="24"/>
        <v>3121767.4812489282</v>
      </c>
      <c r="H119" s="17">
        <v>2426796.8099636701</v>
      </c>
      <c r="I119" s="17">
        <v>694970.67128525802</v>
      </c>
      <c r="J119" s="17">
        <v>1946010</v>
      </c>
      <c r="K119" s="17">
        <f>+Tabla22[[#This Row],[Web + APP 2026]]</f>
        <v>2402155</v>
      </c>
      <c r="L119" s="17">
        <v>18168.965517241399</v>
      </c>
      <c r="M119" s="17">
        <f>+Tabla22[[#This Row],[Afiliados 2026]]</f>
        <v>22570</v>
      </c>
      <c r="N119" s="17">
        <v>19936</v>
      </c>
      <c r="O119" s="17">
        <f>+Tabla22[[#This Row],[TMK 2026]]</f>
        <v>5255</v>
      </c>
      <c r="P119" s="17">
        <v>3572</v>
      </c>
      <c r="Q119" s="17">
        <f>+Tabla22[[#This Row],[WA 2026]]</f>
        <v>0</v>
      </c>
      <c r="R119" s="17">
        <v>72272</v>
      </c>
      <c r="S119" s="17">
        <f>+Tabla22[[#This Row],[Ent. en Tienda 2026]]</f>
        <v>42305</v>
      </c>
      <c r="T119" s="17">
        <v>273543</v>
      </c>
      <c r="U119" s="17">
        <f>+Tabla22[[#This Row],[Meli Drop 2026]]</f>
        <v>188051</v>
      </c>
      <c r="V119" s="17">
        <v>81092</v>
      </c>
      <c r="W119" s="17">
        <f>+Tabla22[[#This Row],[Meli Full 2026]]</f>
        <v>44006</v>
      </c>
      <c r="X119" s="17">
        <v>16940</v>
      </c>
      <c r="Y119" s="17">
        <f>+Tabla22[[#This Row],[Amazon Drop 2026]]</f>
        <v>23511</v>
      </c>
      <c r="Z119" s="17">
        <v>7227</v>
      </c>
      <c r="AA119" s="17">
        <f>+Tabla22[[#This Row],[Amazon Full 2026]]</f>
        <v>6576</v>
      </c>
      <c r="AB119" s="17">
        <v>0</v>
      </c>
      <c r="AC119" s="17">
        <f>+Tabla22[[#This Row],[TikTok 2026]]</f>
        <v>0</v>
      </c>
      <c r="AD119" s="17">
        <v>0</v>
      </c>
      <c r="AE119" s="17">
        <f>+Tabla22[[#This Row],[Shein 2026]]</f>
        <v>5726</v>
      </c>
      <c r="AF119" s="17">
        <f t="shared" si="25"/>
        <v>2740155</v>
      </c>
      <c r="AG119" s="18">
        <f t="shared" si="26"/>
        <v>0.87775755768451524</v>
      </c>
      <c r="AH119" s="17">
        <f t="shared" si="27"/>
        <v>-381612.48124892823</v>
      </c>
      <c r="AI119" s="20">
        <f t="shared" si="28"/>
        <v>0.12358490181871318</v>
      </c>
      <c r="AJ119" s="20" t="e">
        <f>+C119/#REF!</f>
        <v>#REF!</v>
      </c>
      <c r="AK119" s="21">
        <f t="shared" si="30"/>
        <v>6.1599131348513275E-2</v>
      </c>
      <c r="AL119" s="21" t="e">
        <f>+E119/#REF!-1</f>
        <v>#REF!</v>
      </c>
      <c r="AO119" s="38">
        <f t="shared" si="32"/>
        <v>46138</v>
      </c>
      <c r="AP119" s="17">
        <f>Tabla2[[#This Row],[Web + APP 2025]]+Tabla2[[#This Row],[Afiliados 2025]]+Tabla2[[#This Row],[TMK 2025]]+Tabla2[[#This Row],[WA 2025]]+Tabla2[[#This Row],[Ent. en Tienda 2025]]</f>
        <v>2059958.9655172415</v>
      </c>
      <c r="AQ119" s="17">
        <f>Tabla2[[#This Row],[Meli Drop 2025]]+Tabla2[[#This Row],[Meli Full 2025]]+Tabla2[[#This Row],[Amazon Drop 2025]]+Tabla2[[#This Row],[Amazon Full 2025]]+Tabla2[[#This Row],[TikTok 2025]]+Tabla2[[#This Row],[Shein 2025]]</f>
        <v>378802</v>
      </c>
      <c r="AR119" s="17">
        <f>Tabla2[[#This Row],[Web + APP 2026]]+Tabla2[[#This Row],[Afiliados 2026]]+Tabla2[[#This Row],[TMK 2026]]+Tabla2[[#This Row],[WA 2026]]+Tabla2[[#This Row],[Ent. en Tienda 2026]]</f>
        <v>2472285</v>
      </c>
      <c r="AS119" s="17">
        <f>Tabla2[[#This Row],[Meli Drop 2026]]+Tabla2[[#This Row],[Meli Full 2026]]+Tabla2[[#This Row],[Amazon Drop 2026]]+Tabla2[[#This Row],[Amazon Full 2026]]+Tabla2[[#This Row],[TikTok 2026]]+Tabla2[[#This Row],[Shein 2026]]</f>
        <v>267870</v>
      </c>
      <c r="AT119" s="18">
        <f t="shared" si="33"/>
        <v>0.2001622563288421</v>
      </c>
      <c r="AU119" s="18">
        <f t="shared" si="33"/>
        <v>-0.29284956256830741</v>
      </c>
      <c r="AV119" s="49">
        <f t="shared" si="34"/>
        <v>2426796.8099636701</v>
      </c>
      <c r="AW119" s="49">
        <f t="shared" si="34"/>
        <v>694970.67128525802</v>
      </c>
      <c r="AX119" s="39">
        <f t="shared" si="35"/>
        <v>1.0187441280001563</v>
      </c>
      <c r="AY119" s="39">
        <f t="shared" si="35"/>
        <v>0.38544072587208494</v>
      </c>
      <c r="AZ119" s="39">
        <f t="shared" si="36"/>
        <v>0.87775755768451524</v>
      </c>
      <c r="BA119" s="18">
        <f t="shared" si="38"/>
        <v>2.7158945527243548E-2</v>
      </c>
      <c r="BB119" s="20">
        <f t="shared" si="39"/>
        <v>3.0270074385553264E-2</v>
      </c>
      <c r="BC119" s="17">
        <f t="shared" si="37"/>
        <v>45488.190036329906</v>
      </c>
      <c r="BD119" s="17">
        <f t="shared" si="37"/>
        <v>-427100.67128525802</v>
      </c>
    </row>
    <row r="120" spans="1:58" ht="14.25" customHeight="1" x14ac:dyDescent="0.35">
      <c r="A120" s="16">
        <v>45775</v>
      </c>
      <c r="B120" s="17">
        <v>24509435</v>
      </c>
      <c r="C120" s="17">
        <f t="shared" si="23"/>
        <v>3201083.1724137929</v>
      </c>
      <c r="D120" s="18">
        <f>+Tabla22[[#This Row],[Share diario]]</f>
        <v>2.9363131678096309E-2</v>
      </c>
      <c r="E120" s="17">
        <f>+Tabla22[[#This Row],[Global 2026]]</f>
        <v>25760577</v>
      </c>
      <c r="F120" s="19">
        <v>46139</v>
      </c>
      <c r="G120" s="17">
        <f t="shared" si="24"/>
        <v>3938557.7823995668</v>
      </c>
      <c r="H120" s="17">
        <v>3150380.9104436301</v>
      </c>
      <c r="I120" s="17">
        <v>788176.87195593701</v>
      </c>
      <c r="J120" s="17">
        <v>2632448</v>
      </c>
      <c r="K120" s="17">
        <f>+Tabla22[[#This Row],[Web + APP 2026]]</f>
        <v>3645929</v>
      </c>
      <c r="L120" s="17">
        <v>14455.1724137931</v>
      </c>
      <c r="M120" s="17">
        <f>+Tabla22[[#This Row],[Afiliados 2026]]</f>
        <v>20822</v>
      </c>
      <c r="N120" s="17">
        <v>64714</v>
      </c>
      <c r="O120" s="17">
        <f>+Tabla22[[#This Row],[TMK 2026]]</f>
        <v>10309</v>
      </c>
      <c r="P120" s="17">
        <v>9783</v>
      </c>
      <c r="Q120" s="17">
        <f>+Tabla22[[#This Row],[WA 2026]]</f>
        <v>2738</v>
      </c>
      <c r="R120" s="17">
        <v>89766</v>
      </c>
      <c r="S120" s="17">
        <f>+Tabla22[[#This Row],[Ent. en Tienda 2026]]</f>
        <v>64173</v>
      </c>
      <c r="T120" s="17">
        <v>268976</v>
      </c>
      <c r="U120" s="17">
        <f>+Tabla22[[#This Row],[Meli Drop 2026]]</f>
        <v>460477</v>
      </c>
      <c r="V120" s="17">
        <v>80501</v>
      </c>
      <c r="W120" s="17">
        <f>+Tabla22[[#This Row],[Meli Full 2026]]</f>
        <v>93404</v>
      </c>
      <c r="X120" s="17">
        <v>31107</v>
      </c>
      <c r="Y120" s="17">
        <f>+Tabla22[[#This Row],[Amazon Drop 2026]]</f>
        <v>20032</v>
      </c>
      <c r="Z120" s="17">
        <v>9333</v>
      </c>
      <c r="AA120" s="17">
        <f>+Tabla22[[#This Row],[Amazon Full 2026]]</f>
        <v>9335</v>
      </c>
      <c r="AB120" s="17">
        <v>0</v>
      </c>
      <c r="AC120" s="17">
        <f>+Tabla22[[#This Row],[TikTok 2026]]</f>
        <v>8011</v>
      </c>
      <c r="AD120" s="17">
        <v>0</v>
      </c>
      <c r="AE120" s="17">
        <f>+Tabla22[[#This Row],[Shein 2026]]</f>
        <v>3607</v>
      </c>
      <c r="AF120" s="17">
        <f t="shared" si="25"/>
        <v>4338837</v>
      </c>
      <c r="AG120" s="18">
        <f t="shared" si="26"/>
        <v>1.1016309115456377</v>
      </c>
      <c r="AH120" s="17">
        <f t="shared" si="27"/>
        <v>400279.21760043316</v>
      </c>
      <c r="AI120" s="20">
        <f t="shared" si="28"/>
        <v>0.35542776188732339</v>
      </c>
      <c r="AJ120" s="20" t="e">
        <f>+C120/#REF!</f>
        <v>#REF!</v>
      </c>
      <c r="AK120" s="21">
        <f t="shared" si="30"/>
        <v>0.16842934069372748</v>
      </c>
      <c r="AL120" s="21" t="e">
        <f>+E120/#REF!-1</f>
        <v>#REF!</v>
      </c>
      <c r="AO120" s="38">
        <f t="shared" si="32"/>
        <v>46139</v>
      </c>
      <c r="AP120" s="17">
        <f>Tabla2[[#This Row],[Web + APP 2025]]+Tabla2[[#This Row],[Afiliados 2025]]+Tabla2[[#This Row],[TMK 2025]]+Tabla2[[#This Row],[WA 2025]]+Tabla2[[#This Row],[Ent. en Tienda 2025]]</f>
        <v>2811166.1724137929</v>
      </c>
      <c r="AQ120" s="17">
        <f>Tabla2[[#This Row],[Meli Drop 2025]]+Tabla2[[#This Row],[Meli Full 2025]]+Tabla2[[#This Row],[Amazon Drop 2025]]+Tabla2[[#This Row],[Amazon Full 2025]]+Tabla2[[#This Row],[TikTok 2025]]+Tabla2[[#This Row],[Shein 2025]]</f>
        <v>389917</v>
      </c>
      <c r="AR120" s="17">
        <f>Tabla2[[#This Row],[Web + APP 2026]]+Tabla2[[#This Row],[Afiliados 2026]]+Tabla2[[#This Row],[TMK 2026]]+Tabla2[[#This Row],[WA 2026]]+Tabla2[[#This Row],[Ent. en Tienda 2026]]</f>
        <v>3743971</v>
      </c>
      <c r="AS120" s="17">
        <f>Tabla2[[#This Row],[Meli Drop 2026]]+Tabla2[[#This Row],[Meli Full 2026]]+Tabla2[[#This Row],[Amazon Drop 2026]]+Tabla2[[#This Row],[Amazon Full 2026]]+Tabla2[[#This Row],[TikTok 2026]]+Tabla2[[#This Row],[Shein 2026]]</f>
        <v>594866</v>
      </c>
      <c r="AT120" s="18">
        <f t="shared" si="33"/>
        <v>0.33182130488759376</v>
      </c>
      <c r="AU120" s="18">
        <f t="shared" si="33"/>
        <v>0.52562211957929517</v>
      </c>
      <c r="AV120" s="49">
        <f t="shared" si="34"/>
        <v>3150380.9104436301</v>
      </c>
      <c r="AW120" s="49">
        <f t="shared" si="34"/>
        <v>788176.87195593701</v>
      </c>
      <c r="AX120" s="39">
        <f t="shared" si="35"/>
        <v>1.1884185139608345</v>
      </c>
      <c r="AY120" s="39">
        <f t="shared" si="35"/>
        <v>0.75473668559162688</v>
      </c>
      <c r="AZ120" s="39">
        <f t="shared" si="36"/>
        <v>1.1016309115456377</v>
      </c>
      <c r="BA120" s="18">
        <f t="shared" si="38"/>
        <v>2.7955857052355114E-2</v>
      </c>
      <c r="BB120" s="20">
        <f t="shared" si="39"/>
        <v>4.1308691373738118E-2</v>
      </c>
      <c r="BC120" s="17">
        <f t="shared" si="37"/>
        <v>593590.08955636993</v>
      </c>
      <c r="BD120" s="17">
        <f t="shared" si="37"/>
        <v>-193310.87195593701</v>
      </c>
    </row>
    <row r="121" spans="1:58" ht="14.25" customHeight="1" x14ac:dyDescent="0.35">
      <c r="A121" s="19">
        <v>45776</v>
      </c>
      <c r="B121" s="17">
        <v>26524854</v>
      </c>
      <c r="C121" s="17">
        <f t="shared" si="23"/>
        <v>3535092.2068965519</v>
      </c>
      <c r="D121" s="18">
        <f>+Tabla22[[#This Row],[Share diario]]</f>
        <v>3.8541631604386915E-2</v>
      </c>
      <c r="E121" s="17">
        <f>+Tabla22[[#This Row],[Global 2026]]</f>
        <v>29247943</v>
      </c>
      <c r="F121" s="19">
        <v>46140</v>
      </c>
      <c r="G121" s="17">
        <f t="shared" si="24"/>
        <v>4775363.2823169054</v>
      </c>
      <c r="H121" s="17">
        <v>3865009.1529240501</v>
      </c>
      <c r="I121" s="17">
        <v>910354.12939285499</v>
      </c>
      <c r="J121" s="17">
        <v>3065439</v>
      </c>
      <c r="K121" s="17">
        <f>+Tabla22[[#This Row],[Web + APP 2026]]</f>
        <v>3414301</v>
      </c>
      <c r="L121" s="17">
        <v>17661.206896551699</v>
      </c>
      <c r="M121" s="17">
        <f>+Tabla22[[#This Row],[Afiliados 2026]]</f>
        <v>21260</v>
      </c>
      <c r="N121" s="17">
        <v>28804</v>
      </c>
      <c r="O121" s="17">
        <f>+Tabla22[[#This Row],[TMK 2026]]</f>
        <v>30481</v>
      </c>
      <c r="P121" s="17">
        <v>996</v>
      </c>
      <c r="Q121" s="17">
        <f>+Tabla22[[#This Row],[WA 2026]]</f>
        <v>1453</v>
      </c>
      <c r="R121" s="17">
        <v>85432</v>
      </c>
      <c r="S121" s="17">
        <f>+Tabla22[[#This Row],[Ent. en Tienda 2026]]</f>
        <v>60651</v>
      </c>
      <c r="T121" s="17">
        <v>243921</v>
      </c>
      <c r="U121" s="17">
        <f>+Tabla22[[#This Row],[Meli Drop 2026]]</f>
        <v>297757</v>
      </c>
      <c r="V121" s="17">
        <v>68863</v>
      </c>
      <c r="W121" s="17">
        <f>+Tabla22[[#This Row],[Meli Full 2026]]</f>
        <v>122634</v>
      </c>
      <c r="X121" s="17">
        <v>14584</v>
      </c>
      <c r="Y121" s="17">
        <f>+Tabla22[[#This Row],[Amazon Drop 2026]]</f>
        <v>18935</v>
      </c>
      <c r="Z121" s="17">
        <v>9392</v>
      </c>
      <c r="AA121" s="17">
        <f>+Tabla22[[#This Row],[Amazon Full 2026]]</f>
        <v>8545</v>
      </c>
      <c r="AB121" s="17">
        <v>0</v>
      </c>
      <c r="AC121" s="17">
        <f>+Tabla22[[#This Row],[TikTok 2026]]</f>
        <v>11569</v>
      </c>
      <c r="AD121" s="17">
        <v>0</v>
      </c>
      <c r="AE121" s="17">
        <f>+Tabla22[[#This Row],[Shein 2026]]</f>
        <v>4607</v>
      </c>
      <c r="AF121" s="17">
        <f t="shared" si="25"/>
        <v>3992193</v>
      </c>
      <c r="AG121" s="18">
        <f t="shared" si="26"/>
        <v>0.8359977584915953</v>
      </c>
      <c r="AH121" s="17">
        <f t="shared" si="27"/>
        <v>-783170.28231690545</v>
      </c>
      <c r="AI121" s="20">
        <f t="shared" si="28"/>
        <v>0.12930378229221229</v>
      </c>
      <c r="AJ121" s="20" t="e">
        <f>+C121/#REF!</f>
        <v>#REF!</v>
      </c>
      <c r="AK121" s="21">
        <f t="shared" si="30"/>
        <v>0.13649482973896659</v>
      </c>
      <c r="AL121" s="21" t="e">
        <f>+E121/#REF!-1</f>
        <v>#REF!</v>
      </c>
      <c r="AO121" s="38">
        <f t="shared" si="32"/>
        <v>46140</v>
      </c>
      <c r="AP121" s="17">
        <f>Tabla2[[#This Row],[Web + APP 2025]]+Tabla2[[#This Row],[Afiliados 2025]]+Tabla2[[#This Row],[TMK 2025]]+Tabla2[[#This Row],[WA 2025]]+Tabla2[[#This Row],[Ent. en Tienda 2025]]</f>
        <v>3198332.2068965519</v>
      </c>
      <c r="AQ121" s="17">
        <f>Tabla2[[#This Row],[Meli Drop 2025]]+Tabla2[[#This Row],[Meli Full 2025]]+Tabla2[[#This Row],[Amazon Drop 2025]]+Tabla2[[#This Row],[Amazon Full 2025]]+Tabla2[[#This Row],[TikTok 2025]]+Tabla2[[#This Row],[Shein 2025]]</f>
        <v>336760</v>
      </c>
      <c r="AR121" s="17">
        <f>Tabla2[[#This Row],[Web + APP 2026]]+Tabla2[[#This Row],[Afiliados 2026]]+Tabla2[[#This Row],[TMK 2026]]+Tabla2[[#This Row],[WA 2026]]+Tabla2[[#This Row],[Ent. en Tienda 2026]]</f>
        <v>3528146</v>
      </c>
      <c r="AS121" s="17">
        <f>Tabla2[[#This Row],[Meli Drop 2026]]+Tabla2[[#This Row],[Meli Full 2026]]+Tabla2[[#This Row],[Amazon Drop 2026]]+Tabla2[[#This Row],[Amazon Full 2026]]+Tabla2[[#This Row],[TikTok 2026]]+Tabla2[[#This Row],[Shein 2026]]</f>
        <v>464047</v>
      </c>
      <c r="AT121" s="18">
        <f t="shared" si="33"/>
        <v>0.10312055526698316</v>
      </c>
      <c r="AU121" s="18">
        <f t="shared" si="33"/>
        <v>0.37797541275685953</v>
      </c>
      <c r="AV121" s="49">
        <f t="shared" si="34"/>
        <v>3865009.1529240501</v>
      </c>
      <c r="AW121" s="49">
        <f t="shared" si="34"/>
        <v>910354.12939285499</v>
      </c>
      <c r="AX121" s="39">
        <f t="shared" si="35"/>
        <v>0.91284285765036333</v>
      </c>
      <c r="AY121" s="39">
        <f t="shared" si="35"/>
        <v>0.50974338998109248</v>
      </c>
      <c r="AZ121" s="39">
        <f t="shared" si="36"/>
        <v>0.8359977584915953</v>
      </c>
      <c r="BA121" s="18">
        <f t="shared" si="38"/>
        <v>2.4144662635768917E-2</v>
      </c>
      <c r="BB121" s="20">
        <f t="shared" si="39"/>
        <v>4.6997904052015954E-2</v>
      </c>
      <c r="BC121" s="17">
        <f t="shared" si="37"/>
        <v>-336863.15292405011</v>
      </c>
      <c r="BD121" s="17">
        <f t="shared" si="37"/>
        <v>-446307.12939285499</v>
      </c>
    </row>
    <row r="122" spans="1:58" ht="14.25" customHeight="1" x14ac:dyDescent="0.35">
      <c r="A122" s="16">
        <v>45777</v>
      </c>
      <c r="B122" s="17">
        <v>25819285</v>
      </c>
      <c r="C122" s="17">
        <f t="shared" si="23"/>
        <v>3278850.1724137929</v>
      </c>
      <c r="D122" s="18">
        <f>+Tabla22[[#This Row],[Share diario]]</f>
        <v>4.2563161963394838E-2</v>
      </c>
      <c r="E122" s="17">
        <f>+Tabla22[[#This Row],[Global 2026]]</f>
        <v>33378286</v>
      </c>
      <c r="F122" s="19">
        <v>46141</v>
      </c>
      <c r="G122" s="17">
        <f t="shared" si="24"/>
        <v>4786174.5106639257</v>
      </c>
      <c r="H122" s="17">
        <v>3969770.1570955799</v>
      </c>
      <c r="I122" s="17">
        <v>816404.35356834601</v>
      </c>
      <c r="J122" s="17">
        <v>2779622</v>
      </c>
      <c r="K122" s="17">
        <f>+Tabla22[[#This Row],[Web + APP 2026]]</f>
        <v>3197203</v>
      </c>
      <c r="L122" s="17">
        <v>15955.1724137931</v>
      </c>
      <c r="M122" s="17">
        <f>+Tabla22[[#This Row],[Afiliados 2026]]</f>
        <v>23371</v>
      </c>
      <c r="N122" s="17">
        <v>51237</v>
      </c>
      <c r="O122" s="17">
        <f>+Tabla22[[#This Row],[TMK 2026]]</f>
        <v>59752</v>
      </c>
      <c r="P122" s="17">
        <v>13462</v>
      </c>
      <c r="Q122" s="17">
        <f>+Tabla22[[#This Row],[WA 2026]]</f>
        <v>1516</v>
      </c>
      <c r="R122" s="17">
        <v>80785</v>
      </c>
      <c r="S122" s="17">
        <f>+Tabla22[[#This Row],[Ent. en Tienda 2026]]</f>
        <v>126425</v>
      </c>
      <c r="T122" s="17">
        <v>259639</v>
      </c>
      <c r="U122" s="17">
        <f>+Tabla22[[#This Row],[Meli Drop 2026]]</f>
        <v>317515</v>
      </c>
      <c r="V122" s="17">
        <v>53075</v>
      </c>
      <c r="W122" s="17">
        <f>+Tabla22[[#This Row],[Meli Full 2026]]</f>
        <v>127512</v>
      </c>
      <c r="X122" s="17">
        <v>18341</v>
      </c>
      <c r="Y122" s="17">
        <f>+Tabla22[[#This Row],[Amazon Drop 2026]]</f>
        <v>17434</v>
      </c>
      <c r="Z122" s="17">
        <v>6734</v>
      </c>
      <c r="AA122" s="17">
        <f>+Tabla22[[#This Row],[Amazon Full 2026]]</f>
        <v>4509</v>
      </c>
      <c r="AB122" s="17">
        <v>0</v>
      </c>
      <c r="AC122" s="17">
        <f>+Tabla22[[#This Row],[TikTok 2026]]</f>
        <v>7208</v>
      </c>
      <c r="AD122" s="17">
        <v>0</v>
      </c>
      <c r="AE122" s="17">
        <f>+Tabla22[[#This Row],[Shein 2026]]</f>
        <v>4478</v>
      </c>
      <c r="AF122" s="17">
        <f t="shared" si="25"/>
        <v>3886923</v>
      </c>
      <c r="AG122" s="18">
        <f t="shared" si="26"/>
        <v>0.81211476751206391</v>
      </c>
      <c r="AH122" s="17">
        <f t="shared" si="27"/>
        <v>-899251.51066392567</v>
      </c>
      <c r="AI122" s="20">
        <f t="shared" si="28"/>
        <v>0.18545306909786663</v>
      </c>
      <c r="AJ122" s="20">
        <f t="shared" ref="AJ122:AJ185" si="42">+C122/B122</f>
        <v>0.12699229170806989</v>
      </c>
      <c r="AK122" s="21">
        <f t="shared" si="30"/>
        <v>0.11645064698648697</v>
      </c>
      <c r="AL122" s="21">
        <f t="shared" ref="AL122:AL185" si="43">+E122/B122-1</f>
        <v>0.29276569819807174</v>
      </c>
      <c r="AO122" s="38">
        <f t="shared" si="32"/>
        <v>46141</v>
      </c>
      <c r="AP122" s="17">
        <f>Tabla2[[#This Row],[Web + APP 2025]]+Tabla2[[#This Row],[Afiliados 2025]]+Tabla2[[#This Row],[TMK 2025]]+Tabla2[[#This Row],[WA 2025]]+Tabla2[[#This Row],[Ent. en Tienda 2025]]</f>
        <v>2941061.1724137929</v>
      </c>
      <c r="AQ122" s="17">
        <f>Tabla2[[#This Row],[Meli Drop 2025]]+Tabla2[[#This Row],[Meli Full 2025]]+Tabla2[[#This Row],[Amazon Drop 2025]]+Tabla2[[#This Row],[Amazon Full 2025]]+Tabla2[[#This Row],[TikTok 2025]]+Tabla2[[#This Row],[Shein 2025]]</f>
        <v>337789</v>
      </c>
      <c r="AR122" s="17">
        <f>Tabla2[[#This Row],[Web + APP 2026]]+Tabla2[[#This Row],[Afiliados 2026]]+Tabla2[[#This Row],[TMK 2026]]+Tabla2[[#This Row],[WA 2026]]+Tabla2[[#This Row],[Ent. en Tienda 2026]]</f>
        <v>3408267</v>
      </c>
      <c r="AS122" s="17">
        <f>Tabla2[[#This Row],[Meli Drop 2026]]+Tabla2[[#This Row],[Meli Full 2026]]+Tabla2[[#This Row],[Amazon Drop 2026]]+Tabla2[[#This Row],[Amazon Full 2026]]+Tabla2[[#This Row],[TikTok 2026]]+Tabla2[[#This Row],[Shein 2026]]</f>
        <v>478656</v>
      </c>
      <c r="AT122" s="18">
        <f t="shared" si="33"/>
        <v>0.15885620876180595</v>
      </c>
      <c r="AU122" s="18">
        <f t="shared" si="33"/>
        <v>0.41702660536607161</v>
      </c>
      <c r="AV122" s="49">
        <f t="shared" si="34"/>
        <v>3969770.1570955799</v>
      </c>
      <c r="AW122" s="49">
        <f t="shared" si="34"/>
        <v>816404.35356834601</v>
      </c>
      <c r="AX122" s="39">
        <f t="shared" si="35"/>
        <v>0.85855524756466128</v>
      </c>
      <c r="AY122" s="39">
        <f t="shared" si="35"/>
        <v>0.5862977064096816</v>
      </c>
      <c r="AZ122" s="39">
        <f t="shared" si="36"/>
        <v>0.81211476751206391</v>
      </c>
      <c r="BA122" s="18">
        <f t="shared" si="38"/>
        <v>2.4218438790455359E-2</v>
      </c>
      <c r="BB122" s="20">
        <f t="shared" si="39"/>
        <v>4.3217433915764512E-2</v>
      </c>
      <c r="BC122" s="17">
        <f t="shared" si="37"/>
        <v>-561503.1570955799</v>
      </c>
      <c r="BD122" s="17">
        <f t="shared" si="37"/>
        <v>-337748.35356834601</v>
      </c>
    </row>
    <row r="123" spans="1:58" ht="14.25" customHeight="1" x14ac:dyDescent="0.35">
      <c r="A123" s="19">
        <v>45778</v>
      </c>
      <c r="B123" s="17">
        <v>39998805</v>
      </c>
      <c r="C123" s="17">
        <f t="shared" si="23"/>
        <v>2881877.7241379311</v>
      </c>
      <c r="D123" s="18">
        <f>+Tabla22[[#This Row],[Share diario]]</f>
        <v>3.9477960622891689E-2</v>
      </c>
      <c r="E123" s="17">
        <f>+Tabla22[[#This Row],[Global 2026]]</f>
        <v>30386544</v>
      </c>
      <c r="F123" s="19">
        <v>46142</v>
      </c>
      <c r="G123" s="17">
        <f t="shared" si="24"/>
        <v>4665726.4877311597</v>
      </c>
      <c r="H123" s="17">
        <v>3834357.5068530198</v>
      </c>
      <c r="I123" s="17">
        <v>831368.98087813996</v>
      </c>
      <c r="J123" s="17">
        <v>2265014</v>
      </c>
      <c r="K123" s="17">
        <f>+Tabla22[[#This Row],[Web + APP 2026]]</f>
        <v>2367928</v>
      </c>
      <c r="L123" s="17">
        <v>19726.724137931</v>
      </c>
      <c r="M123" s="17">
        <f>+Tabla22[[#This Row],[Afiliados 2026]]</f>
        <v>13584</v>
      </c>
      <c r="N123" s="17">
        <v>14608</v>
      </c>
      <c r="O123" s="17">
        <f>+Tabla22[[#This Row],[TMK 2026]]</f>
        <v>30645</v>
      </c>
      <c r="P123" s="17">
        <v>195</v>
      </c>
      <c r="Q123" s="17">
        <f>+Tabla22[[#This Row],[WA 2026]]</f>
        <v>1800</v>
      </c>
      <c r="R123" s="17">
        <v>107730</v>
      </c>
      <c r="S123" s="17">
        <f>+Tabla22[[#This Row],[Ent. en Tienda 2026]]</f>
        <v>78185</v>
      </c>
      <c r="T123" s="17">
        <v>402948</v>
      </c>
      <c r="U123" s="17">
        <f>+Tabla22[[#This Row],[Meli Drop 2026]]</f>
        <v>230564</v>
      </c>
      <c r="V123" s="17">
        <v>54211</v>
      </c>
      <c r="W123" s="17">
        <f>+Tabla22[[#This Row],[Meli Full 2026]]</f>
        <v>119400</v>
      </c>
      <c r="X123" s="17">
        <v>12681</v>
      </c>
      <c r="Y123" s="17">
        <f>+Tabla22[[#This Row],[Amazon Drop 2026]]</f>
        <v>15064</v>
      </c>
      <c r="Z123" s="17">
        <v>4764</v>
      </c>
      <c r="AA123" s="17">
        <f>+Tabla22[[#This Row],[Amazon Full 2026]]</f>
        <v>10948</v>
      </c>
      <c r="AB123" s="17">
        <v>0</v>
      </c>
      <c r="AC123" s="17">
        <f>+Tabla22[[#This Row],[TikTok 2026]]</f>
        <v>2681</v>
      </c>
      <c r="AD123" s="17">
        <v>0</v>
      </c>
      <c r="AE123" s="17">
        <f>+Tabla22[[#This Row],[Shein 2026]]</f>
        <v>1816</v>
      </c>
      <c r="AF123" s="17">
        <f t="shared" si="25"/>
        <v>2872615</v>
      </c>
      <c r="AG123" s="18">
        <f t="shared" si="26"/>
        <v>0.6156843971788174</v>
      </c>
      <c r="AH123" s="17">
        <f t="shared" si="27"/>
        <v>-1793111.4877311597</v>
      </c>
      <c r="AI123" s="20">
        <f t="shared" si="28"/>
        <v>-3.2141280875134237E-3</v>
      </c>
      <c r="AJ123" s="20">
        <f t="shared" si="42"/>
        <v>7.204909557017844E-2</v>
      </c>
      <c r="AK123" s="21">
        <f t="shared" si="30"/>
        <v>9.4535758985951152E-2</v>
      </c>
      <c r="AL123" s="21">
        <f t="shared" si="43"/>
        <v>-0.24031370437191812</v>
      </c>
      <c r="AO123" s="38">
        <f t="shared" si="32"/>
        <v>46142</v>
      </c>
      <c r="AP123" s="17">
        <f>Tabla2[[#This Row],[Web + APP 2025]]+Tabla2[[#This Row],[Afiliados 2025]]+Tabla2[[#This Row],[TMK 2025]]+Tabla2[[#This Row],[WA 2025]]+Tabla2[[#This Row],[Ent. en Tienda 2025]]</f>
        <v>2407273.7241379311</v>
      </c>
      <c r="AQ123" s="17">
        <f>Tabla2[[#This Row],[Meli Drop 2025]]+Tabla2[[#This Row],[Meli Full 2025]]+Tabla2[[#This Row],[Amazon Drop 2025]]+Tabla2[[#This Row],[Amazon Full 2025]]+Tabla2[[#This Row],[TikTok 2025]]+Tabla2[[#This Row],[Shein 2025]]</f>
        <v>474604</v>
      </c>
      <c r="AR123" s="17">
        <f>Tabla2[[#This Row],[Web + APP 2026]]+Tabla2[[#This Row],[Afiliados 2026]]+Tabla2[[#This Row],[TMK 2026]]+Tabla2[[#This Row],[WA 2026]]+Tabla2[[#This Row],[Ent. en Tienda 2026]]</f>
        <v>2492142</v>
      </c>
      <c r="AS123" s="17">
        <f>Tabla2[[#This Row],[Meli Drop 2026]]+Tabla2[[#This Row],[Meli Full 2026]]+Tabla2[[#This Row],[Amazon Drop 2026]]+Tabla2[[#This Row],[Amazon Full 2026]]+Tabla2[[#This Row],[TikTok 2026]]+Tabla2[[#This Row],[Shein 2026]]</f>
        <v>380473</v>
      </c>
      <c r="AT123" s="18">
        <f t="shared" si="33"/>
        <v>3.5254933832861601E-2</v>
      </c>
      <c r="AU123" s="18">
        <f t="shared" si="33"/>
        <v>-0.19833587580382805</v>
      </c>
      <c r="AV123" s="49">
        <f t="shared" si="34"/>
        <v>3834357.5068530198</v>
      </c>
      <c r="AW123" s="49">
        <f t="shared" si="34"/>
        <v>831368.98087813996</v>
      </c>
      <c r="AX123" s="39">
        <f t="shared" si="35"/>
        <v>0.64995034906001259</v>
      </c>
      <c r="AY123" s="39">
        <f t="shared" si="35"/>
        <v>0.45764637453531454</v>
      </c>
      <c r="AZ123" s="39">
        <f t="shared" si="36"/>
        <v>0.6156843971788174</v>
      </c>
      <c r="BA123" s="18">
        <f t="shared" si="38"/>
        <v>3.4027656092132291E-2</v>
      </c>
      <c r="BB123" s="20">
        <f t="shared" si="39"/>
        <v>3.5373692348161054E-2</v>
      </c>
      <c r="BC123" s="17">
        <f t="shared" si="37"/>
        <v>-1342215.5068530198</v>
      </c>
      <c r="BD123" s="17">
        <f t="shared" si="37"/>
        <v>-450895.98087813996</v>
      </c>
    </row>
    <row r="124" spans="1:58" ht="14.25" customHeight="1" x14ac:dyDescent="0.35">
      <c r="A124" s="16">
        <v>45779</v>
      </c>
      <c r="B124" s="17">
        <v>34113604</v>
      </c>
      <c r="C124" s="17">
        <f t="shared" si="23"/>
        <v>2970705.9655172415</v>
      </c>
      <c r="D124" s="18">
        <f>+Tabla22[[#This Row],[Share diario]]</f>
        <v>2.6995257789858985E-2</v>
      </c>
      <c r="E124" s="17">
        <f>+Tabla22[[#This Row],[Global 2026]]</f>
        <v>44124537</v>
      </c>
      <c r="F124" s="19">
        <v>46143</v>
      </c>
      <c r="G124" s="17">
        <f t="shared" si="24"/>
        <v>3662928.8948852308</v>
      </c>
      <c r="H124" s="17">
        <v>3090983.4582338501</v>
      </c>
      <c r="I124" s="17">
        <v>571945.43665138097</v>
      </c>
      <c r="J124" s="17">
        <f>+'BD MF'!J125</f>
        <v>2361198</v>
      </c>
      <c r="K124" s="17">
        <f>+Tabla22[[#This Row],[Web + APP 2026]]</f>
        <v>2069924</v>
      </c>
      <c r="L124" s="17">
        <v>17493.965517241399</v>
      </c>
      <c r="M124" s="17">
        <f>+Tabla22[[#This Row],[Afiliados 2026]]</f>
        <v>31463</v>
      </c>
      <c r="N124" s="17">
        <v>63530</v>
      </c>
      <c r="O124" s="17">
        <f>+Tabla22[[#This Row],[TMK 2026]]</f>
        <v>2522</v>
      </c>
      <c r="P124" s="17">
        <v>10847</v>
      </c>
      <c r="Q124" s="17">
        <f>+Tabla22[[#This Row],[WA 2026]]</f>
        <v>0</v>
      </c>
      <c r="R124" s="17">
        <v>83416</v>
      </c>
      <c r="S124" s="17">
        <f>+Tabla22[[#This Row],[Ent. en Tienda 2026]]</f>
        <v>33966</v>
      </c>
      <c r="T124" s="17">
        <v>355472</v>
      </c>
      <c r="U124" s="17">
        <f>+Tabla22[[#This Row],[Meli Drop 2026]]</f>
        <v>215596</v>
      </c>
      <c r="V124" s="17">
        <v>50730</v>
      </c>
      <c r="W124" s="17">
        <f>+Tabla22[[#This Row],[Meli Full 2026]]</f>
        <v>89389</v>
      </c>
      <c r="X124" s="17">
        <v>19076</v>
      </c>
      <c r="Y124" s="17">
        <f>+Tabla22[[#This Row],[Amazon Drop 2026]]</f>
        <v>23623</v>
      </c>
      <c r="Z124" s="17">
        <v>8943</v>
      </c>
      <c r="AA124" s="17">
        <f>+Tabla22[[#This Row],[Amazon Full 2026]]</f>
        <v>9448</v>
      </c>
      <c r="AB124" s="17">
        <v>0</v>
      </c>
      <c r="AC124" s="17">
        <f>+Tabla22[[#This Row],[TikTok 2026]]</f>
        <v>2225</v>
      </c>
      <c r="AD124" s="17">
        <v>0</v>
      </c>
      <c r="AE124" s="17">
        <f>+Tabla22[[#This Row],[Shein 2026]]</f>
        <v>3134</v>
      </c>
      <c r="AF124" s="17">
        <f t="shared" si="25"/>
        <v>2481290</v>
      </c>
      <c r="AG124" s="18">
        <f t="shared" si="26"/>
        <v>0.6774059970055043</v>
      </c>
      <c r="AH124" s="17">
        <f t="shared" si="27"/>
        <v>-1181638.8948852308</v>
      </c>
      <c r="AI124" s="20">
        <f t="shared" si="28"/>
        <v>-0.16474736012186497</v>
      </c>
      <c r="AJ124" s="20">
        <f t="shared" si="42"/>
        <v>8.7082735835159533E-2</v>
      </c>
      <c r="AK124" s="21">
        <f t="shared" si="30"/>
        <v>5.6233791189695653E-2</v>
      </c>
      <c r="AL124" s="21">
        <f t="shared" si="43"/>
        <v>0.29345867414067417</v>
      </c>
      <c r="AO124" s="38">
        <f t="shared" si="32"/>
        <v>46143</v>
      </c>
      <c r="AP124" s="17">
        <f>Tabla2[[#This Row],[Web + APP 2025]]+Tabla2[[#This Row],[Afiliados 2025]]+Tabla2[[#This Row],[TMK 2025]]+Tabla2[[#This Row],[WA 2025]]+Tabla2[[#This Row],[Ent. en Tienda 2025]]</f>
        <v>2536484.9655172415</v>
      </c>
      <c r="AQ124" s="17">
        <f>Tabla2[[#This Row],[Meli Drop 2025]]+Tabla2[[#This Row],[Meli Full 2025]]+Tabla2[[#This Row],[Amazon Drop 2025]]+Tabla2[[#This Row],[Amazon Full 2025]]+Tabla2[[#This Row],[TikTok 2025]]+Tabla2[[#This Row],[Shein 2025]]</f>
        <v>434221</v>
      </c>
      <c r="AR124" s="17">
        <f>Tabla2[[#This Row],[Web + APP 2026]]+Tabla2[[#This Row],[Afiliados 2026]]+Tabla2[[#This Row],[TMK 2026]]+Tabla2[[#This Row],[WA 2026]]+Tabla2[[#This Row],[Ent. en Tienda 2026]]</f>
        <v>2137875</v>
      </c>
      <c r="AS124" s="17">
        <f>Tabla2[[#This Row],[Meli Drop 2026]]+Tabla2[[#This Row],[Meli Full 2026]]+Tabla2[[#This Row],[Amazon Drop 2026]]+Tabla2[[#This Row],[Amazon Full 2026]]+Tabla2[[#This Row],[TikTok 2026]]+Tabla2[[#This Row],[Shein 2026]]</f>
        <v>343415</v>
      </c>
      <c r="AT124" s="18">
        <f t="shared" si="33"/>
        <v>-0.1571505334887553</v>
      </c>
      <c r="AU124" s="18">
        <f t="shared" si="33"/>
        <v>-0.20912392537440616</v>
      </c>
      <c r="AV124" s="49">
        <f t="shared" si="34"/>
        <v>3090983.4582338501</v>
      </c>
      <c r="AW124" s="49">
        <f t="shared" si="34"/>
        <v>571945.43665138097</v>
      </c>
      <c r="AX124" s="39">
        <f t="shared" si="35"/>
        <v>0.6916488000946972</v>
      </c>
      <c r="AY124" s="39">
        <f t="shared" si="35"/>
        <v>0.60043314972599815</v>
      </c>
      <c r="AZ124" s="39">
        <f t="shared" si="36"/>
        <v>0.6774059970055043</v>
      </c>
      <c r="BA124" s="18">
        <v>2.0507999521570501E-2</v>
      </c>
      <c r="BB124" s="20">
        <v>2.8792812422046E-2</v>
      </c>
      <c r="BC124" s="17">
        <f t="shared" si="37"/>
        <v>-953108.45823385008</v>
      </c>
      <c r="BD124" s="17">
        <f t="shared" si="37"/>
        <v>-228530.43665138097</v>
      </c>
      <c r="BF124" s="27">
        <f t="shared" ref="BF124:BF147" si="44">+AP124/(SUM($AP$124:$AP$147))</f>
        <v>4.1924650666549192E-2</v>
      </c>
    </row>
    <row r="125" spans="1:58" ht="14.25" customHeight="1" x14ac:dyDescent="0.35">
      <c r="A125" s="19">
        <v>45780</v>
      </c>
      <c r="B125" s="17">
        <v>37655000</v>
      </c>
      <c r="C125" s="17">
        <f t="shared" si="23"/>
        <v>2257483.8275862066</v>
      </c>
      <c r="D125" s="18">
        <f>+Tabla22[[#This Row],[Share diario]]</f>
        <v>2.8021685350285989E-2</v>
      </c>
      <c r="E125" s="17">
        <f>+Tabla22[[#This Row],[Global 2026]]</f>
        <v>39743152</v>
      </c>
      <c r="F125" s="19">
        <v>46144</v>
      </c>
      <c r="G125" s="17">
        <f t="shared" si="24"/>
        <v>3806845.0181720783</v>
      </c>
      <c r="H125" s="17">
        <v>3283565.1481157802</v>
      </c>
      <c r="I125" s="17">
        <v>523279.87005629798</v>
      </c>
      <c r="J125" s="17">
        <f>+'BD MF'!J126</f>
        <v>1666165</v>
      </c>
      <c r="K125" s="17">
        <f>+Tabla22[[#This Row],[Web + APP 2026]]</f>
        <v>1930522</v>
      </c>
      <c r="L125" s="17">
        <v>20994.827586206899</v>
      </c>
      <c r="M125" s="17">
        <f>+Tabla22[[#This Row],[Afiliados 2026]]</f>
        <v>20804</v>
      </c>
      <c r="N125" s="17">
        <v>23268</v>
      </c>
      <c r="O125" s="17">
        <f>+Tabla22[[#This Row],[TMK 2026]]</f>
        <v>-732</v>
      </c>
      <c r="P125" s="17">
        <v>3184</v>
      </c>
      <c r="Q125" s="17">
        <f>+Tabla22[[#This Row],[WA 2026]]</f>
        <v>1144</v>
      </c>
      <c r="R125" s="17">
        <v>72034</v>
      </c>
      <c r="S125" s="17">
        <f>+Tabla22[[#This Row],[Ent. en Tienda 2026]]</f>
        <v>87762</v>
      </c>
      <c r="T125" s="17">
        <v>398776</v>
      </c>
      <c r="U125" s="17">
        <f>+Tabla22[[#This Row],[Meli Drop 2026]]</f>
        <v>178276</v>
      </c>
      <c r="V125" s="17">
        <v>45043</v>
      </c>
      <c r="W125" s="17">
        <f>+Tabla22[[#This Row],[Meli Full 2026]]</f>
        <v>69883</v>
      </c>
      <c r="X125" s="17">
        <v>18901</v>
      </c>
      <c r="Y125" s="17">
        <f>+Tabla22[[#This Row],[Amazon Drop 2026]]</f>
        <v>10926</v>
      </c>
      <c r="Z125" s="17">
        <v>9118</v>
      </c>
      <c r="AA125" s="17">
        <f>+Tabla22[[#This Row],[Amazon Full 2026]]</f>
        <v>4862</v>
      </c>
      <c r="AB125" s="17">
        <v>0</v>
      </c>
      <c r="AC125" s="17">
        <f>+Tabla22[[#This Row],[TikTok 2026]]</f>
        <v>447</v>
      </c>
      <c r="AD125" s="17">
        <v>0</v>
      </c>
      <c r="AE125" s="17">
        <f>+Tabla22[[#This Row],[Shein 2026]]</f>
        <v>4607</v>
      </c>
      <c r="AF125" s="17">
        <f t="shared" si="25"/>
        <v>2308501</v>
      </c>
      <c r="AG125" s="18">
        <f t="shared" si="26"/>
        <v>0.60640792808225907</v>
      </c>
      <c r="AH125" s="17">
        <f t="shared" si="27"/>
        <v>-1498344.0181720783</v>
      </c>
      <c r="AI125" s="20">
        <f t="shared" si="28"/>
        <v>2.2599130851069349E-2</v>
      </c>
      <c r="AJ125" s="20">
        <f t="shared" si="42"/>
        <v>5.9951768094176246E-2</v>
      </c>
      <c r="AK125" s="21">
        <f t="shared" si="30"/>
        <v>5.8085503635947146E-2</v>
      </c>
      <c r="AL125" s="21">
        <f t="shared" si="43"/>
        <v>5.5454839994688587E-2</v>
      </c>
      <c r="AO125" s="38">
        <f t="shared" si="32"/>
        <v>46144</v>
      </c>
      <c r="AP125" s="17">
        <f>Tabla2[[#This Row],[Web + APP 2025]]+Tabla2[[#This Row],[Afiliados 2025]]+Tabla2[[#This Row],[TMK 2025]]+Tabla2[[#This Row],[WA 2025]]+Tabla2[[#This Row],[Ent. en Tienda 2025]]</f>
        <v>1785645.8275862068</v>
      </c>
      <c r="AQ125" s="17">
        <f>Tabla2[[#This Row],[Meli Drop 2025]]+Tabla2[[#This Row],[Meli Full 2025]]+Tabla2[[#This Row],[Amazon Drop 2025]]+Tabla2[[#This Row],[Amazon Full 2025]]+Tabla2[[#This Row],[TikTok 2025]]+Tabla2[[#This Row],[Shein 2025]]</f>
        <v>471838</v>
      </c>
      <c r="AR125" s="17">
        <f>Tabla2[[#This Row],[Web + APP 2026]]+Tabla2[[#This Row],[Afiliados 2026]]+Tabla2[[#This Row],[TMK 2026]]+Tabla2[[#This Row],[WA 2026]]+Tabla2[[#This Row],[Ent. en Tienda 2026]]</f>
        <v>2039500</v>
      </c>
      <c r="AS125" s="17">
        <f>Tabla2[[#This Row],[Meli Drop 2026]]+Tabla2[[#This Row],[Meli Full 2026]]+Tabla2[[#This Row],[Amazon Drop 2026]]+Tabla2[[#This Row],[Amazon Full 2026]]+Tabla2[[#This Row],[TikTok 2026]]+Tabla2[[#This Row],[Shein 2026]]</f>
        <v>269001</v>
      </c>
      <c r="AT125" s="18">
        <f t="shared" si="33"/>
        <v>0.1421637866210832</v>
      </c>
      <c r="AU125" s="18">
        <f t="shared" si="33"/>
        <v>-0.42988695272529975</v>
      </c>
      <c r="AV125" s="49">
        <f t="shared" si="34"/>
        <v>3283565.1481157802</v>
      </c>
      <c r="AW125" s="49">
        <f t="shared" si="34"/>
        <v>523279.87005629798</v>
      </c>
      <c r="AX125" s="39">
        <f t="shared" si="35"/>
        <v>0.62112365919413337</v>
      </c>
      <c r="AY125" s="39">
        <f t="shared" si="35"/>
        <v>0.5140671663350227</v>
      </c>
      <c r="AZ125" s="39">
        <f t="shared" si="36"/>
        <v>0.60640792808225907</v>
      </c>
      <c r="BA125" s="18">
        <v>1.8763019401976899E-2</v>
      </c>
      <c r="BB125" s="20">
        <v>3.0554491064355899E-2</v>
      </c>
      <c r="BC125" s="17">
        <f t="shared" si="37"/>
        <v>-1244065.1481157802</v>
      </c>
      <c r="BD125" s="17">
        <f t="shared" si="37"/>
        <v>-254278.87005629798</v>
      </c>
      <c r="BF125" s="27">
        <f t="shared" si="44"/>
        <v>2.9514299731111093E-2</v>
      </c>
    </row>
    <row r="126" spans="1:58" ht="14.25" customHeight="1" x14ac:dyDescent="0.35">
      <c r="A126" s="16">
        <v>45781</v>
      </c>
      <c r="B126" s="17">
        <v>39231400</v>
      </c>
      <c r="C126" s="17">
        <f t="shared" si="23"/>
        <v>2960192.8965517241</v>
      </c>
      <c r="D126" s="18">
        <f>+Tabla22[[#This Row],[Share diario]]</f>
        <v>2.1294097172274592E-2</v>
      </c>
      <c r="E126" s="17">
        <f>+Tabla22[[#This Row],[Global 2026]]</f>
        <v>39483198</v>
      </c>
      <c r="F126" s="19">
        <v>46145</v>
      </c>
      <c r="G126" s="17">
        <f t="shared" si="24"/>
        <v>2883172.567160266</v>
      </c>
      <c r="H126" s="17">
        <v>2314560.4380195201</v>
      </c>
      <c r="I126" s="17">
        <v>568612.12914074596</v>
      </c>
      <c r="J126" s="17">
        <f>+'BD MF'!J127</f>
        <v>2338777</v>
      </c>
      <c r="K126" s="17">
        <f>+Tabla22[[#This Row],[Web + APP 2026]]</f>
        <v>2628259</v>
      </c>
      <c r="L126" s="17">
        <v>20781.896551724101</v>
      </c>
      <c r="M126" s="17">
        <f>+Tabla22[[#This Row],[Afiliados 2026]]</f>
        <v>23026</v>
      </c>
      <c r="N126" s="17">
        <v>21236</v>
      </c>
      <c r="O126" s="17">
        <f>+Tabla22[[#This Row],[TMK 2026]]</f>
        <v>11669</v>
      </c>
      <c r="P126" s="17">
        <v>2543</v>
      </c>
      <c r="Q126" s="17">
        <f>+Tabla22[[#This Row],[WA 2026]]</f>
        <v>740</v>
      </c>
      <c r="R126" s="17">
        <v>57471</v>
      </c>
      <c r="S126" s="17">
        <f>+Tabla22[[#This Row],[Ent. en Tienda 2026]]</f>
        <v>66322</v>
      </c>
      <c r="T126" s="17">
        <v>451270</v>
      </c>
      <c r="U126" s="17">
        <f>+Tabla22[[#This Row],[Meli Drop 2026]]</f>
        <v>227157</v>
      </c>
      <c r="V126" s="17">
        <v>37594</v>
      </c>
      <c r="W126" s="17">
        <f>+Tabla22[[#This Row],[Meli Full 2026]]</f>
        <v>91628</v>
      </c>
      <c r="X126" s="17">
        <v>17703</v>
      </c>
      <c r="Y126" s="17">
        <f>+Tabla22[[#This Row],[Amazon Drop 2026]]</f>
        <v>19133</v>
      </c>
      <c r="Z126" s="17">
        <v>12817</v>
      </c>
      <c r="AA126" s="17">
        <f>+Tabla22[[#This Row],[Amazon Full 2026]]</f>
        <v>8602</v>
      </c>
      <c r="AB126" s="17">
        <v>0</v>
      </c>
      <c r="AC126" s="17">
        <f>+Tabla22[[#This Row],[TikTok 2026]]</f>
        <v>370</v>
      </c>
      <c r="AD126" s="17">
        <v>0</v>
      </c>
      <c r="AE126" s="17">
        <f>+Tabla22[[#This Row],[Shein 2026]]</f>
        <v>5416</v>
      </c>
      <c r="AF126" s="17">
        <f t="shared" si="25"/>
        <v>3082322</v>
      </c>
      <c r="AG126" s="18">
        <f t="shared" si="26"/>
        <v>1.0690730187669215</v>
      </c>
      <c r="AH126" s="17">
        <f t="shared" si="27"/>
        <v>199149.43283973401</v>
      </c>
      <c r="AI126" s="20">
        <f t="shared" si="28"/>
        <v>4.1257143610655245E-2</v>
      </c>
      <c r="AJ126" s="20">
        <f t="shared" si="42"/>
        <v>7.5454684170121994E-2</v>
      </c>
      <c r="AK126" s="21">
        <f t="shared" si="30"/>
        <v>7.8066675348840792E-2</v>
      </c>
      <c r="AL126" s="21">
        <f t="shared" si="43"/>
        <v>6.4182771963274821E-3</v>
      </c>
      <c r="AO126" s="38">
        <f t="shared" si="32"/>
        <v>46145</v>
      </c>
      <c r="AP126" s="17">
        <f>Tabla2[[#This Row],[Web + APP 2025]]+Tabla2[[#This Row],[Afiliados 2025]]+Tabla2[[#This Row],[TMK 2025]]+Tabla2[[#This Row],[WA 2025]]+Tabla2[[#This Row],[Ent. en Tienda 2025]]</f>
        <v>2440808.8965517241</v>
      </c>
      <c r="AQ126" s="17">
        <f>Tabla2[[#This Row],[Meli Drop 2025]]+Tabla2[[#This Row],[Meli Full 2025]]+Tabla2[[#This Row],[Amazon Drop 2025]]+Tabla2[[#This Row],[Amazon Full 2025]]+Tabla2[[#This Row],[TikTok 2025]]+Tabla2[[#This Row],[Shein 2025]]</f>
        <v>519384</v>
      </c>
      <c r="AR126" s="17">
        <f>Tabla2[[#This Row],[Web + APP 2026]]+Tabla2[[#This Row],[Afiliados 2026]]+Tabla2[[#This Row],[TMK 2026]]+Tabla2[[#This Row],[WA 2026]]+Tabla2[[#This Row],[Ent. en Tienda 2026]]</f>
        <v>2730016</v>
      </c>
      <c r="AS126" s="17">
        <f>Tabla2[[#This Row],[Meli Drop 2026]]+Tabla2[[#This Row],[Meli Full 2026]]+Tabla2[[#This Row],[Amazon Drop 2026]]+Tabla2[[#This Row],[Amazon Full 2026]]+Tabla2[[#This Row],[TikTok 2026]]+Tabla2[[#This Row],[Shein 2026]]</f>
        <v>352306</v>
      </c>
      <c r="AT126" s="18">
        <f t="shared" si="33"/>
        <v>0.11848822079305599</v>
      </c>
      <c r="AU126" s="18">
        <f t="shared" si="33"/>
        <v>-0.32168491905796093</v>
      </c>
      <c r="AV126" s="49">
        <f t="shared" si="34"/>
        <v>2314560.4380195201</v>
      </c>
      <c r="AW126" s="49">
        <f t="shared" si="34"/>
        <v>568612.12914074596</v>
      </c>
      <c r="AX126" s="39">
        <f t="shared" si="35"/>
        <v>1.1794965277882177</v>
      </c>
      <c r="AY126" s="39">
        <f t="shared" si="35"/>
        <v>0.6195893157122494</v>
      </c>
      <c r="AZ126" s="39">
        <f t="shared" si="36"/>
        <v>1.0690730187669215</v>
      </c>
      <c r="BA126" s="18">
        <v>2.0388478559512299E-2</v>
      </c>
      <c r="BB126" s="20">
        <v>2.1632842283911598E-2</v>
      </c>
      <c r="BC126" s="17">
        <f t="shared" si="37"/>
        <v>415455.56198047986</v>
      </c>
      <c r="BD126" s="17">
        <f t="shared" si="37"/>
        <v>-216306.12914074596</v>
      </c>
      <c r="BF126" s="27">
        <f t="shared" si="44"/>
        <v>4.0343255222437015E-2</v>
      </c>
    </row>
    <row r="127" spans="1:58" ht="14.25" customHeight="1" x14ac:dyDescent="0.35">
      <c r="A127" s="19">
        <v>45782</v>
      </c>
      <c r="B127" s="17">
        <v>35100553</v>
      </c>
      <c r="C127" s="17">
        <f t="shared" si="23"/>
        <v>4497774.1034482755</v>
      </c>
      <c r="D127" s="18">
        <f>+Tabla22[[#This Row],[Share diario]]</f>
        <v>2.7922519053103733E-2</v>
      </c>
      <c r="E127" s="17">
        <f>+Tabla22[[#This Row],[Global 2026]]</f>
        <v>32627546</v>
      </c>
      <c r="F127" s="19">
        <v>46146</v>
      </c>
      <c r="G127" s="17">
        <f t="shared" si="24"/>
        <v>3791917.7701865463</v>
      </c>
      <c r="H127" s="17">
        <v>3166007.94079248</v>
      </c>
      <c r="I127" s="17">
        <v>625909.82939406601</v>
      </c>
      <c r="J127" s="17">
        <f>+'BD MF'!J128</f>
        <v>3540534</v>
      </c>
      <c r="K127" s="17">
        <f>+Tabla22[[#This Row],[Web + APP 2026]]</f>
        <v>4124173</v>
      </c>
      <c r="L127" s="17">
        <v>14493.103448275901</v>
      </c>
      <c r="M127" s="17">
        <f>+Tabla22[[#This Row],[Afiliados 2026]]</f>
        <v>25420</v>
      </c>
      <c r="N127" s="17">
        <v>86421</v>
      </c>
      <c r="O127" s="17">
        <f>+Tabla22[[#This Row],[TMK 2026]]</f>
        <v>28207</v>
      </c>
      <c r="P127" s="17">
        <v>8958</v>
      </c>
      <c r="Q127" s="17">
        <f>+Tabla22[[#This Row],[WA 2026]]</f>
        <v>5623</v>
      </c>
      <c r="R127" s="17">
        <v>100498</v>
      </c>
      <c r="S127" s="17">
        <f>+Tabla22[[#This Row],[Ent. en Tienda 2026]]</f>
        <v>67376</v>
      </c>
      <c r="T127" s="17">
        <v>625936</v>
      </c>
      <c r="U127" s="17">
        <f>+Tabla22[[#This Row],[Meli Drop 2026]]</f>
        <v>521359</v>
      </c>
      <c r="V127" s="17">
        <v>72774</v>
      </c>
      <c r="W127" s="17">
        <f>+Tabla22[[#This Row],[Meli Full 2026]]</f>
        <v>170941</v>
      </c>
      <c r="X127" s="17">
        <v>35858</v>
      </c>
      <c r="Y127" s="17">
        <f>+Tabla22[[#This Row],[Amazon Drop 2026]]</f>
        <v>18893</v>
      </c>
      <c r="Z127" s="17">
        <v>12302</v>
      </c>
      <c r="AA127" s="17">
        <f>+Tabla22[[#This Row],[Amazon Full 2026]]</f>
        <v>10593</v>
      </c>
      <c r="AB127" s="17">
        <v>0</v>
      </c>
      <c r="AC127" s="17">
        <f>+Tabla22[[#This Row],[TikTok 2026]]</f>
        <v>2031</v>
      </c>
      <c r="AD127" s="17">
        <v>0</v>
      </c>
      <c r="AE127" s="17">
        <f>+Tabla22[[#This Row],[Shein 2026]]</f>
        <v>2109</v>
      </c>
      <c r="AF127" s="17">
        <f t="shared" si="25"/>
        <v>4976725</v>
      </c>
      <c r="AG127" s="18">
        <f t="shared" si="26"/>
        <v>1.3124559396115718</v>
      </c>
      <c r="AH127" s="17">
        <f t="shared" si="27"/>
        <v>1184807.2298134537</v>
      </c>
      <c r="AI127" s="20">
        <f t="shared" si="28"/>
        <v>0.10648620529531061</v>
      </c>
      <c r="AJ127" s="20">
        <f t="shared" si="42"/>
        <v>0.12813969350990781</v>
      </c>
      <c r="AK127" s="21">
        <f t="shared" si="30"/>
        <v>0.1525313917264878</v>
      </c>
      <c r="AL127" s="21">
        <f t="shared" si="43"/>
        <v>-7.0454929869623428E-2</v>
      </c>
      <c r="AO127" s="38">
        <f t="shared" si="32"/>
        <v>46146</v>
      </c>
      <c r="AP127" s="17">
        <f>Tabla2[[#This Row],[Web + APP 2025]]+Tabla2[[#This Row],[Afiliados 2025]]+Tabla2[[#This Row],[TMK 2025]]+Tabla2[[#This Row],[WA 2025]]+Tabla2[[#This Row],[Ent. en Tienda 2025]]</f>
        <v>3750904.1034482759</v>
      </c>
      <c r="AQ127" s="17">
        <f>Tabla2[[#This Row],[Meli Drop 2025]]+Tabla2[[#This Row],[Meli Full 2025]]+Tabla2[[#This Row],[Amazon Drop 2025]]+Tabla2[[#This Row],[Amazon Full 2025]]+Tabla2[[#This Row],[TikTok 2025]]+Tabla2[[#This Row],[Shein 2025]]</f>
        <v>746870</v>
      </c>
      <c r="AR127" s="17">
        <f>Tabla2[[#This Row],[Web + APP 2026]]+Tabla2[[#This Row],[Afiliados 2026]]+Tabla2[[#This Row],[TMK 2026]]+Tabla2[[#This Row],[WA 2026]]+Tabla2[[#This Row],[Ent. en Tienda 2026]]</f>
        <v>4250799</v>
      </c>
      <c r="AS127" s="17">
        <f>Tabla2[[#This Row],[Meli Drop 2026]]+Tabla2[[#This Row],[Meli Full 2026]]+Tabla2[[#This Row],[Amazon Drop 2026]]+Tabla2[[#This Row],[Amazon Full 2026]]+Tabla2[[#This Row],[TikTok 2026]]+Tabla2[[#This Row],[Shein 2026]]</f>
        <v>725926</v>
      </c>
      <c r="AT127" s="18">
        <f t="shared" si="33"/>
        <v>0.13327317435072827</v>
      </c>
      <c r="AU127" s="18">
        <f t="shared" si="33"/>
        <v>-2.8042363463521069E-2</v>
      </c>
      <c r="AV127" s="49">
        <f t="shared" si="34"/>
        <v>3166007.94079248</v>
      </c>
      <c r="AW127" s="49">
        <f t="shared" si="34"/>
        <v>625909.82939406601</v>
      </c>
      <c r="AX127" s="39">
        <f t="shared" si="35"/>
        <v>1.342636872520284</v>
      </c>
      <c r="AY127" s="39">
        <f t="shared" si="35"/>
        <v>1.159793257605106</v>
      </c>
      <c r="AZ127" s="39">
        <f t="shared" si="36"/>
        <v>1.3124559396115718</v>
      </c>
      <c r="BA127" s="18">
        <v>2.2442977352722202E-2</v>
      </c>
      <c r="BB127" s="20">
        <v>2.94582032731436E-2</v>
      </c>
      <c r="BC127" s="17">
        <f t="shared" si="37"/>
        <v>1084791.05920752</v>
      </c>
      <c r="BD127" s="17">
        <f t="shared" si="37"/>
        <v>100016.17060593399</v>
      </c>
      <c r="BF127" s="27">
        <f t="shared" si="44"/>
        <v>6.1997349228808563E-2</v>
      </c>
    </row>
    <row r="128" spans="1:58" ht="14.25" customHeight="1" x14ac:dyDescent="0.35">
      <c r="A128" s="16">
        <v>45783</v>
      </c>
      <c r="B128" s="17">
        <v>33135134</v>
      </c>
      <c r="C128" s="17">
        <f t="shared" si="23"/>
        <v>4799597.3103448283</v>
      </c>
      <c r="D128" s="18">
        <f>+Tabla22[[#This Row],[Share diario]]</f>
        <v>4.2426013266360994E-2</v>
      </c>
      <c r="E128" s="17">
        <f>+Tabla22[[#This Row],[Global 2026]]</f>
        <v>38637821</v>
      </c>
      <c r="F128" s="19">
        <v>46147</v>
      </c>
      <c r="G128" s="17">
        <f t="shared" si="24"/>
        <v>5750368.4992179256</v>
      </c>
      <c r="H128" s="17">
        <v>4850315.21632984</v>
      </c>
      <c r="I128" s="17">
        <v>900053.28288808605</v>
      </c>
      <c r="J128" s="17">
        <f>+'BD MF'!J129</f>
        <v>3783300</v>
      </c>
      <c r="K128" s="17">
        <f>+Tabla22[[#This Row],[Web + APP 2026]]</f>
        <v>4494478</v>
      </c>
      <c r="L128" s="17">
        <v>19229.310344827602</v>
      </c>
      <c r="M128" s="17">
        <f>+Tabla22[[#This Row],[Afiliados 2026]]</f>
        <v>24526</v>
      </c>
      <c r="N128" s="17">
        <v>89988</v>
      </c>
      <c r="O128" s="17">
        <f>+Tabla22[[#This Row],[TMK 2026]]</f>
        <v>55447</v>
      </c>
      <c r="P128" s="17">
        <v>20578</v>
      </c>
      <c r="Q128" s="17">
        <f>+Tabla22[[#This Row],[WA 2026]]</f>
        <v>6329</v>
      </c>
      <c r="R128" s="17">
        <v>75155</v>
      </c>
      <c r="S128" s="17">
        <f>+Tabla22[[#This Row],[Ent. en Tienda 2026]]</f>
        <v>70316</v>
      </c>
      <c r="T128" s="17">
        <v>719475</v>
      </c>
      <c r="U128" s="17">
        <f>+Tabla22[[#This Row],[Meli Drop 2026]]</f>
        <v>610542</v>
      </c>
      <c r="V128" s="17">
        <v>54500</v>
      </c>
      <c r="W128" s="17">
        <f>+Tabla22[[#This Row],[Meli Full 2026]]</f>
        <v>206091</v>
      </c>
      <c r="X128" s="17">
        <v>28166</v>
      </c>
      <c r="Y128" s="17">
        <f>+Tabla22[[#This Row],[Amazon Drop 2026]]</f>
        <v>34471</v>
      </c>
      <c r="Z128" s="17">
        <v>9206</v>
      </c>
      <c r="AA128" s="17">
        <f>+Tabla22[[#This Row],[Amazon Full 2026]]</f>
        <v>15053</v>
      </c>
      <c r="AB128" s="17">
        <v>0</v>
      </c>
      <c r="AC128" s="17">
        <f>+Tabla22[[#This Row],[TikTok 2026]]</f>
        <v>4388</v>
      </c>
      <c r="AD128" s="17">
        <v>0</v>
      </c>
      <c r="AE128" s="17">
        <f>+Tabla22[[#This Row],[Shein 2026]]</f>
        <v>4047</v>
      </c>
      <c r="AF128" s="17">
        <f t="shared" si="25"/>
        <v>5525688</v>
      </c>
      <c r="AG128" s="18">
        <f t="shared" si="26"/>
        <v>0.96092763459446418</v>
      </c>
      <c r="AH128" s="17">
        <f t="shared" si="27"/>
        <v>-224680.49921792559</v>
      </c>
      <c r="AI128" s="20">
        <f t="shared" si="28"/>
        <v>0.15128158524678503</v>
      </c>
      <c r="AJ128" s="20">
        <f t="shared" si="42"/>
        <v>0.14484918969528923</v>
      </c>
      <c r="AK128" s="21">
        <f t="shared" si="30"/>
        <v>0.14301241263061909</v>
      </c>
      <c r="AL128" s="21">
        <f t="shared" si="43"/>
        <v>0.16606804728781244</v>
      </c>
      <c r="AO128" s="38">
        <f t="shared" si="32"/>
        <v>46147</v>
      </c>
      <c r="AP128" s="17">
        <f>Tabla2[[#This Row],[Web + APP 2025]]+Tabla2[[#This Row],[Afiliados 2025]]+Tabla2[[#This Row],[TMK 2025]]+Tabla2[[#This Row],[WA 2025]]+Tabla2[[#This Row],[Ent. en Tienda 2025]]</f>
        <v>3988250.3103448278</v>
      </c>
      <c r="AQ128" s="17">
        <f>Tabla2[[#This Row],[Meli Drop 2025]]+Tabla2[[#This Row],[Meli Full 2025]]+Tabla2[[#This Row],[Amazon Drop 2025]]+Tabla2[[#This Row],[Amazon Full 2025]]+Tabla2[[#This Row],[TikTok 2025]]+Tabla2[[#This Row],[Shein 2025]]</f>
        <v>811347</v>
      </c>
      <c r="AR128" s="17">
        <f>Tabla2[[#This Row],[Web + APP 2026]]+Tabla2[[#This Row],[Afiliados 2026]]+Tabla2[[#This Row],[TMK 2026]]+Tabla2[[#This Row],[WA 2026]]+Tabla2[[#This Row],[Ent. en Tienda 2026]]</f>
        <v>4651096</v>
      </c>
      <c r="AS128" s="17">
        <f>Tabla2[[#This Row],[Meli Drop 2026]]+Tabla2[[#This Row],[Meli Full 2026]]+Tabla2[[#This Row],[Amazon Drop 2026]]+Tabla2[[#This Row],[Amazon Full 2026]]+Tabla2[[#This Row],[TikTok 2026]]+Tabla2[[#This Row],[Shein 2026]]</f>
        <v>874592</v>
      </c>
      <c r="AT128" s="18">
        <f t="shared" si="33"/>
        <v>0.16619962090540441</v>
      </c>
      <c r="AU128" s="18">
        <f t="shared" si="33"/>
        <v>7.795061792303426E-2</v>
      </c>
      <c r="AV128" s="49">
        <f t="shared" si="34"/>
        <v>4850315.21632984</v>
      </c>
      <c r="AW128" s="49">
        <f t="shared" si="34"/>
        <v>900053.28288808605</v>
      </c>
      <c r="AX128" s="39">
        <f t="shared" si="35"/>
        <v>0.95892654241128139</v>
      </c>
      <c r="AY128" s="39">
        <f t="shared" si="35"/>
        <v>0.9717113604581431</v>
      </c>
      <c r="AZ128" s="39">
        <f t="shared" si="36"/>
        <v>0.96092763459446418</v>
      </c>
      <c r="BA128" s="18">
        <v>3.2272820293708697E-2</v>
      </c>
      <c r="BB128" s="20">
        <v>4.5048978769950197E-2</v>
      </c>
      <c r="BC128" s="17">
        <f t="shared" si="37"/>
        <v>-199219.21632984001</v>
      </c>
      <c r="BD128" s="17">
        <f t="shared" si="37"/>
        <v>-25461.282888086047</v>
      </c>
      <c r="BF128" s="27">
        <f t="shared" si="44"/>
        <v>6.5920359594115144E-2</v>
      </c>
    </row>
    <row r="129" spans="1:58" ht="14.25" customHeight="1" x14ac:dyDescent="0.35">
      <c r="A129" s="19">
        <v>45784</v>
      </c>
      <c r="B129" s="17">
        <v>39489714</v>
      </c>
      <c r="C129" s="17">
        <f t="shared" si="23"/>
        <v>4200470.7241379311</v>
      </c>
      <c r="D129" s="18">
        <f>+Tabla22[[#This Row],[Share diario]]</f>
        <v>4.5273011600508443E-2</v>
      </c>
      <c r="E129" s="17">
        <f>+Tabla22[[#This Row],[Global 2026]]</f>
        <v>34646775</v>
      </c>
      <c r="F129" s="19">
        <v>46148</v>
      </c>
      <c r="G129" s="17">
        <f t="shared" si="24"/>
        <v>6152825.8702747505</v>
      </c>
      <c r="H129" s="17">
        <v>5175071.3334592404</v>
      </c>
      <c r="I129" s="17">
        <v>977754.53681551002</v>
      </c>
      <c r="J129" s="17">
        <f>+'BD MF'!J130</f>
        <v>3194165</v>
      </c>
      <c r="K129" s="17">
        <f>+Tabla22[[#This Row],[Web + APP 2026]]</f>
        <v>4088680</v>
      </c>
      <c r="L129" s="17">
        <v>17851.724137931</v>
      </c>
      <c r="M129" s="17">
        <f>+Tabla22[[#This Row],[Afiliados 2026]]</f>
        <v>22236</v>
      </c>
      <c r="N129" s="17">
        <v>61190</v>
      </c>
      <c r="O129" s="17">
        <f>+Tabla22[[#This Row],[TMK 2026]]</f>
        <v>15858</v>
      </c>
      <c r="P129" s="17">
        <v>12303</v>
      </c>
      <c r="Q129" s="17">
        <f>+Tabla22[[#This Row],[WA 2026]]</f>
        <v>0</v>
      </c>
      <c r="R129" s="17">
        <v>116730</v>
      </c>
      <c r="S129" s="17">
        <f>+Tabla22[[#This Row],[Ent. en Tienda 2026]]</f>
        <v>103050</v>
      </c>
      <c r="T129" s="17">
        <v>705144</v>
      </c>
      <c r="U129" s="17">
        <f>+Tabla22[[#This Row],[Meli Drop 2026]]</f>
        <v>584166</v>
      </c>
      <c r="V129" s="17">
        <v>60042</v>
      </c>
      <c r="W129" s="17">
        <f>+Tabla22[[#This Row],[Meli Full 2026]]</f>
        <v>168986</v>
      </c>
      <c r="X129" s="17">
        <v>17079</v>
      </c>
      <c r="Y129" s="17">
        <f>+Tabla22[[#This Row],[Amazon Drop 2026]]</f>
        <v>21276</v>
      </c>
      <c r="Z129" s="17">
        <v>15966</v>
      </c>
      <c r="AA129" s="17">
        <f>+Tabla22[[#This Row],[Amazon Full 2026]]</f>
        <v>9621</v>
      </c>
      <c r="AB129" s="17">
        <v>0</v>
      </c>
      <c r="AC129" s="17">
        <f>+Tabla22[[#This Row],[TikTok 2026]]</f>
        <v>4594</v>
      </c>
      <c r="AD129" s="17">
        <v>0</v>
      </c>
      <c r="AE129" s="17">
        <f>+Tabla22[[#This Row],[Shein 2026]]</f>
        <v>0</v>
      </c>
      <c r="AF129" s="17">
        <f t="shared" si="25"/>
        <v>5018467</v>
      </c>
      <c r="AG129" s="18">
        <f t="shared" si="26"/>
        <v>0.815636116771155</v>
      </c>
      <c r="AH129" s="17">
        <f t="shared" si="27"/>
        <v>-1134358.8702747505</v>
      </c>
      <c r="AI129" s="20">
        <f t="shared" si="28"/>
        <v>0.19473919224373293</v>
      </c>
      <c r="AJ129" s="20">
        <f t="shared" si="42"/>
        <v>0.10636872994668767</v>
      </c>
      <c r="AK129" s="21">
        <f t="shared" si="30"/>
        <v>0.14484658384510535</v>
      </c>
      <c r="AL129" s="21">
        <f t="shared" si="43"/>
        <v>-0.12263798618546595</v>
      </c>
      <c r="AO129" s="38">
        <f t="shared" si="32"/>
        <v>46148</v>
      </c>
      <c r="AP129" s="17">
        <f>Tabla2[[#This Row],[Web + APP 2025]]+Tabla2[[#This Row],[Afiliados 2025]]+Tabla2[[#This Row],[TMK 2025]]+Tabla2[[#This Row],[WA 2025]]+Tabla2[[#This Row],[Ent. en Tienda 2025]]</f>
        <v>3402239.7241379311</v>
      </c>
      <c r="AQ129" s="17">
        <f>Tabla2[[#This Row],[Meli Drop 2025]]+Tabla2[[#This Row],[Meli Full 2025]]+Tabla2[[#This Row],[Amazon Drop 2025]]+Tabla2[[#This Row],[Amazon Full 2025]]+Tabla2[[#This Row],[TikTok 2025]]+Tabla2[[#This Row],[Shein 2025]]</f>
        <v>798231</v>
      </c>
      <c r="AR129" s="17">
        <f>Tabla2[[#This Row],[Web + APP 2026]]+Tabla2[[#This Row],[Afiliados 2026]]+Tabla2[[#This Row],[TMK 2026]]+Tabla2[[#This Row],[WA 2026]]+Tabla2[[#This Row],[Ent. en Tienda 2026]]</f>
        <v>4229824</v>
      </c>
      <c r="AS129" s="17">
        <f>Tabla2[[#This Row],[Meli Drop 2026]]+Tabla2[[#This Row],[Meli Full 2026]]+Tabla2[[#This Row],[Amazon Drop 2026]]+Tabla2[[#This Row],[Amazon Full 2026]]+Tabla2[[#This Row],[TikTok 2026]]+Tabla2[[#This Row],[Shein 2026]]</f>
        <v>788643</v>
      </c>
      <c r="AT129" s="18">
        <f t="shared" si="33"/>
        <v>0.24324690291239381</v>
      </c>
      <c r="AU129" s="18">
        <f t="shared" si="33"/>
        <v>-1.2011560563295554E-2</v>
      </c>
      <c r="AV129" s="49">
        <f t="shared" si="34"/>
        <v>5175071.3334592404</v>
      </c>
      <c r="AW129" s="49">
        <f t="shared" si="34"/>
        <v>977754.53681551002</v>
      </c>
      <c r="AX129" s="39">
        <f t="shared" si="35"/>
        <v>0.81734602818945179</v>
      </c>
      <c r="AY129" s="39">
        <f t="shared" si="35"/>
        <v>0.8065858764190087</v>
      </c>
      <c r="AZ129" s="39">
        <f t="shared" si="36"/>
        <v>0.815636116771155</v>
      </c>
      <c r="BA129" s="18">
        <v>3.5058920463855399E-2</v>
      </c>
      <c r="BB129" s="20">
        <v>4.7942802311124501E-2</v>
      </c>
      <c r="BC129" s="17">
        <f t="shared" si="37"/>
        <v>-945247.33345924038</v>
      </c>
      <c r="BD129" s="17">
        <f t="shared" si="37"/>
        <v>-189111.53681551002</v>
      </c>
      <c r="BF129" s="27">
        <f t="shared" si="44"/>
        <v>5.6234400699178864E-2</v>
      </c>
    </row>
    <row r="130" spans="1:58" ht="14.25" customHeight="1" x14ac:dyDescent="0.35">
      <c r="A130" s="16">
        <v>45785</v>
      </c>
      <c r="B130" s="17">
        <v>45546209</v>
      </c>
      <c r="C130" s="17">
        <f t="shared" si="23"/>
        <v>2894740.7931034481</v>
      </c>
      <c r="D130" s="18">
        <f>+Tabla22[[#This Row],[Share diario]]</f>
        <v>3.9621648968677751E-2</v>
      </c>
      <c r="E130" s="17">
        <f>+Tabla22[[#This Row],[Global 2026]]</f>
        <v>41686093</v>
      </c>
      <c r="F130" s="19">
        <v>46149</v>
      </c>
      <c r="G130" s="17">
        <f t="shared" si="24"/>
        <v>5371374.2149370881</v>
      </c>
      <c r="H130" s="17">
        <v>4409425.7740396904</v>
      </c>
      <c r="I130" s="17">
        <v>961948.44089739805</v>
      </c>
      <c r="J130" s="17">
        <f>+'BD MF'!J131</f>
        <v>2000980</v>
      </c>
      <c r="K130" s="17">
        <f>+Tabla22[[#This Row],[Web + APP 2026]]</f>
        <v>3214171</v>
      </c>
      <c r="L130" s="17">
        <v>18313.793103448301</v>
      </c>
      <c r="M130" s="17">
        <f>+Tabla22[[#This Row],[Afiliados 2026]]</f>
        <v>22409</v>
      </c>
      <c r="N130" s="17">
        <v>30809</v>
      </c>
      <c r="O130" s="17">
        <f>+Tabla22[[#This Row],[TMK 2026]]</f>
        <v>45962</v>
      </c>
      <c r="P130" s="17">
        <v>14752</v>
      </c>
      <c r="Q130" s="17">
        <f>+Tabla22[[#This Row],[WA 2026]]</f>
        <v>0</v>
      </c>
      <c r="R130" s="17">
        <v>72647</v>
      </c>
      <c r="S130" s="17">
        <f>+Tabla22[[#This Row],[Ent. en Tienda 2026]]</f>
        <v>87902</v>
      </c>
      <c r="T130" s="17">
        <v>653374</v>
      </c>
      <c r="U130" s="17">
        <f>+Tabla22[[#This Row],[Meli Drop 2026]]</f>
        <v>433044</v>
      </c>
      <c r="V130" s="17">
        <v>69136</v>
      </c>
      <c r="W130" s="17">
        <f>+Tabla22[[#This Row],[Meli Full 2026]]</f>
        <v>142471</v>
      </c>
      <c r="X130" s="17">
        <v>20501</v>
      </c>
      <c r="Y130" s="17">
        <f>+Tabla22[[#This Row],[Amazon Drop 2026]]</f>
        <v>10390</v>
      </c>
      <c r="Z130" s="17">
        <v>14228</v>
      </c>
      <c r="AA130" s="17">
        <f>+Tabla22[[#This Row],[Amazon Full 2026]]</f>
        <v>7381</v>
      </c>
      <c r="AB130" s="17">
        <v>0</v>
      </c>
      <c r="AC130" s="17">
        <f>+Tabla22[[#This Row],[TikTok 2026]]</f>
        <v>2879</v>
      </c>
      <c r="AD130" s="17">
        <v>0</v>
      </c>
      <c r="AE130" s="17">
        <f>+Tabla22[[#This Row],[Shein 2026]]</f>
        <v>1248</v>
      </c>
      <c r="AF130" s="17">
        <f t="shared" si="25"/>
        <v>3967857</v>
      </c>
      <c r="AG130" s="18">
        <f t="shared" si="26"/>
        <v>0.73870425727664057</v>
      </c>
      <c r="AH130" s="17">
        <f t="shared" si="27"/>
        <v>-1403517.2149370881</v>
      </c>
      <c r="AI130" s="20">
        <f t="shared" si="28"/>
        <v>0.3707123654916491</v>
      </c>
      <c r="AJ130" s="20">
        <f t="shared" si="42"/>
        <v>6.3556130283059301E-2</v>
      </c>
      <c r="AK130" s="21">
        <f t="shared" si="30"/>
        <v>9.5184190084688439E-2</v>
      </c>
      <c r="AL130" s="21">
        <f t="shared" si="43"/>
        <v>-8.4751642008229489E-2</v>
      </c>
      <c r="AO130" s="38">
        <f t="shared" si="32"/>
        <v>46149</v>
      </c>
      <c r="AP130" s="17">
        <f>Tabla2[[#This Row],[Web + APP 2025]]+Tabla2[[#This Row],[Afiliados 2025]]+Tabla2[[#This Row],[TMK 2025]]+Tabla2[[#This Row],[WA 2025]]+Tabla2[[#This Row],[Ent. en Tienda 2025]]</f>
        <v>2137501.7931034481</v>
      </c>
      <c r="AQ130" s="17">
        <f>Tabla2[[#This Row],[Meli Drop 2025]]+Tabla2[[#This Row],[Meli Full 2025]]+Tabla2[[#This Row],[Amazon Drop 2025]]+Tabla2[[#This Row],[Amazon Full 2025]]+Tabla2[[#This Row],[TikTok 2025]]+Tabla2[[#This Row],[Shein 2025]]</f>
        <v>757239</v>
      </c>
      <c r="AR130" s="17">
        <f>Tabla2[[#This Row],[Web + APP 2026]]+Tabla2[[#This Row],[Afiliados 2026]]+Tabla2[[#This Row],[TMK 2026]]+Tabla2[[#This Row],[WA 2026]]+Tabla2[[#This Row],[Ent. en Tienda 2026]]</f>
        <v>3370444</v>
      </c>
      <c r="AS130" s="17">
        <f>Tabla2[[#This Row],[Meli Drop 2026]]+Tabla2[[#This Row],[Meli Full 2026]]+Tabla2[[#This Row],[Amazon Drop 2026]]+Tabla2[[#This Row],[Amazon Full 2026]]+Tabla2[[#This Row],[TikTok 2026]]+Tabla2[[#This Row],[Shein 2026]]</f>
        <v>597413</v>
      </c>
      <c r="AT130" s="18">
        <f t="shared" si="33"/>
        <v>0.57681458367641314</v>
      </c>
      <c r="AU130" s="18">
        <f t="shared" si="33"/>
        <v>-0.21106414223250525</v>
      </c>
      <c r="AV130" s="49">
        <f t="shared" si="34"/>
        <v>4409425.7740396904</v>
      </c>
      <c r="AW130" s="49">
        <f t="shared" si="34"/>
        <v>961948.44089739805</v>
      </c>
      <c r="AX130" s="39">
        <f t="shared" si="35"/>
        <v>0.76437254479786187</v>
      </c>
      <c r="AY130" s="39">
        <f t="shared" si="35"/>
        <v>0.62104471986323473</v>
      </c>
      <c r="AZ130" s="39">
        <f t="shared" si="36"/>
        <v>0.73870425727664057</v>
      </c>
      <c r="BA130" s="18">
        <v>3.4492168136178197E-2</v>
      </c>
      <c r="BB130" s="20">
        <v>4.0912980865481202E-2</v>
      </c>
      <c r="BC130" s="17">
        <f t="shared" si="37"/>
        <v>-1038981.7740396904</v>
      </c>
      <c r="BD130" s="17">
        <f t="shared" si="37"/>
        <v>-364535.44089739805</v>
      </c>
      <c r="BF130" s="27">
        <f t="shared" si="44"/>
        <v>3.5330000844972648E-2</v>
      </c>
    </row>
    <row r="131" spans="1:58" ht="14.25" customHeight="1" x14ac:dyDescent="0.35">
      <c r="A131" s="19">
        <v>45786</v>
      </c>
      <c r="B131" s="17">
        <v>51077737</v>
      </c>
      <c r="C131" s="17">
        <f t="shared" si="23"/>
        <v>2085135.0344827585</v>
      </c>
      <c r="D131" s="18">
        <f>+Tabla22[[#This Row],[Share diario]]</f>
        <v>2.7305131041758551E-2</v>
      </c>
      <c r="E131" s="17">
        <f>+Tabla22[[#This Row],[Global 2026]]</f>
        <v>43156233</v>
      </c>
      <c r="F131" s="19">
        <v>46150</v>
      </c>
      <c r="G131" s="17">
        <f t="shared" si="24"/>
        <v>3695975.1329928571</v>
      </c>
      <c r="H131" s="17">
        <v>2783426.1647910401</v>
      </c>
      <c r="I131" s="17">
        <v>912548.96820181701</v>
      </c>
      <c r="J131" s="17">
        <f>+'BD MF'!J132</f>
        <v>1368567</v>
      </c>
      <c r="K131" s="17">
        <f>+Tabla22[[#This Row],[Web + APP 2026]]</f>
        <v>1615018</v>
      </c>
      <c r="L131" s="17">
        <v>19131.034482758601</v>
      </c>
      <c r="M131" s="17">
        <f>+Tabla22[[#This Row],[Afiliados 2026]]</f>
        <v>19192</v>
      </c>
      <c r="N131" s="17">
        <v>16561</v>
      </c>
      <c r="O131" s="17">
        <f>+Tabla22[[#This Row],[TMK 2026]]</f>
        <v>7092</v>
      </c>
      <c r="P131" s="17">
        <v>4452</v>
      </c>
      <c r="Q131" s="17">
        <f>+Tabla22[[#This Row],[WA 2026]]</f>
        <v>1998</v>
      </c>
      <c r="R131" s="17">
        <v>114101</v>
      </c>
      <c r="S131" s="17">
        <f>+Tabla22[[#This Row],[Ent. en Tienda 2026]]</f>
        <v>52205</v>
      </c>
      <c r="T131" s="17">
        <v>495524</v>
      </c>
      <c r="U131" s="17">
        <f>+Tabla22[[#This Row],[Meli Drop 2026]]</f>
        <v>453556</v>
      </c>
      <c r="V131" s="17">
        <v>50019</v>
      </c>
      <c r="W131" s="17">
        <f>+Tabla22[[#This Row],[Meli Full 2026]]</f>
        <v>262519</v>
      </c>
      <c r="X131" s="17">
        <v>9383</v>
      </c>
      <c r="Y131" s="17">
        <f>+Tabla22[[#This Row],[Amazon Drop 2026]]</f>
        <v>32442</v>
      </c>
      <c r="Z131" s="17">
        <v>7397</v>
      </c>
      <c r="AA131" s="17">
        <f>+Tabla22[[#This Row],[Amazon Full 2026]]</f>
        <v>12700</v>
      </c>
      <c r="AB131" s="17">
        <v>0</v>
      </c>
      <c r="AC131" s="17">
        <f>+Tabla22[[#This Row],[TikTok 2026]]</f>
        <v>3174</v>
      </c>
      <c r="AD131" s="17">
        <v>0</v>
      </c>
      <c r="AE131" s="17">
        <f>+Tabla22[[#This Row],[Shein 2026]]</f>
        <v>1464</v>
      </c>
      <c r="AF131" s="17">
        <f t="shared" si="25"/>
        <v>2461360</v>
      </c>
      <c r="AG131" s="18">
        <f t="shared" si="26"/>
        <v>0.66595686156764977</v>
      </c>
      <c r="AH131" s="17">
        <f t="shared" si="27"/>
        <v>-1234615.1329928571</v>
      </c>
      <c r="AI131" s="20">
        <f t="shared" si="28"/>
        <v>0.18043194291758113</v>
      </c>
      <c r="AJ131" s="20">
        <f t="shared" si="42"/>
        <v>4.0822776359155426E-2</v>
      </c>
      <c r="AK131" s="21">
        <f t="shared" si="30"/>
        <v>5.7033708201547621E-2</v>
      </c>
      <c r="AL131" s="21">
        <f t="shared" si="43"/>
        <v>-0.15508721539484027</v>
      </c>
      <c r="AO131" s="38">
        <f t="shared" si="32"/>
        <v>46150</v>
      </c>
      <c r="AP131" s="17">
        <f>Tabla2[[#This Row],[Web + APP 2025]]+Tabla2[[#This Row],[Afiliados 2025]]+Tabla2[[#This Row],[TMK 2025]]+Tabla2[[#This Row],[WA 2025]]+Tabla2[[#This Row],[Ent. en Tienda 2025]]</f>
        <v>1522812.0344827585</v>
      </c>
      <c r="AQ131" s="17">
        <f>Tabla2[[#This Row],[Meli Drop 2025]]+Tabla2[[#This Row],[Meli Full 2025]]+Tabla2[[#This Row],[Amazon Drop 2025]]+Tabla2[[#This Row],[Amazon Full 2025]]+Tabla2[[#This Row],[TikTok 2025]]+Tabla2[[#This Row],[Shein 2025]]</f>
        <v>562323</v>
      </c>
      <c r="AR131" s="17">
        <f>Tabla2[[#This Row],[Web + APP 2026]]+Tabla2[[#This Row],[Afiliados 2026]]+Tabla2[[#This Row],[TMK 2026]]+Tabla2[[#This Row],[WA 2026]]+Tabla2[[#This Row],[Ent. en Tienda 2026]]</f>
        <v>1695505</v>
      </c>
      <c r="AS131" s="17">
        <f>Tabla2[[#This Row],[Meli Drop 2026]]+Tabla2[[#This Row],[Meli Full 2026]]+Tabla2[[#This Row],[Amazon Drop 2026]]+Tabla2[[#This Row],[Amazon Full 2026]]+Tabla2[[#This Row],[TikTok 2026]]+Tabla2[[#This Row],[Shein 2026]]</f>
        <v>765855</v>
      </c>
      <c r="AT131" s="18">
        <f t="shared" si="33"/>
        <v>0.11340399314344718</v>
      </c>
      <c r="AU131" s="18">
        <f t="shared" si="33"/>
        <v>0.36194855981348795</v>
      </c>
      <c r="AV131" s="49">
        <f t="shared" si="34"/>
        <v>2783426.1647910401</v>
      </c>
      <c r="AW131" s="49">
        <f t="shared" si="34"/>
        <v>912548.96820181701</v>
      </c>
      <c r="AX131" s="39">
        <f t="shared" si="35"/>
        <v>0.60914315653394979</v>
      </c>
      <c r="AY131" s="39">
        <f t="shared" si="35"/>
        <v>0.83924811345644457</v>
      </c>
      <c r="AZ131" s="39">
        <f t="shared" si="36"/>
        <v>0.66595686156764977</v>
      </c>
      <c r="BA131" s="18">
        <v>3.2720872663767102E-2</v>
      </c>
      <c r="BB131" s="20">
        <v>2.5793952825640402E-2</v>
      </c>
      <c r="BC131" s="17">
        <f t="shared" si="37"/>
        <v>-1087921.1647910401</v>
      </c>
      <c r="BD131" s="17">
        <f t="shared" si="37"/>
        <v>-146693.96820181701</v>
      </c>
      <c r="BF131" s="27">
        <f t="shared" si="44"/>
        <v>2.5170014190676559E-2</v>
      </c>
    </row>
    <row r="132" spans="1:58" ht="14.25" customHeight="1" x14ac:dyDescent="0.35">
      <c r="A132" s="16">
        <v>45787</v>
      </c>
      <c r="B132" s="17">
        <v>40072359</v>
      </c>
      <c r="C132" s="17">
        <f t="shared" ref="C132:C195" si="45">+J132+L132+N132+P132+R132+T132+V132+X132+Z132+AB132+AD132</f>
        <v>1746464.8275862068</v>
      </c>
      <c r="D132" s="18">
        <f>+Tabla22[[#This Row],[Share diario]]</f>
        <v>1.9668388096080146E-2</v>
      </c>
      <c r="E132" s="17">
        <f>+Tabla22[[#This Row],[Global 2026]]</f>
        <v>60125006</v>
      </c>
      <c r="F132" s="19">
        <v>46151</v>
      </c>
      <c r="G132" s="17">
        <f t="shared" ref="G132:G195" si="46">+H132+I132</f>
        <v>2650696.7502161767</v>
      </c>
      <c r="H132" s="17">
        <v>1973041.1177855299</v>
      </c>
      <c r="I132" s="17">
        <v>677655.63243064703</v>
      </c>
      <c r="J132" s="17">
        <f>+'BD MF'!J133</f>
        <v>1100345</v>
      </c>
      <c r="K132" s="17">
        <f>+Tabla22[[#This Row],[Web + APP 2026]]</f>
        <v>1558074</v>
      </c>
      <c r="L132" s="17">
        <v>16069.8275862069</v>
      </c>
      <c r="M132" s="17">
        <f>+Tabla22[[#This Row],[Afiliados 2026]]</f>
        <v>23729</v>
      </c>
      <c r="N132" s="17">
        <v>8962</v>
      </c>
      <c r="O132" s="17">
        <f>+Tabla22[[#This Row],[TMK 2026]]</f>
        <v>12190</v>
      </c>
      <c r="P132" s="17">
        <v>3222</v>
      </c>
      <c r="Q132" s="17">
        <f>+Tabla22[[#This Row],[WA 2026]]</f>
        <v>4102</v>
      </c>
      <c r="R132" s="17">
        <v>74464</v>
      </c>
      <c r="S132" s="17">
        <f>+Tabla22[[#This Row],[Ent. en Tienda 2026]]</f>
        <v>87416</v>
      </c>
      <c r="T132" s="17">
        <v>461097</v>
      </c>
      <c r="U132" s="17">
        <f>+Tabla22[[#This Row],[Meli Drop 2026]]</f>
        <v>361074</v>
      </c>
      <c r="V132" s="17">
        <v>61803</v>
      </c>
      <c r="W132" s="17">
        <f>+Tabla22[[#This Row],[Meli Full 2026]]</f>
        <v>192329</v>
      </c>
      <c r="X132" s="17">
        <v>8257</v>
      </c>
      <c r="Y132" s="17">
        <f>+Tabla22[[#This Row],[Amazon Drop 2026]]</f>
        <v>9552</v>
      </c>
      <c r="Z132" s="17">
        <v>12245</v>
      </c>
      <c r="AA132" s="17">
        <f>+Tabla22[[#This Row],[Amazon Full 2026]]</f>
        <v>10260</v>
      </c>
      <c r="AB132" s="17">
        <v>0</v>
      </c>
      <c r="AC132" s="17">
        <f>+Tabla22[[#This Row],[TikTok 2026]]</f>
        <v>388</v>
      </c>
      <c r="AD132" s="17">
        <v>0</v>
      </c>
      <c r="AE132" s="17">
        <f>+Tabla22[[#This Row],[Shein 2026]]</f>
        <v>646</v>
      </c>
      <c r="AF132" s="17">
        <f t="shared" ref="AF132:AF195" si="47">+AE132+AC132+AA132+Y132+W132+U132+S132+Q132+O132+M132+K132</f>
        <v>2259760</v>
      </c>
      <c r="AG132" s="18">
        <f t="shared" ref="AG132:AG195" si="48">+AF132/G132</f>
        <v>0.85251547534273997</v>
      </c>
      <c r="AH132" s="17">
        <f t="shared" ref="AH132:AH195" si="49">+AF132-G132</f>
        <v>-390936.75021617673</v>
      </c>
      <c r="AI132" s="20">
        <f t="shared" ref="AI132:AI195" si="50">+AF132/C132-1</f>
        <v>0.29390524464395873</v>
      </c>
      <c r="AJ132" s="20">
        <f t="shared" si="42"/>
        <v>4.3582780529247273E-2</v>
      </c>
      <c r="AK132" s="21">
        <f t="shared" ref="AK132:AK195" si="51">+AF132/E132</f>
        <v>3.7584362153743486E-2</v>
      </c>
      <c r="AL132" s="21">
        <f t="shared" si="43"/>
        <v>0.5004109441123743</v>
      </c>
      <c r="AO132" s="38">
        <f t="shared" ref="AO132:AO195" si="52">+F132</f>
        <v>46151</v>
      </c>
      <c r="AP132" s="17">
        <f>Tabla2[[#This Row],[Web + APP 2025]]+Tabla2[[#This Row],[Afiliados 2025]]+Tabla2[[#This Row],[TMK 2025]]+Tabla2[[#This Row],[WA 2025]]+Tabla2[[#This Row],[Ent. en Tienda 2025]]</f>
        <v>1203062.8275862068</v>
      </c>
      <c r="AQ132" s="17">
        <f>Tabla2[[#This Row],[Meli Drop 2025]]+Tabla2[[#This Row],[Meli Full 2025]]+Tabla2[[#This Row],[Amazon Drop 2025]]+Tabla2[[#This Row],[Amazon Full 2025]]+Tabla2[[#This Row],[TikTok 2025]]+Tabla2[[#This Row],[Shein 2025]]</f>
        <v>543402</v>
      </c>
      <c r="AR132" s="17">
        <f>Tabla2[[#This Row],[Web + APP 2026]]+Tabla2[[#This Row],[Afiliados 2026]]+Tabla2[[#This Row],[TMK 2026]]+Tabla2[[#This Row],[WA 2026]]+Tabla2[[#This Row],[Ent. en Tienda 2026]]</f>
        <v>1685511</v>
      </c>
      <c r="AS132" s="17">
        <f>Tabla2[[#This Row],[Meli Drop 2026]]+Tabla2[[#This Row],[Meli Full 2026]]+Tabla2[[#This Row],[Amazon Drop 2026]]+Tabla2[[#This Row],[Amazon Full 2026]]+Tabla2[[#This Row],[TikTok 2026]]+Tabla2[[#This Row],[Shein 2026]]</f>
        <v>574249</v>
      </c>
      <c r="AT132" s="18">
        <f t="shared" ref="AT132:AU195" si="53">+AR132/AP132-1</f>
        <v>0.40101660640763392</v>
      </c>
      <c r="AU132" s="18">
        <f t="shared" si="53"/>
        <v>5.6766445467627991E-2</v>
      </c>
      <c r="AV132" s="49">
        <f t="shared" ref="AV132:AW195" si="54">+H132</f>
        <v>1973041.1177855299</v>
      </c>
      <c r="AW132" s="49">
        <f t="shared" si="54"/>
        <v>677655.63243064703</v>
      </c>
      <c r="AX132" s="39">
        <f t="shared" ref="AX132:AY195" si="55">+AR132/AV132</f>
        <v>0.8542705901090174</v>
      </c>
      <c r="AY132" s="39">
        <f t="shared" si="55"/>
        <v>0.84740533763477588</v>
      </c>
      <c r="AZ132" s="39">
        <f t="shared" ref="AZ132:AZ195" si="56">+(AR132+AS132)/(AV132+AW132)</f>
        <v>0.85251547534273997</v>
      </c>
      <c r="BA132" s="18">
        <v>2.4298404174781699E-2</v>
      </c>
      <c r="BB132" s="20">
        <v>1.8454022810099498E-2</v>
      </c>
      <c r="BC132" s="17">
        <f t="shared" ref="BC132:BD195" si="57">+AR132-AV132</f>
        <v>-287530.11778552993</v>
      </c>
      <c r="BD132" s="17">
        <f t="shared" si="57"/>
        <v>-103406.63243064703</v>
      </c>
      <c r="BF132" s="27">
        <f t="shared" si="44"/>
        <v>1.9884994179800816E-2</v>
      </c>
    </row>
    <row r="133" spans="1:58" ht="14.25" customHeight="1" x14ac:dyDescent="0.35">
      <c r="A133" s="19">
        <v>45788</v>
      </c>
      <c r="B133" s="17">
        <v>40325337</v>
      </c>
      <c r="C133" s="17">
        <f t="shared" si="45"/>
        <v>2103151.2758620689</v>
      </c>
      <c r="D133" s="18">
        <f>+Tabla22[[#This Row],[Share diario]]</f>
        <v>1.6473824216204854E-2</v>
      </c>
      <c r="E133" s="17">
        <f>+Tabla22[[#This Row],[Global 2026]]</f>
        <v>36716841</v>
      </c>
      <c r="F133" s="19">
        <v>46152</v>
      </c>
      <c r="G133" s="17">
        <f t="shared" si="46"/>
        <v>2216972.367587375</v>
      </c>
      <c r="H133" s="17">
        <v>1562118.43848599</v>
      </c>
      <c r="I133" s="17">
        <v>654853.92910138494</v>
      </c>
      <c r="J133" s="17">
        <f>+'BD MF'!J134</f>
        <v>1540924</v>
      </c>
      <c r="K133" s="17">
        <f>+Tabla22[[#This Row],[Web + APP 2026]]</f>
        <v>1920563</v>
      </c>
      <c r="L133" s="17">
        <v>20098.275862069</v>
      </c>
      <c r="M133" s="17">
        <f>+Tabla22[[#This Row],[Afiliados 2026]]</f>
        <v>20514</v>
      </c>
      <c r="N133" s="17">
        <v>2643</v>
      </c>
      <c r="O133" s="17">
        <f>+Tabla22[[#This Row],[TMK 2026]]</f>
        <v>-705</v>
      </c>
      <c r="P133" s="17">
        <v>4578</v>
      </c>
      <c r="Q133" s="17">
        <f>+Tabla22[[#This Row],[WA 2026]]</f>
        <v>2209</v>
      </c>
      <c r="R133" s="17">
        <v>64714</v>
      </c>
      <c r="S133" s="17">
        <f>+Tabla22[[#This Row],[Ent. en Tienda 2026]]</f>
        <v>48263</v>
      </c>
      <c r="T133" s="17">
        <v>382228</v>
      </c>
      <c r="U133" s="17">
        <f>+Tabla22[[#This Row],[Meli Drop 2026]]</f>
        <v>395528</v>
      </c>
      <c r="V133" s="17">
        <v>63782</v>
      </c>
      <c r="W133" s="17">
        <f>+Tabla22[[#This Row],[Meli Full 2026]]</f>
        <v>141929</v>
      </c>
      <c r="X133" s="17">
        <v>16117</v>
      </c>
      <c r="Y133" s="17">
        <f>+Tabla22[[#This Row],[Amazon Drop 2026]]</f>
        <v>24844</v>
      </c>
      <c r="Z133" s="17">
        <v>8067</v>
      </c>
      <c r="AA133" s="17">
        <f>+Tabla22[[#This Row],[Amazon Full 2026]]</f>
        <v>7362</v>
      </c>
      <c r="AB133" s="17">
        <v>0</v>
      </c>
      <c r="AC133" s="17">
        <f>+Tabla22[[#This Row],[TikTok 2026]]</f>
        <v>256</v>
      </c>
      <c r="AD133" s="17">
        <v>0</v>
      </c>
      <c r="AE133" s="17">
        <f>+Tabla22[[#This Row],[Shein 2026]]</f>
        <v>0</v>
      </c>
      <c r="AF133" s="17">
        <f t="shared" si="47"/>
        <v>2560763</v>
      </c>
      <c r="AG133" s="18">
        <f t="shared" si="48"/>
        <v>1.1550721323544306</v>
      </c>
      <c r="AH133" s="17">
        <f t="shared" si="49"/>
        <v>343790.63241262501</v>
      </c>
      <c r="AI133" s="20">
        <f t="shared" si="50"/>
        <v>0.21758383687847593</v>
      </c>
      <c r="AJ133" s="20">
        <f t="shared" si="42"/>
        <v>5.2154586479018612E-2</v>
      </c>
      <c r="AK133" s="21">
        <f t="shared" si="51"/>
        <v>6.9743554463195787E-2</v>
      </c>
      <c r="AL133" s="21">
        <f t="shared" si="43"/>
        <v>-8.9484583848611132E-2</v>
      </c>
      <c r="AO133" s="38">
        <f t="shared" si="52"/>
        <v>46152</v>
      </c>
      <c r="AP133" s="17">
        <f>Tabla2[[#This Row],[Web + APP 2025]]+Tabla2[[#This Row],[Afiliados 2025]]+Tabla2[[#This Row],[TMK 2025]]+Tabla2[[#This Row],[WA 2025]]+Tabla2[[#This Row],[Ent. en Tienda 2025]]</f>
        <v>1632957.2758620691</v>
      </c>
      <c r="AQ133" s="17">
        <f>Tabla2[[#This Row],[Meli Drop 2025]]+Tabla2[[#This Row],[Meli Full 2025]]+Tabla2[[#This Row],[Amazon Drop 2025]]+Tabla2[[#This Row],[Amazon Full 2025]]+Tabla2[[#This Row],[TikTok 2025]]+Tabla2[[#This Row],[Shein 2025]]</f>
        <v>470194</v>
      </c>
      <c r="AR133" s="17">
        <f>Tabla2[[#This Row],[Web + APP 2026]]+Tabla2[[#This Row],[Afiliados 2026]]+Tabla2[[#This Row],[TMK 2026]]+Tabla2[[#This Row],[WA 2026]]+Tabla2[[#This Row],[Ent. en Tienda 2026]]</f>
        <v>1990844</v>
      </c>
      <c r="AS133" s="17">
        <f>Tabla2[[#This Row],[Meli Drop 2026]]+Tabla2[[#This Row],[Meli Full 2026]]+Tabla2[[#This Row],[Amazon Drop 2026]]+Tabla2[[#This Row],[Amazon Full 2026]]+Tabla2[[#This Row],[TikTok 2026]]+Tabla2[[#This Row],[Shein 2026]]</f>
        <v>569919</v>
      </c>
      <c r="AT133" s="18">
        <f t="shared" si="53"/>
        <v>0.21916478123960448</v>
      </c>
      <c r="AU133" s="18">
        <f t="shared" si="53"/>
        <v>0.21209330616724165</v>
      </c>
      <c r="AV133" s="49">
        <f t="shared" si="54"/>
        <v>1562118.43848599</v>
      </c>
      <c r="AW133" s="49">
        <f t="shared" si="54"/>
        <v>654853.92910138494</v>
      </c>
      <c r="AX133" s="39">
        <f t="shared" si="55"/>
        <v>1.2744513802228288</v>
      </c>
      <c r="AY133" s="39">
        <f t="shared" si="55"/>
        <v>0.87029942812141969</v>
      </c>
      <c r="AZ133" s="39">
        <f t="shared" si="56"/>
        <v>1.1550721323544306</v>
      </c>
      <c r="BA133" s="18">
        <v>2.34808133855181E-2</v>
      </c>
      <c r="BB133" s="20">
        <v>1.4601831774196199E-2</v>
      </c>
      <c r="BC133" s="17">
        <f t="shared" si="57"/>
        <v>428725.56151400995</v>
      </c>
      <c r="BD133" s="17">
        <f t="shared" si="57"/>
        <v>-84934.929101384943</v>
      </c>
      <c r="BF133" s="27">
        <f t="shared" si="44"/>
        <v>2.6990565398425852E-2</v>
      </c>
    </row>
    <row r="134" spans="1:58" ht="14.25" customHeight="1" x14ac:dyDescent="0.35">
      <c r="A134" s="16">
        <v>45789</v>
      </c>
      <c r="B134" s="17">
        <v>23242388</v>
      </c>
      <c r="C134" s="17">
        <f t="shared" si="45"/>
        <v>3090290.5517241377</v>
      </c>
      <c r="D134" s="18">
        <f>+Tabla22[[#This Row],[Share diario]]</f>
        <v>1.9838329333276245E-2</v>
      </c>
      <c r="E134" s="17">
        <f>+Tabla22[[#This Row],[Global 2026]]</f>
        <v>23190846</v>
      </c>
      <c r="F134" s="19">
        <v>46153</v>
      </c>
      <c r="G134" s="17">
        <f t="shared" si="46"/>
        <v>2692193.9660598803</v>
      </c>
      <c r="H134" s="17">
        <v>2125563.0218603802</v>
      </c>
      <c r="I134" s="17">
        <v>566630.94419950002</v>
      </c>
      <c r="J134" s="17">
        <f>+'BD MF'!J135</f>
        <v>2436435</v>
      </c>
      <c r="K134" s="17">
        <f>+Tabla22[[#This Row],[Web + APP 2026]]</f>
        <v>2440025</v>
      </c>
      <c r="L134" s="17">
        <v>21396.551724137898</v>
      </c>
      <c r="M134" s="17">
        <f>+Tabla22[[#This Row],[Afiliados 2026]]</f>
        <v>21672</v>
      </c>
      <c r="N134" s="17">
        <v>14035</v>
      </c>
      <c r="O134" s="17">
        <f>+Tabla22[[#This Row],[TMK 2026]]</f>
        <v>29073</v>
      </c>
      <c r="P134" s="17">
        <v>14004</v>
      </c>
      <c r="Q134" s="17">
        <f>+Tabla22[[#This Row],[WA 2026]]</f>
        <v>5953</v>
      </c>
      <c r="R134" s="17">
        <v>75997</v>
      </c>
      <c r="S134" s="17">
        <f>+Tabla22[[#This Row],[Ent. en Tienda 2026]]</f>
        <v>60459</v>
      </c>
      <c r="T134" s="17">
        <v>401282</v>
      </c>
      <c r="U134" s="17">
        <f>+Tabla22[[#This Row],[Meli Drop 2026]]</f>
        <v>409424</v>
      </c>
      <c r="V134" s="17">
        <v>95820</v>
      </c>
      <c r="W134" s="17">
        <f>+Tabla22[[#This Row],[Meli Full 2026]]</f>
        <v>123764</v>
      </c>
      <c r="X134" s="17">
        <v>24006</v>
      </c>
      <c r="Y134" s="17">
        <f>+Tabla22[[#This Row],[Amazon Drop 2026]]</f>
        <v>11328</v>
      </c>
      <c r="Z134" s="17">
        <v>7315</v>
      </c>
      <c r="AA134" s="17">
        <f>+Tabla22[[#This Row],[Amazon Full 2026]]</f>
        <v>10655</v>
      </c>
      <c r="AB134" s="17">
        <v>0</v>
      </c>
      <c r="AC134" s="17">
        <f>+Tabla22[[#This Row],[TikTok 2026]]</f>
        <v>991</v>
      </c>
      <c r="AD134" s="17">
        <v>0</v>
      </c>
      <c r="AE134" s="17">
        <f>+Tabla22[[#This Row],[Shein 2026]]</f>
        <v>2109</v>
      </c>
      <c r="AF134" s="17">
        <f t="shared" si="47"/>
        <v>3115453</v>
      </c>
      <c r="AG134" s="18">
        <f t="shared" si="48"/>
        <v>1.1572171393577462</v>
      </c>
      <c r="AH134" s="17">
        <f t="shared" si="49"/>
        <v>423259.03394011967</v>
      </c>
      <c r="AI134" s="20">
        <f t="shared" si="50"/>
        <v>8.1424215149683565E-3</v>
      </c>
      <c r="AJ134" s="20">
        <f t="shared" si="42"/>
        <v>0.13295925322837471</v>
      </c>
      <c r="AK134" s="21">
        <f t="shared" si="51"/>
        <v>0.1343397735468555</v>
      </c>
      <c r="AL134" s="21">
        <f t="shared" si="43"/>
        <v>-2.217586248022374E-3</v>
      </c>
      <c r="AO134" s="38">
        <f t="shared" si="52"/>
        <v>46153</v>
      </c>
      <c r="AP134" s="17">
        <f>Tabla2[[#This Row],[Web + APP 2025]]+Tabla2[[#This Row],[Afiliados 2025]]+Tabla2[[#This Row],[TMK 2025]]+Tabla2[[#This Row],[WA 2025]]+Tabla2[[#This Row],[Ent. en Tienda 2025]]</f>
        <v>2561867.5517241377</v>
      </c>
      <c r="AQ134" s="17">
        <f>Tabla2[[#This Row],[Meli Drop 2025]]+Tabla2[[#This Row],[Meli Full 2025]]+Tabla2[[#This Row],[Amazon Drop 2025]]+Tabla2[[#This Row],[Amazon Full 2025]]+Tabla2[[#This Row],[TikTok 2025]]+Tabla2[[#This Row],[Shein 2025]]</f>
        <v>528423</v>
      </c>
      <c r="AR134" s="17">
        <f>Tabla2[[#This Row],[Web + APP 2026]]+Tabla2[[#This Row],[Afiliados 2026]]+Tabla2[[#This Row],[TMK 2026]]+Tabla2[[#This Row],[WA 2026]]+Tabla2[[#This Row],[Ent. en Tienda 2026]]</f>
        <v>2557182</v>
      </c>
      <c r="AS134" s="17">
        <f>Tabla2[[#This Row],[Meli Drop 2026]]+Tabla2[[#This Row],[Meli Full 2026]]+Tabla2[[#This Row],[Amazon Drop 2026]]+Tabla2[[#This Row],[Amazon Full 2026]]+Tabla2[[#This Row],[TikTok 2026]]+Tabla2[[#This Row],[Shein 2026]]</f>
        <v>558271</v>
      </c>
      <c r="AT134" s="18">
        <f t="shared" si="53"/>
        <v>-1.8289593936986481E-3</v>
      </c>
      <c r="AU134" s="18">
        <f t="shared" si="53"/>
        <v>5.6485050802103531E-2</v>
      </c>
      <c r="AV134" s="49">
        <f t="shared" si="54"/>
        <v>2125563.0218603802</v>
      </c>
      <c r="AW134" s="49">
        <f t="shared" si="54"/>
        <v>566630.94419950002</v>
      </c>
      <c r="AX134" s="39">
        <f t="shared" si="55"/>
        <v>1.2030610119298411</v>
      </c>
      <c r="AY134" s="39">
        <f t="shared" si="55"/>
        <v>0.98524622722235822</v>
      </c>
      <c r="AZ134" s="39">
        <f t="shared" si="56"/>
        <v>1.1572171393577462</v>
      </c>
      <c r="BA134" s="18">
        <v>2.0317440070132801E-2</v>
      </c>
      <c r="BB134" s="20">
        <v>1.97903889477908E-2</v>
      </c>
      <c r="BC134" s="17">
        <f t="shared" si="57"/>
        <v>431618.97813961981</v>
      </c>
      <c r="BD134" s="17">
        <f t="shared" si="57"/>
        <v>-8359.9441995000234</v>
      </c>
      <c r="BE134" t="s">
        <v>259</v>
      </c>
      <c r="BF134" s="27">
        <f t="shared" si="44"/>
        <v>4.2344190334319583E-2</v>
      </c>
    </row>
    <row r="135" spans="1:58" ht="14.25" customHeight="1" x14ac:dyDescent="0.35">
      <c r="A135" s="19">
        <v>45790</v>
      </c>
      <c r="B135" s="17">
        <v>25300042</v>
      </c>
      <c r="C135" s="17">
        <f t="shared" si="45"/>
        <v>3459932.4137931033</v>
      </c>
      <c r="D135" s="18">
        <f>+Tabla22[[#This Row],[Share diario]]</f>
        <v>2.9149687140544066E-2</v>
      </c>
      <c r="E135" s="17">
        <f>+Tabla22[[#This Row],[Global 2026]]</f>
        <v>22809337</v>
      </c>
      <c r="F135" s="19">
        <v>46154</v>
      </c>
      <c r="G135" s="17">
        <f t="shared" si="46"/>
        <v>3977917.8176610083</v>
      </c>
      <c r="H135" s="17">
        <v>3341115.0863910802</v>
      </c>
      <c r="I135" s="17">
        <v>636802.73126992804</v>
      </c>
      <c r="J135" s="17">
        <f>+'BD MF'!J136</f>
        <v>2811134</v>
      </c>
      <c r="K135" s="17">
        <f>+Tabla22[[#This Row],[Web + APP 2026]]</f>
        <v>2815317</v>
      </c>
      <c r="L135" s="17">
        <v>23572.413793103398</v>
      </c>
      <c r="M135" s="17">
        <f>+Tabla22[[#This Row],[Afiliados 2026]]</f>
        <v>21451</v>
      </c>
      <c r="N135" s="17">
        <v>40509</v>
      </c>
      <c r="O135" s="17">
        <f>+Tabla22[[#This Row],[TMK 2026]]</f>
        <v>23262</v>
      </c>
      <c r="P135" s="17">
        <v>1759</v>
      </c>
      <c r="Q135" s="17">
        <f>+Tabla22[[#This Row],[WA 2026]]</f>
        <v>3933</v>
      </c>
      <c r="R135" s="17">
        <v>46794</v>
      </c>
      <c r="S135" s="17">
        <f>+Tabla22[[#This Row],[Ent. en Tienda 2026]]</f>
        <v>54841</v>
      </c>
      <c r="T135" s="17">
        <v>386009</v>
      </c>
      <c r="U135" s="17">
        <f>+Tabla22[[#This Row],[Meli Drop 2026]]</f>
        <v>383123</v>
      </c>
      <c r="V135" s="17">
        <v>119690</v>
      </c>
      <c r="W135" s="17">
        <f>+Tabla22[[#This Row],[Meli Full 2026]]</f>
        <v>135469</v>
      </c>
      <c r="X135" s="17">
        <v>21353</v>
      </c>
      <c r="Y135" s="17">
        <f>+Tabla22[[#This Row],[Amazon Drop 2026]]</f>
        <v>16632</v>
      </c>
      <c r="Z135" s="17">
        <v>9112</v>
      </c>
      <c r="AA135" s="17">
        <f>+Tabla22[[#This Row],[Amazon Full 2026]]</f>
        <v>10371</v>
      </c>
      <c r="AB135" s="17">
        <v>0</v>
      </c>
      <c r="AC135" s="17">
        <f>+Tabla22[[#This Row],[TikTok 2026]]</f>
        <v>1022</v>
      </c>
      <c r="AD135" s="17">
        <v>0</v>
      </c>
      <c r="AE135" s="17">
        <f>+Tabla22[[#This Row],[Shein 2026]]</f>
        <v>4650</v>
      </c>
      <c r="AF135" s="17">
        <f t="shared" si="47"/>
        <v>3470071</v>
      </c>
      <c r="AG135" s="18">
        <f t="shared" si="48"/>
        <v>0.87233350688988864</v>
      </c>
      <c r="AH135" s="17">
        <f t="shared" si="49"/>
        <v>-507846.81766100833</v>
      </c>
      <c r="AI135" s="20">
        <f t="shared" si="50"/>
        <v>2.9302844663898764E-3</v>
      </c>
      <c r="AJ135" s="20">
        <f t="shared" si="42"/>
        <v>0.13675599486329323</v>
      </c>
      <c r="AK135" s="21">
        <f t="shared" si="51"/>
        <v>0.15213379503314806</v>
      </c>
      <c r="AL135" s="21">
        <f t="shared" si="43"/>
        <v>-9.8446674515402011E-2</v>
      </c>
      <c r="AO135" s="38">
        <f t="shared" si="52"/>
        <v>46154</v>
      </c>
      <c r="AP135" s="17">
        <f>Tabla2[[#This Row],[Web + APP 2025]]+Tabla2[[#This Row],[Afiliados 2025]]+Tabla2[[#This Row],[TMK 2025]]+Tabla2[[#This Row],[WA 2025]]+Tabla2[[#This Row],[Ent. en Tienda 2025]]</f>
        <v>2923768.4137931033</v>
      </c>
      <c r="AQ135" s="17">
        <f>Tabla2[[#This Row],[Meli Drop 2025]]+Tabla2[[#This Row],[Meli Full 2025]]+Tabla2[[#This Row],[Amazon Drop 2025]]+Tabla2[[#This Row],[Amazon Full 2025]]+Tabla2[[#This Row],[TikTok 2025]]+Tabla2[[#This Row],[Shein 2025]]</f>
        <v>536164</v>
      </c>
      <c r="AR135" s="17">
        <f>Tabla2[[#This Row],[Web + APP 2026]]+Tabla2[[#This Row],[Afiliados 2026]]+Tabla2[[#This Row],[TMK 2026]]+Tabla2[[#This Row],[WA 2026]]+Tabla2[[#This Row],[Ent. en Tienda 2026]]</f>
        <v>2918804</v>
      </c>
      <c r="AS135" s="17">
        <f>Tabla2[[#This Row],[Meli Drop 2026]]+Tabla2[[#This Row],[Meli Full 2026]]+Tabla2[[#This Row],[Amazon Drop 2026]]+Tabla2[[#This Row],[Amazon Full 2026]]+Tabla2[[#This Row],[TikTok 2026]]+Tabla2[[#This Row],[Shein 2026]]</f>
        <v>551267</v>
      </c>
      <c r="AT135" s="18">
        <f t="shared" si="53"/>
        <v>-1.6979504155265612E-3</v>
      </c>
      <c r="AU135" s="18">
        <f t="shared" si="53"/>
        <v>2.8168620049089377E-2</v>
      </c>
      <c r="AV135" s="49">
        <f t="shared" si="54"/>
        <v>3341115.0863910802</v>
      </c>
      <c r="AW135" s="49">
        <f t="shared" si="54"/>
        <v>636802.73126992804</v>
      </c>
      <c r="AX135" s="39">
        <f t="shared" si="55"/>
        <v>0.87360175406371854</v>
      </c>
      <c r="AY135" s="39">
        <f t="shared" si="55"/>
        <v>0.86567939006896133</v>
      </c>
      <c r="AZ135" s="39">
        <f t="shared" si="56"/>
        <v>0.87233350688988864</v>
      </c>
      <c r="BA135" s="18">
        <v>2.2833559412029501E-2</v>
      </c>
      <c r="BB135" s="20">
        <v>3.09173395545056E-2</v>
      </c>
      <c r="BC135" s="17">
        <f t="shared" si="57"/>
        <v>-422311.08639108017</v>
      </c>
      <c r="BD135" s="17">
        <f t="shared" si="57"/>
        <v>-85535.731269928045</v>
      </c>
      <c r="BE135" t="s">
        <v>259</v>
      </c>
      <c r="BF135" s="27">
        <f t="shared" si="44"/>
        <v>4.8325919942194623E-2</v>
      </c>
    </row>
    <row r="136" spans="1:58" ht="14.25" customHeight="1" x14ac:dyDescent="0.35">
      <c r="A136" s="16">
        <v>45791</v>
      </c>
      <c r="B136" s="17">
        <v>28389964</v>
      </c>
      <c r="C136" s="17">
        <f t="shared" si="45"/>
        <v>3483171.3103448278</v>
      </c>
      <c r="D136" s="18">
        <f>+Tabla22[[#This Row],[Share diario]]</f>
        <v>3.2636396384549266E-2</v>
      </c>
      <c r="E136" s="17">
        <f>+Tabla22[[#This Row],[Global 2026]]</f>
        <v>27932143</v>
      </c>
      <c r="F136" s="19">
        <v>46155</v>
      </c>
      <c r="G136" s="17">
        <f t="shared" si="46"/>
        <v>4432932.8504142966</v>
      </c>
      <c r="H136" s="17">
        <v>3786801.4374958398</v>
      </c>
      <c r="I136" s="17">
        <v>646131.41291845695</v>
      </c>
      <c r="J136" s="17">
        <f>+'BD MF'!J137</f>
        <v>2777558</v>
      </c>
      <c r="K136" s="17">
        <f>+Tabla22[[#This Row],[Web + APP 2026]]</f>
        <v>3700459</v>
      </c>
      <c r="L136" s="17">
        <v>17204.310344827602</v>
      </c>
      <c r="M136" s="17">
        <f>+Tabla22[[#This Row],[Afiliados 2026]]</f>
        <v>26216</v>
      </c>
      <c r="N136" s="17">
        <v>30525</v>
      </c>
      <c r="O136" s="17">
        <f>+Tabla22[[#This Row],[TMK 2026]]</f>
        <v>28501</v>
      </c>
      <c r="P136" s="17">
        <v>2915</v>
      </c>
      <c r="Q136" s="17">
        <f>+Tabla22[[#This Row],[WA 2026]]</f>
        <v>4829</v>
      </c>
      <c r="R136" s="17">
        <v>51632</v>
      </c>
      <c r="S136" s="17">
        <f>+Tabla22[[#This Row],[Ent. en Tienda 2026]]</f>
        <v>57302</v>
      </c>
      <c r="T136" s="17">
        <v>406451</v>
      </c>
      <c r="U136" s="17">
        <f>+Tabla22[[#This Row],[Meli Drop 2026]]</f>
        <v>381201</v>
      </c>
      <c r="V136" s="17">
        <v>166963</v>
      </c>
      <c r="W136" s="17">
        <f>+Tabla22[[#This Row],[Meli Full 2026]]</f>
        <v>138856</v>
      </c>
      <c r="X136" s="17">
        <v>21663</v>
      </c>
      <c r="Y136" s="17">
        <f>+Tabla22[[#This Row],[Amazon Drop 2026]]</f>
        <v>19491</v>
      </c>
      <c r="Z136" s="17">
        <v>8260</v>
      </c>
      <c r="AA136" s="17">
        <f>+Tabla22[[#This Row],[Amazon Full 2026]]</f>
        <v>6421</v>
      </c>
      <c r="AB136" s="17">
        <v>0</v>
      </c>
      <c r="AC136" s="17">
        <f>+Tabla22[[#This Row],[TikTok 2026]]</f>
        <v>1247</v>
      </c>
      <c r="AD136" s="17">
        <v>0</v>
      </c>
      <c r="AE136" s="17">
        <f>+Tabla22[[#This Row],[Shein 2026]]</f>
        <v>1937</v>
      </c>
      <c r="AF136" s="17">
        <f t="shared" si="47"/>
        <v>4366460</v>
      </c>
      <c r="AG136" s="18">
        <f t="shared" si="48"/>
        <v>0.98500476938014436</v>
      </c>
      <c r="AH136" s="17">
        <f t="shared" si="49"/>
        <v>-66472.850414296612</v>
      </c>
      <c r="AI136" s="20">
        <f t="shared" si="50"/>
        <v>0.25358749569159955</v>
      </c>
      <c r="AJ136" s="20">
        <f t="shared" si="42"/>
        <v>0.12269023343406944</v>
      </c>
      <c r="AK136" s="21">
        <f t="shared" si="51"/>
        <v>0.15632384525598339</v>
      </c>
      <c r="AL136" s="21">
        <f t="shared" si="43"/>
        <v>-1.6126156412174408E-2</v>
      </c>
      <c r="AO136" s="38">
        <f t="shared" si="52"/>
        <v>46155</v>
      </c>
      <c r="AP136" s="17">
        <f>Tabla2[[#This Row],[Web + APP 2025]]+Tabla2[[#This Row],[Afiliados 2025]]+Tabla2[[#This Row],[TMK 2025]]+Tabla2[[#This Row],[WA 2025]]+Tabla2[[#This Row],[Ent. en Tienda 2025]]</f>
        <v>2879834.3103448278</v>
      </c>
      <c r="AQ136" s="17">
        <f>Tabla2[[#This Row],[Meli Drop 2025]]+Tabla2[[#This Row],[Meli Full 2025]]+Tabla2[[#This Row],[Amazon Drop 2025]]+Tabla2[[#This Row],[Amazon Full 2025]]+Tabla2[[#This Row],[TikTok 2025]]+Tabla2[[#This Row],[Shein 2025]]</f>
        <v>603337</v>
      </c>
      <c r="AR136" s="17">
        <f>Tabla2[[#This Row],[Web + APP 2026]]+Tabla2[[#This Row],[Afiliados 2026]]+Tabla2[[#This Row],[TMK 2026]]+Tabla2[[#This Row],[WA 2026]]+Tabla2[[#This Row],[Ent. en Tienda 2026]]</f>
        <v>3817307</v>
      </c>
      <c r="AS136" s="17">
        <f>Tabla2[[#This Row],[Meli Drop 2026]]+Tabla2[[#This Row],[Meli Full 2026]]+Tabla2[[#This Row],[Amazon Drop 2026]]+Tabla2[[#This Row],[Amazon Full 2026]]+Tabla2[[#This Row],[TikTok 2026]]+Tabla2[[#This Row],[Shein 2026]]</f>
        <v>549153</v>
      </c>
      <c r="AT136" s="18">
        <f t="shared" si="53"/>
        <v>0.32553007868807571</v>
      </c>
      <c r="AU136" s="18">
        <f t="shared" si="53"/>
        <v>-8.9807189017083289E-2</v>
      </c>
      <c r="AV136" s="49">
        <f t="shared" si="54"/>
        <v>3786801.4374958398</v>
      </c>
      <c r="AW136" s="49">
        <f t="shared" si="54"/>
        <v>646131.41291845695</v>
      </c>
      <c r="AX136" s="39">
        <f t="shared" si="55"/>
        <v>1.0080557597243158</v>
      </c>
      <c r="AY136" s="39">
        <f t="shared" si="55"/>
        <v>0.8499091500900362</v>
      </c>
      <c r="AZ136" s="39">
        <f t="shared" si="56"/>
        <v>0.98500476938014436</v>
      </c>
      <c r="BA136" s="18">
        <v>2.31680539049045E-2</v>
      </c>
      <c r="BB136" s="20">
        <v>3.5273672310091202E-2</v>
      </c>
      <c r="BC136" s="17">
        <f t="shared" si="57"/>
        <v>30505.562504160218</v>
      </c>
      <c r="BD136" s="17">
        <f t="shared" si="57"/>
        <v>-96978.412918456946</v>
      </c>
      <c r="BE136" t="s">
        <v>260</v>
      </c>
      <c r="BF136" s="27">
        <f t="shared" si="44"/>
        <v>4.7599748896650348E-2</v>
      </c>
    </row>
    <row r="137" spans="1:58" ht="14.25" customHeight="1" x14ac:dyDescent="0.35">
      <c r="A137" s="19">
        <v>45792</v>
      </c>
      <c r="B137" s="17">
        <v>37812054</v>
      </c>
      <c r="C137" s="17">
        <f t="shared" si="45"/>
        <v>3141109.8620689656</v>
      </c>
      <c r="D137" s="18">
        <f>+Tabla22[[#This Row],[Share diario]]</f>
        <v>3.2855601198024269E-2</v>
      </c>
      <c r="E137" s="17">
        <f>+Tabla22[[#This Row],[Global 2026]]</f>
        <v>33640854</v>
      </c>
      <c r="F137" s="19">
        <v>46156</v>
      </c>
      <c r="G137" s="17">
        <f t="shared" si="46"/>
        <v>4463971.3255278813</v>
      </c>
      <c r="H137" s="17">
        <v>3736889.70819441</v>
      </c>
      <c r="I137" s="17">
        <v>727081.61733347096</v>
      </c>
      <c r="J137" s="17">
        <f>+'BD MF'!J138</f>
        <v>2343626</v>
      </c>
      <c r="K137" s="17">
        <f>+Tabla22[[#This Row],[Web + APP 2026]]</f>
        <v>2625651</v>
      </c>
      <c r="L137" s="17">
        <v>17875.8620689655</v>
      </c>
      <c r="M137" s="17">
        <f>+Tabla22[[#This Row],[Afiliados 2026]]</f>
        <v>10282</v>
      </c>
      <c r="N137" s="17">
        <v>48768</v>
      </c>
      <c r="O137" s="17">
        <f>+Tabla22[[#This Row],[TMK 2026]]</f>
        <v>6634</v>
      </c>
      <c r="P137" s="17">
        <v>1400</v>
      </c>
      <c r="Q137" s="17">
        <f>+Tabla22[[#This Row],[WA 2026]]</f>
        <v>0</v>
      </c>
      <c r="R137" s="17">
        <v>88607</v>
      </c>
      <c r="S137" s="17">
        <f>+Tabla22[[#This Row],[Ent. en Tienda 2026]]</f>
        <v>62863</v>
      </c>
      <c r="T137" s="17">
        <v>449212</v>
      </c>
      <c r="U137" s="17">
        <f>+Tabla22[[#This Row],[Meli Drop 2026]]</f>
        <v>360073</v>
      </c>
      <c r="V137" s="17">
        <v>166991</v>
      </c>
      <c r="W137" s="17">
        <f>+Tabla22[[#This Row],[Meli Full 2026]]</f>
        <v>105100</v>
      </c>
      <c r="X137" s="17">
        <v>16715</v>
      </c>
      <c r="Y137" s="17">
        <f>+Tabla22[[#This Row],[Amazon Drop 2026]]</f>
        <v>12418</v>
      </c>
      <c r="Z137" s="17">
        <v>7915</v>
      </c>
      <c r="AA137" s="17">
        <f>+Tabla22[[#This Row],[Amazon Full 2026]]</f>
        <v>4862</v>
      </c>
      <c r="AB137" s="17">
        <v>0</v>
      </c>
      <c r="AC137" s="17">
        <f>+Tabla22[[#This Row],[TikTok 2026]]</f>
        <v>5230</v>
      </c>
      <c r="AD137" s="17">
        <v>0</v>
      </c>
      <c r="AE137" s="17">
        <f>+Tabla22[[#This Row],[Shein 2026]]</f>
        <v>2497</v>
      </c>
      <c r="AF137" s="17">
        <f t="shared" si="47"/>
        <v>3195610</v>
      </c>
      <c r="AG137" s="18">
        <f t="shared" si="48"/>
        <v>0.71586705356403857</v>
      </c>
      <c r="AH137" s="17">
        <f t="shared" si="49"/>
        <v>-1268361.3255278813</v>
      </c>
      <c r="AI137" s="20">
        <f t="shared" si="50"/>
        <v>1.7350599095294461E-2</v>
      </c>
      <c r="AJ137" s="20">
        <f t="shared" si="42"/>
        <v>8.3071653871777645E-2</v>
      </c>
      <c r="AK137" s="21">
        <f t="shared" si="51"/>
        <v>9.4991940454305951E-2</v>
      </c>
      <c r="AL137" s="21">
        <f t="shared" si="43"/>
        <v>-0.11031402843125104</v>
      </c>
      <c r="AO137" s="38">
        <f t="shared" si="52"/>
        <v>46156</v>
      </c>
      <c r="AP137" s="17">
        <f>Tabla2[[#This Row],[Web + APP 2025]]+Tabla2[[#This Row],[Afiliados 2025]]+Tabla2[[#This Row],[TMK 2025]]+Tabla2[[#This Row],[WA 2025]]+Tabla2[[#This Row],[Ent. en Tienda 2025]]</f>
        <v>2500276.8620689656</v>
      </c>
      <c r="AQ137" s="17">
        <f>Tabla2[[#This Row],[Meli Drop 2025]]+Tabla2[[#This Row],[Meli Full 2025]]+Tabla2[[#This Row],[Amazon Drop 2025]]+Tabla2[[#This Row],[Amazon Full 2025]]+Tabla2[[#This Row],[TikTok 2025]]+Tabla2[[#This Row],[Shein 2025]]</f>
        <v>640833</v>
      </c>
      <c r="AR137" s="17">
        <f>Tabla2[[#This Row],[Web + APP 2026]]+Tabla2[[#This Row],[Afiliados 2026]]+Tabla2[[#This Row],[TMK 2026]]+Tabla2[[#This Row],[WA 2026]]+Tabla2[[#This Row],[Ent. en Tienda 2026]]</f>
        <v>2705430</v>
      </c>
      <c r="AS137" s="17">
        <f>Tabla2[[#This Row],[Meli Drop 2026]]+Tabla2[[#This Row],[Meli Full 2026]]+Tabla2[[#This Row],[Amazon Drop 2026]]+Tabla2[[#This Row],[Amazon Full 2026]]+Tabla2[[#This Row],[TikTok 2026]]+Tabla2[[#This Row],[Shein 2026]]</f>
        <v>490180</v>
      </c>
      <c r="AT137" s="18">
        <f t="shared" si="53"/>
        <v>8.2052168319180163E-2</v>
      </c>
      <c r="AU137" s="18">
        <f t="shared" si="53"/>
        <v>-0.23508932904516466</v>
      </c>
      <c r="AV137" s="49">
        <f t="shared" si="54"/>
        <v>3736889.70819441</v>
      </c>
      <c r="AW137" s="49">
        <f t="shared" si="54"/>
        <v>727081.61733347096</v>
      </c>
      <c r="AX137" s="39">
        <f t="shared" si="55"/>
        <v>0.72397908722524473</v>
      </c>
      <c r="AY137" s="39">
        <f t="shared" si="55"/>
        <v>0.67417465703191104</v>
      </c>
      <c r="AZ137" s="39">
        <f t="shared" si="56"/>
        <v>0.71586705356403857</v>
      </c>
      <c r="BA137" s="18">
        <v>2.6070650283911999E-2</v>
      </c>
      <c r="BB137" s="20">
        <v>3.4692330512731198E-2</v>
      </c>
      <c r="BC137" s="17">
        <f t="shared" si="57"/>
        <v>-1031459.70819441</v>
      </c>
      <c r="BD137" s="17">
        <f t="shared" si="57"/>
        <v>-236901.61733347096</v>
      </c>
      <c r="BF137" s="27">
        <f t="shared" si="44"/>
        <v>4.1326179905238097E-2</v>
      </c>
    </row>
    <row r="138" spans="1:58" ht="14.25" customHeight="1" x14ac:dyDescent="0.35">
      <c r="A138" s="16">
        <v>45793</v>
      </c>
      <c r="B138" s="17">
        <v>38245451</v>
      </c>
      <c r="C138" s="17">
        <f t="shared" si="45"/>
        <v>2766953.5517241377</v>
      </c>
      <c r="D138" s="18">
        <f>+Tabla22[[#This Row],[Share diario]]</f>
        <v>2.9629048861539348E-2</v>
      </c>
      <c r="E138" s="17">
        <f>+Tabla22[[#This Row],[Global 2026]]</f>
        <v>37321124</v>
      </c>
      <c r="F138" s="19">
        <v>46157</v>
      </c>
      <c r="G138" s="17">
        <f t="shared" si="46"/>
        <v>4004790.069113472</v>
      </c>
      <c r="H138" s="17">
        <v>3232522.0098353899</v>
      </c>
      <c r="I138" s="17">
        <v>772268.05927808199</v>
      </c>
      <c r="J138" s="17">
        <f>+'BD MF'!J139</f>
        <v>2112541</v>
      </c>
      <c r="K138" s="17">
        <f>+Tabla22[[#This Row],[Web + APP 2026]]</f>
        <v>2405121</v>
      </c>
      <c r="L138" s="17">
        <v>25296.551724137898</v>
      </c>
      <c r="M138" s="17">
        <f>+Tabla22[[#This Row],[Afiliados 2026]]</f>
        <v>30006</v>
      </c>
      <c r="N138" s="17">
        <v>27754</v>
      </c>
      <c r="O138" s="17">
        <f>+Tabla22[[#This Row],[TMK 2026]]</f>
        <v>17955</v>
      </c>
      <c r="P138" s="17">
        <v>1869</v>
      </c>
      <c r="Q138" s="17">
        <f>+Tabla22[[#This Row],[WA 2026]]</f>
        <v>904</v>
      </c>
      <c r="R138" s="17">
        <v>86382</v>
      </c>
      <c r="S138" s="17">
        <f>+Tabla22[[#This Row],[Ent. en Tienda 2026]]</f>
        <v>90900</v>
      </c>
      <c r="T138" s="17">
        <v>369211</v>
      </c>
      <c r="U138" s="17">
        <f>+Tabla22[[#This Row],[Meli Drop 2026]]</f>
        <v>329128</v>
      </c>
      <c r="V138" s="17">
        <v>113629</v>
      </c>
      <c r="W138" s="17">
        <f>+Tabla22[[#This Row],[Meli Full 2026]]</f>
        <v>99332</v>
      </c>
      <c r="X138" s="17">
        <v>16988</v>
      </c>
      <c r="Y138" s="17">
        <f>+Tabla22[[#This Row],[Amazon Drop 2026]]</f>
        <v>9755</v>
      </c>
      <c r="Z138" s="17">
        <v>13283</v>
      </c>
      <c r="AA138" s="17">
        <f>+Tabla22[[#This Row],[Amazon Full 2026]]</f>
        <v>6678</v>
      </c>
      <c r="AB138" s="17">
        <v>0</v>
      </c>
      <c r="AC138" s="17">
        <f>+Tabla22[[#This Row],[TikTok 2026]]</f>
        <v>4507</v>
      </c>
      <c r="AD138" s="17">
        <v>0</v>
      </c>
      <c r="AE138" s="17">
        <f>+Tabla22[[#This Row],[Shein 2026]]</f>
        <v>4607</v>
      </c>
      <c r="AF138" s="17">
        <f t="shared" si="47"/>
        <v>2998893</v>
      </c>
      <c r="AG138" s="18">
        <f t="shared" si="48"/>
        <v>0.74882651730702465</v>
      </c>
      <c r="AH138" s="17">
        <f t="shared" si="49"/>
        <v>-1005897.069113472</v>
      </c>
      <c r="AI138" s="20">
        <f t="shared" si="50"/>
        <v>8.3824843438855989E-2</v>
      </c>
      <c r="AJ138" s="20">
        <f t="shared" si="42"/>
        <v>7.2347259069428613E-2</v>
      </c>
      <c r="AK138" s="21">
        <f t="shared" si="51"/>
        <v>8.035376962387307E-2</v>
      </c>
      <c r="AL138" s="21">
        <f t="shared" si="43"/>
        <v>-2.4168286053157018E-2</v>
      </c>
      <c r="AO138" s="38">
        <f t="shared" si="52"/>
        <v>46157</v>
      </c>
      <c r="AP138" s="17">
        <f>Tabla2[[#This Row],[Web + APP 2025]]+Tabla2[[#This Row],[Afiliados 2025]]+Tabla2[[#This Row],[TMK 2025]]+Tabla2[[#This Row],[WA 2025]]+Tabla2[[#This Row],[Ent. en Tienda 2025]]</f>
        <v>2253842.5517241377</v>
      </c>
      <c r="AQ138" s="17">
        <f>Tabla2[[#This Row],[Meli Drop 2025]]+Tabla2[[#This Row],[Meli Full 2025]]+Tabla2[[#This Row],[Amazon Drop 2025]]+Tabla2[[#This Row],[Amazon Full 2025]]+Tabla2[[#This Row],[TikTok 2025]]+Tabla2[[#This Row],[Shein 2025]]</f>
        <v>513111</v>
      </c>
      <c r="AR138" s="17">
        <f>Tabla2[[#This Row],[Web + APP 2026]]+Tabla2[[#This Row],[Afiliados 2026]]+Tabla2[[#This Row],[TMK 2026]]+Tabla2[[#This Row],[WA 2026]]+Tabla2[[#This Row],[Ent. en Tienda 2026]]</f>
        <v>2544886</v>
      </c>
      <c r="AS138" s="17">
        <f>Tabla2[[#This Row],[Meli Drop 2026]]+Tabla2[[#This Row],[Meli Full 2026]]+Tabla2[[#This Row],[Amazon Drop 2026]]+Tabla2[[#This Row],[Amazon Full 2026]]+Tabla2[[#This Row],[TikTok 2026]]+Tabla2[[#This Row],[Shein 2026]]</f>
        <v>454007</v>
      </c>
      <c r="AT138" s="18">
        <f t="shared" si="53"/>
        <v>0.12913211175874761</v>
      </c>
      <c r="AU138" s="18">
        <f t="shared" si="53"/>
        <v>-0.11518755201116326</v>
      </c>
      <c r="AV138" s="49">
        <f t="shared" si="54"/>
        <v>3232522.0098353899</v>
      </c>
      <c r="AW138" s="49">
        <f t="shared" si="54"/>
        <v>772268.05927808199</v>
      </c>
      <c r="AX138" s="39">
        <f t="shared" si="55"/>
        <v>0.7872756913199157</v>
      </c>
      <c r="AY138" s="39">
        <f t="shared" si="55"/>
        <v>0.58788783835551461</v>
      </c>
      <c r="AZ138" s="39">
        <f t="shared" si="56"/>
        <v>0.74882651730702465</v>
      </c>
      <c r="BA138" s="18">
        <v>2.7690880939491801E-2</v>
      </c>
      <c r="BB138" s="20">
        <v>3.01627033200681E-2</v>
      </c>
      <c r="BC138" s="17">
        <f t="shared" si="57"/>
        <v>-687636.00983538991</v>
      </c>
      <c r="BD138" s="17">
        <f t="shared" si="57"/>
        <v>-318261.05927808199</v>
      </c>
      <c r="BF138" s="27">
        <f t="shared" si="44"/>
        <v>3.7252955536115122E-2</v>
      </c>
    </row>
    <row r="139" spans="1:58" ht="14.25" customHeight="1" x14ac:dyDescent="0.35">
      <c r="A139" s="19">
        <v>45794</v>
      </c>
      <c r="B139" s="17">
        <v>44431907</v>
      </c>
      <c r="C139" s="17">
        <f t="shared" si="45"/>
        <v>2722508.7931034481</v>
      </c>
      <c r="D139" s="18">
        <f>+Tabla22[[#This Row],[Share diario]]</f>
        <v>2.609975632232259E-2</v>
      </c>
      <c r="E139" s="17">
        <f>+Tabla22[[#This Row],[Global 2026]]</f>
        <v>44523452</v>
      </c>
      <c r="F139" s="19">
        <v>46158</v>
      </c>
      <c r="G139" s="17">
        <f t="shared" si="46"/>
        <v>3538923.2997836089</v>
      </c>
      <c r="H139" s="17">
        <v>2920573.0647547701</v>
      </c>
      <c r="I139" s="17">
        <v>618350.23502883897</v>
      </c>
      <c r="J139" s="17">
        <f>+'BD MF'!J140</f>
        <v>2109532</v>
      </c>
      <c r="K139" s="17">
        <f>+Tabla22[[#This Row],[Web + APP 2026]]</f>
        <v>2034460</v>
      </c>
      <c r="L139" s="17">
        <v>21563.793103448301</v>
      </c>
      <c r="M139" s="17">
        <f>+Tabla22[[#This Row],[Afiliados 2026]]</f>
        <v>29019</v>
      </c>
      <c r="N139" s="17">
        <v>-607</v>
      </c>
      <c r="O139" s="17">
        <f>+Tabla22[[#This Row],[TMK 2026]]</f>
        <v>11244</v>
      </c>
      <c r="P139" s="17">
        <v>4423</v>
      </c>
      <c r="Q139" s="17">
        <f>+Tabla22[[#This Row],[WA 2026]]</f>
        <v>0</v>
      </c>
      <c r="R139" s="17">
        <v>79497</v>
      </c>
      <c r="S139" s="17">
        <f>+Tabla22[[#This Row],[Ent. en Tienda 2026]]</f>
        <v>59712</v>
      </c>
      <c r="T139" s="17">
        <v>366239</v>
      </c>
      <c r="U139" s="17">
        <f>+Tabla22[[#This Row],[Meli Drop 2026]]</f>
        <v>310105</v>
      </c>
      <c r="V139" s="17">
        <v>114522</v>
      </c>
      <c r="W139" s="17">
        <f>+Tabla22[[#This Row],[Meli Full 2026]]</f>
        <v>110133</v>
      </c>
      <c r="X139" s="17">
        <v>20368</v>
      </c>
      <c r="Y139" s="17">
        <f>+Tabla22[[#This Row],[Amazon Drop 2026]]</f>
        <v>19652</v>
      </c>
      <c r="Z139" s="17">
        <v>6971</v>
      </c>
      <c r="AA139" s="17">
        <f>+Tabla22[[#This Row],[Amazon Full 2026]]</f>
        <v>5748</v>
      </c>
      <c r="AB139" s="17">
        <v>0</v>
      </c>
      <c r="AC139" s="17">
        <f>+Tabla22[[#This Row],[TikTok 2026]]</f>
        <v>1224</v>
      </c>
      <c r="AD139" s="17">
        <v>0</v>
      </c>
      <c r="AE139" s="17">
        <f>+Tabla22[[#This Row],[Shein 2026]]</f>
        <v>1885</v>
      </c>
      <c r="AF139" s="17">
        <f t="shared" si="47"/>
        <v>2583182</v>
      </c>
      <c r="AG139" s="18">
        <f t="shared" si="48"/>
        <v>0.72993444083909687</v>
      </c>
      <c r="AH139" s="17">
        <f t="shared" si="49"/>
        <v>-955741.29978360888</v>
      </c>
      <c r="AI139" s="20">
        <f t="shared" si="50"/>
        <v>-5.1175883602795014E-2</v>
      </c>
      <c r="AJ139" s="20">
        <f t="shared" si="42"/>
        <v>6.1273732705270742E-2</v>
      </c>
      <c r="AK139" s="21">
        <f t="shared" si="51"/>
        <v>5.8018457328960028E-2</v>
      </c>
      <c r="AL139" s="21">
        <f t="shared" si="43"/>
        <v>2.060343707507295E-3</v>
      </c>
      <c r="AO139" s="38">
        <f t="shared" si="52"/>
        <v>46158</v>
      </c>
      <c r="AP139" s="17">
        <f>Tabla2[[#This Row],[Web + APP 2025]]+Tabla2[[#This Row],[Afiliados 2025]]+Tabla2[[#This Row],[TMK 2025]]+Tabla2[[#This Row],[WA 2025]]+Tabla2[[#This Row],[Ent. en Tienda 2025]]</f>
        <v>2214408.7931034481</v>
      </c>
      <c r="AQ139" s="17">
        <f>Tabla2[[#This Row],[Meli Drop 2025]]+Tabla2[[#This Row],[Meli Full 2025]]+Tabla2[[#This Row],[Amazon Drop 2025]]+Tabla2[[#This Row],[Amazon Full 2025]]+Tabla2[[#This Row],[TikTok 2025]]+Tabla2[[#This Row],[Shein 2025]]</f>
        <v>508100</v>
      </c>
      <c r="AR139" s="17">
        <f>Tabla2[[#This Row],[Web + APP 2026]]+Tabla2[[#This Row],[Afiliados 2026]]+Tabla2[[#This Row],[TMK 2026]]+Tabla2[[#This Row],[WA 2026]]+Tabla2[[#This Row],[Ent. en Tienda 2026]]</f>
        <v>2134435</v>
      </c>
      <c r="AS139" s="17">
        <f>Tabla2[[#This Row],[Meli Drop 2026]]+Tabla2[[#This Row],[Meli Full 2026]]+Tabla2[[#This Row],[Amazon Drop 2026]]+Tabla2[[#This Row],[Amazon Full 2026]]+Tabla2[[#This Row],[TikTok 2026]]+Tabla2[[#This Row],[Shein 2026]]</f>
        <v>448747</v>
      </c>
      <c r="AT139" s="18">
        <f t="shared" si="53"/>
        <v>-3.6115189459380082E-2</v>
      </c>
      <c r="AU139" s="18">
        <f t="shared" si="53"/>
        <v>-0.11681361936626644</v>
      </c>
      <c r="AV139" s="49">
        <f t="shared" si="54"/>
        <v>2920573.0647547701</v>
      </c>
      <c r="AW139" s="49">
        <f t="shared" si="54"/>
        <v>618350.23502883897</v>
      </c>
      <c r="AX139" s="39">
        <f t="shared" si="55"/>
        <v>0.73082746182870129</v>
      </c>
      <c r="AY139" s="39">
        <f t="shared" si="55"/>
        <v>0.7257165512018785</v>
      </c>
      <c r="AZ139" s="39">
        <f t="shared" si="56"/>
        <v>0.72993444083909687</v>
      </c>
      <c r="BA139" s="18">
        <v>2.2171916255473101E-2</v>
      </c>
      <c r="BB139" s="20">
        <v>2.73018184622053E-2</v>
      </c>
      <c r="BC139" s="17">
        <f t="shared" si="57"/>
        <v>-786138.06475477014</v>
      </c>
      <c r="BD139" s="17">
        <f t="shared" si="57"/>
        <v>-169603.23502883897</v>
      </c>
      <c r="BF139" s="27">
        <f t="shared" si="44"/>
        <v>3.6601169076854838E-2</v>
      </c>
    </row>
    <row r="140" spans="1:58" ht="14.25" customHeight="1" x14ac:dyDescent="0.35">
      <c r="A140" s="16">
        <v>45795</v>
      </c>
      <c r="B140" s="17">
        <v>45518633</v>
      </c>
      <c r="C140" s="17">
        <f t="shared" si="45"/>
        <v>3370753</v>
      </c>
      <c r="D140" s="18">
        <f>+Tabla22[[#This Row],[Share diario]]</f>
        <v>2.5680523636222155E-2</v>
      </c>
      <c r="E140" s="17">
        <f>+Tabla22[[#This Row],[Global 2026]]</f>
        <v>46674763</v>
      </c>
      <c r="F140" s="19">
        <v>46159</v>
      </c>
      <c r="G140" s="17">
        <f t="shared" si="46"/>
        <v>3493857.9422336142</v>
      </c>
      <c r="H140" s="17">
        <v>2881546.4649545201</v>
      </c>
      <c r="I140" s="17">
        <v>612311.47727909405</v>
      </c>
      <c r="J140" s="17">
        <f>+'BD MF'!J141</f>
        <v>2677032</v>
      </c>
      <c r="K140" s="17">
        <f>+Tabla22[[#This Row],[Web + APP 2026]]</f>
        <v>2587277</v>
      </c>
      <c r="L140" s="17">
        <v>20975</v>
      </c>
      <c r="M140" s="17">
        <f>+Tabla22[[#This Row],[Afiliados 2026]]</f>
        <v>27932</v>
      </c>
      <c r="N140" s="17">
        <v>22100</v>
      </c>
      <c r="O140" s="17">
        <f>+Tabla22[[#This Row],[TMK 2026]]</f>
        <v>-6421</v>
      </c>
      <c r="P140" s="17">
        <v>-481</v>
      </c>
      <c r="Q140" s="17">
        <f>+Tabla22[[#This Row],[WA 2026]]</f>
        <v>2492</v>
      </c>
      <c r="R140" s="17">
        <v>76910</v>
      </c>
      <c r="S140" s="17">
        <f>+Tabla22[[#This Row],[Ent. en Tienda 2026]]</f>
        <v>88989</v>
      </c>
      <c r="T140" s="17">
        <v>427036</v>
      </c>
      <c r="U140" s="17">
        <f>+Tabla22[[#This Row],[Meli Drop 2026]]</f>
        <v>391486</v>
      </c>
      <c r="V140" s="17">
        <v>120368</v>
      </c>
      <c r="W140" s="17">
        <f>+Tabla22[[#This Row],[Meli Full 2026]]</f>
        <v>132520</v>
      </c>
      <c r="X140" s="17">
        <v>16748</v>
      </c>
      <c r="Y140" s="17">
        <f>+Tabla22[[#This Row],[Amazon Drop 2026]]</f>
        <v>15266</v>
      </c>
      <c r="Z140" s="17">
        <v>10065</v>
      </c>
      <c r="AA140" s="17">
        <f>+Tabla22[[#This Row],[Amazon Full 2026]]</f>
        <v>6798</v>
      </c>
      <c r="AB140" s="17">
        <v>0</v>
      </c>
      <c r="AC140" s="17">
        <f>+Tabla22[[#This Row],[TikTok 2026]]</f>
        <v>658</v>
      </c>
      <c r="AD140" s="17">
        <v>0</v>
      </c>
      <c r="AE140" s="17">
        <f>+Tabla22[[#This Row],[Shein 2026]]</f>
        <v>3402</v>
      </c>
      <c r="AF140" s="17">
        <f t="shared" si="47"/>
        <v>3250399</v>
      </c>
      <c r="AG140" s="18">
        <f t="shared" si="48"/>
        <v>0.93031801914706025</v>
      </c>
      <c r="AH140" s="17">
        <f t="shared" si="49"/>
        <v>-243458.94223361416</v>
      </c>
      <c r="AI140" s="20">
        <f t="shared" si="50"/>
        <v>-3.5705375030445685E-2</v>
      </c>
      <c r="AJ140" s="20">
        <f t="shared" si="42"/>
        <v>7.4052157937168281E-2</v>
      </c>
      <c r="AK140" s="21">
        <f t="shared" si="51"/>
        <v>6.9639325217355677E-2</v>
      </c>
      <c r="AL140" s="21">
        <f t="shared" si="43"/>
        <v>2.5399049220129255E-2</v>
      </c>
      <c r="AO140" s="38">
        <f t="shared" si="52"/>
        <v>46159</v>
      </c>
      <c r="AP140" s="17">
        <f>Tabla2[[#This Row],[Web + APP 2025]]+Tabla2[[#This Row],[Afiliados 2025]]+Tabla2[[#This Row],[TMK 2025]]+Tabla2[[#This Row],[WA 2025]]+Tabla2[[#This Row],[Ent. en Tienda 2025]]</f>
        <v>2796536</v>
      </c>
      <c r="AQ140" s="17">
        <f>Tabla2[[#This Row],[Meli Drop 2025]]+Tabla2[[#This Row],[Meli Full 2025]]+Tabla2[[#This Row],[Amazon Drop 2025]]+Tabla2[[#This Row],[Amazon Full 2025]]+Tabla2[[#This Row],[TikTok 2025]]+Tabla2[[#This Row],[Shein 2025]]</f>
        <v>574217</v>
      </c>
      <c r="AR140" s="17">
        <f>Tabla2[[#This Row],[Web + APP 2026]]+Tabla2[[#This Row],[Afiliados 2026]]+Tabla2[[#This Row],[TMK 2026]]+Tabla2[[#This Row],[WA 2026]]+Tabla2[[#This Row],[Ent. en Tienda 2026]]</f>
        <v>2700269</v>
      </c>
      <c r="AS140" s="17">
        <f>Tabla2[[#This Row],[Meli Drop 2026]]+Tabla2[[#This Row],[Meli Full 2026]]+Tabla2[[#This Row],[Amazon Drop 2026]]+Tabla2[[#This Row],[Amazon Full 2026]]+Tabla2[[#This Row],[TikTok 2026]]+Tabla2[[#This Row],[Shein 2026]]</f>
        <v>550130</v>
      </c>
      <c r="AT140" s="18">
        <f t="shared" si="53"/>
        <v>-3.4423658411692148E-2</v>
      </c>
      <c r="AU140" s="18">
        <f t="shared" si="53"/>
        <v>-4.1947556411600528E-2</v>
      </c>
      <c r="AV140" s="49">
        <f t="shared" si="54"/>
        <v>2881546.4649545201</v>
      </c>
      <c r="AW140" s="49">
        <f t="shared" si="54"/>
        <v>612311.47727909405</v>
      </c>
      <c r="AX140" s="39">
        <f t="shared" si="55"/>
        <v>0.93709021625740774</v>
      </c>
      <c r="AY140" s="39">
        <f t="shared" si="55"/>
        <v>0.89844796384446757</v>
      </c>
      <c r="AZ140" s="39">
        <f t="shared" si="56"/>
        <v>0.93031801914706025</v>
      </c>
      <c r="BA140" s="18">
        <v>2.19553871372975E-2</v>
      </c>
      <c r="BB140" s="20">
        <v>2.67646398985283E-2</v>
      </c>
      <c r="BC140" s="17">
        <f t="shared" si="57"/>
        <v>-181277.46495452011</v>
      </c>
      <c r="BD140" s="17">
        <f t="shared" si="57"/>
        <v>-62181.477279094048</v>
      </c>
      <c r="BF140" s="27">
        <f t="shared" si="44"/>
        <v>4.6222940987359802E-2</v>
      </c>
    </row>
    <row r="141" spans="1:58" ht="14.25" customHeight="1" x14ac:dyDescent="0.35">
      <c r="A141" s="19">
        <v>45796</v>
      </c>
      <c r="B141" s="17">
        <v>26117094</v>
      </c>
      <c r="C141" s="17">
        <f t="shared" si="45"/>
        <v>3957267.2068965519</v>
      </c>
      <c r="D141" s="18">
        <f>+Tabla22[[#This Row],[Share diario]]</f>
        <v>3.1795196514201887E-2</v>
      </c>
      <c r="E141" s="17">
        <f>+Tabla22[[#This Row],[Global 2026]]</f>
        <v>26723469</v>
      </c>
      <c r="F141" s="19">
        <v>46160</v>
      </c>
      <c r="G141" s="17">
        <f t="shared" si="46"/>
        <v>4314540.9203777462</v>
      </c>
      <c r="H141" s="17">
        <v>3622551.8246312998</v>
      </c>
      <c r="I141" s="17">
        <v>691989.09574644605</v>
      </c>
      <c r="J141" s="17">
        <f>+'BD MF'!J142</f>
        <v>3127249</v>
      </c>
      <c r="K141" s="17">
        <f>+Tabla22[[#This Row],[Web + APP 2026]]</f>
        <v>3987638</v>
      </c>
      <c r="L141" s="17">
        <v>20161.206896551699</v>
      </c>
      <c r="M141" s="17">
        <f>+Tabla22[[#This Row],[Afiliados 2026]]</f>
        <v>29579</v>
      </c>
      <c r="N141" s="17">
        <v>63309</v>
      </c>
      <c r="O141" s="17">
        <f>+Tabla22[[#This Row],[TMK 2026]]</f>
        <v>37318</v>
      </c>
      <c r="P141" s="17">
        <v>9654</v>
      </c>
      <c r="Q141" s="17">
        <f>+Tabla22[[#This Row],[WA 2026]]</f>
        <v>0</v>
      </c>
      <c r="R141" s="17">
        <v>164587</v>
      </c>
      <c r="S141" s="17">
        <f>+Tabla22[[#This Row],[Ent. en Tienda 2026]]</f>
        <v>99536</v>
      </c>
      <c r="T141" s="17">
        <v>398765</v>
      </c>
      <c r="U141" s="17">
        <f>+Tabla22[[#This Row],[Meli Drop 2026]]</f>
        <v>377581</v>
      </c>
      <c r="V141" s="17">
        <v>133448</v>
      </c>
      <c r="W141" s="17">
        <f>+Tabla22[[#This Row],[Meli Full 2026]]</f>
        <v>105418</v>
      </c>
      <c r="X141" s="17">
        <v>26159</v>
      </c>
      <c r="Y141" s="17">
        <f>+Tabla22[[#This Row],[Amazon Drop 2026]]</f>
        <v>19920</v>
      </c>
      <c r="Z141" s="17">
        <v>13935</v>
      </c>
      <c r="AA141" s="17">
        <f>+Tabla22[[#This Row],[Amazon Full 2026]]</f>
        <v>5481</v>
      </c>
      <c r="AB141" s="17">
        <v>0</v>
      </c>
      <c r="AC141" s="17">
        <f>+Tabla22[[#This Row],[TikTok 2026]]</f>
        <v>2264</v>
      </c>
      <c r="AD141" s="17">
        <v>0</v>
      </c>
      <c r="AE141" s="17">
        <f>+Tabla22[[#This Row],[Shein 2026]]</f>
        <v>4693</v>
      </c>
      <c r="AF141" s="17">
        <f t="shared" si="47"/>
        <v>4669428</v>
      </c>
      <c r="AG141" s="18">
        <f t="shared" si="48"/>
        <v>1.0822537289995577</v>
      </c>
      <c r="AH141" s="17">
        <f t="shared" si="49"/>
        <v>354887.07962225378</v>
      </c>
      <c r="AI141" s="20">
        <f t="shared" si="50"/>
        <v>0.17996277629732083</v>
      </c>
      <c r="AJ141" s="20">
        <f t="shared" si="42"/>
        <v>0.15152019619397747</v>
      </c>
      <c r="AK141" s="21">
        <f t="shared" si="51"/>
        <v>0.17473135692076505</v>
      </c>
      <c r="AL141" s="21">
        <f t="shared" si="43"/>
        <v>2.3217552458171697E-2</v>
      </c>
      <c r="AO141" s="38">
        <f t="shared" si="52"/>
        <v>46160</v>
      </c>
      <c r="AP141" s="17">
        <f>Tabla2[[#This Row],[Web + APP 2025]]+Tabla2[[#This Row],[Afiliados 2025]]+Tabla2[[#This Row],[TMK 2025]]+Tabla2[[#This Row],[WA 2025]]+Tabla2[[#This Row],[Ent. en Tienda 2025]]</f>
        <v>3384960.2068965519</v>
      </c>
      <c r="AQ141" s="17">
        <f>Tabla2[[#This Row],[Meli Drop 2025]]+Tabla2[[#This Row],[Meli Full 2025]]+Tabla2[[#This Row],[Amazon Drop 2025]]+Tabla2[[#This Row],[Amazon Full 2025]]+Tabla2[[#This Row],[TikTok 2025]]+Tabla2[[#This Row],[Shein 2025]]</f>
        <v>572307</v>
      </c>
      <c r="AR141" s="17">
        <f>Tabla2[[#This Row],[Web + APP 2026]]+Tabla2[[#This Row],[Afiliados 2026]]+Tabla2[[#This Row],[TMK 2026]]+Tabla2[[#This Row],[WA 2026]]+Tabla2[[#This Row],[Ent. en Tienda 2026]]</f>
        <v>4154071</v>
      </c>
      <c r="AS141" s="17">
        <f>Tabla2[[#This Row],[Meli Drop 2026]]+Tabla2[[#This Row],[Meli Full 2026]]+Tabla2[[#This Row],[Amazon Drop 2026]]+Tabla2[[#This Row],[Amazon Full 2026]]+Tabla2[[#This Row],[TikTok 2026]]+Tabla2[[#This Row],[Shein 2026]]</f>
        <v>515357</v>
      </c>
      <c r="AT141" s="18">
        <f t="shared" si="53"/>
        <v>0.22721413136156055</v>
      </c>
      <c r="AU141" s="18">
        <f t="shared" si="53"/>
        <v>-9.9509528976580719E-2</v>
      </c>
      <c r="AV141" s="49">
        <f t="shared" si="54"/>
        <v>3622551.8246312998</v>
      </c>
      <c r="AW141" s="49">
        <f t="shared" si="54"/>
        <v>691989.09574644605</v>
      </c>
      <c r="AX141" s="39">
        <f t="shared" si="55"/>
        <v>1.1467250714688666</v>
      </c>
      <c r="AY141" s="39">
        <f t="shared" si="55"/>
        <v>0.74474728455668271</v>
      </c>
      <c r="AZ141" s="39">
        <f t="shared" si="56"/>
        <v>1.0822537289995577</v>
      </c>
      <c r="BA141" s="18">
        <v>2.4812352953783898E-2</v>
      </c>
      <c r="BB141" s="20">
        <v>3.3715085233873801E-2</v>
      </c>
      <c r="BC141" s="17">
        <f t="shared" si="57"/>
        <v>531519.17536870018</v>
      </c>
      <c r="BD141" s="17">
        <f t="shared" si="57"/>
        <v>-176632.09574644605</v>
      </c>
      <c r="BF141" s="27">
        <f t="shared" si="44"/>
        <v>5.5948793753393677E-2</v>
      </c>
    </row>
    <row r="142" spans="1:58" ht="14.25" customHeight="1" x14ac:dyDescent="0.35">
      <c r="A142" s="16">
        <v>45797</v>
      </c>
      <c r="B142" s="17">
        <v>29370833</v>
      </c>
      <c r="C142" s="17">
        <f t="shared" si="45"/>
        <v>3973977.5172413792</v>
      </c>
      <c r="D142" s="18">
        <f>+Tabla22[[#This Row],[Share diario]]</f>
        <v>3.7327590749747216E-2</v>
      </c>
      <c r="E142" s="17">
        <f>+Tabla22[[#This Row],[Global 2026]]</f>
        <v>28069178</v>
      </c>
      <c r="F142" s="19">
        <v>46161</v>
      </c>
      <c r="G142" s="17">
        <f t="shared" si="46"/>
        <v>5069955.5931407074</v>
      </c>
      <c r="H142" s="17">
        <v>4380268.2390230801</v>
      </c>
      <c r="I142" s="17">
        <v>689687.35411762702</v>
      </c>
      <c r="J142" s="17">
        <f>+'BD MF'!J143</f>
        <v>3241569</v>
      </c>
      <c r="K142" s="17">
        <f>+Tabla22[[#This Row],[Web + APP 2026]]</f>
        <v>4181035</v>
      </c>
      <c r="L142" s="17">
        <v>22440.517241379301</v>
      </c>
      <c r="M142" s="17">
        <f>+Tabla22[[#This Row],[Afiliados 2026]]</f>
        <v>24160</v>
      </c>
      <c r="N142" s="17">
        <v>94697</v>
      </c>
      <c r="O142" s="17">
        <f>+Tabla22[[#This Row],[TMK 2026]]</f>
        <v>29139</v>
      </c>
      <c r="P142" s="17">
        <v>6895</v>
      </c>
      <c r="Q142" s="17">
        <f>+Tabla22[[#This Row],[WA 2026]]</f>
        <v>3705</v>
      </c>
      <c r="R142" s="17">
        <v>104955</v>
      </c>
      <c r="S142" s="17">
        <f>+Tabla22[[#This Row],[Ent. en Tienda 2026]]</f>
        <v>77060</v>
      </c>
      <c r="T142" s="17">
        <v>334212</v>
      </c>
      <c r="U142" s="17">
        <f>+Tabla22[[#This Row],[Meli Drop 2026]]</f>
        <v>350122</v>
      </c>
      <c r="V142" s="17">
        <v>131940</v>
      </c>
      <c r="W142" s="17">
        <f>+Tabla22[[#This Row],[Meli Full 2026]]</f>
        <v>81101</v>
      </c>
      <c r="X142" s="17">
        <v>26309</v>
      </c>
      <c r="Y142" s="17">
        <f>+Tabla22[[#This Row],[Amazon Drop 2026]]</f>
        <v>24716</v>
      </c>
      <c r="Z142" s="17">
        <v>10960</v>
      </c>
      <c r="AA142" s="17">
        <f>+Tabla22[[#This Row],[Amazon Full 2026]]</f>
        <v>9017</v>
      </c>
      <c r="AB142" s="17">
        <v>0</v>
      </c>
      <c r="AC142" s="17">
        <f>+Tabla22[[#This Row],[TikTok 2026]]</f>
        <v>4981</v>
      </c>
      <c r="AD142" s="17">
        <v>0</v>
      </c>
      <c r="AE142" s="17">
        <f>+Tabla22[[#This Row],[Shein 2026]]</f>
        <v>2454</v>
      </c>
      <c r="AF142" s="17">
        <f t="shared" si="47"/>
        <v>4787490</v>
      </c>
      <c r="AG142" s="18">
        <f t="shared" si="48"/>
        <v>0.94428637727658538</v>
      </c>
      <c r="AH142" s="17">
        <f t="shared" si="49"/>
        <v>-282465.59314070735</v>
      </c>
      <c r="AI142" s="20">
        <f t="shared" si="50"/>
        <v>0.2047098855565086</v>
      </c>
      <c r="AJ142" s="20">
        <f t="shared" si="42"/>
        <v>0.13530353453854643</v>
      </c>
      <c r="AK142" s="21">
        <f t="shared" si="51"/>
        <v>0.17056039190032568</v>
      </c>
      <c r="AL142" s="21">
        <f t="shared" si="43"/>
        <v>-4.4317946310886036E-2</v>
      </c>
      <c r="AO142" s="38">
        <f t="shared" si="52"/>
        <v>46161</v>
      </c>
      <c r="AP142" s="17">
        <f>Tabla2[[#This Row],[Web + APP 2025]]+Tabla2[[#This Row],[Afiliados 2025]]+Tabla2[[#This Row],[TMK 2025]]+Tabla2[[#This Row],[WA 2025]]+Tabla2[[#This Row],[Ent. en Tienda 2025]]</f>
        <v>3470556.5172413792</v>
      </c>
      <c r="AQ142" s="17">
        <f>Tabla2[[#This Row],[Meli Drop 2025]]+Tabla2[[#This Row],[Meli Full 2025]]+Tabla2[[#This Row],[Amazon Drop 2025]]+Tabla2[[#This Row],[Amazon Full 2025]]+Tabla2[[#This Row],[TikTok 2025]]+Tabla2[[#This Row],[Shein 2025]]</f>
        <v>503421</v>
      </c>
      <c r="AR142" s="17">
        <f>Tabla2[[#This Row],[Web + APP 2026]]+Tabla2[[#This Row],[Afiliados 2026]]+Tabla2[[#This Row],[TMK 2026]]+Tabla2[[#This Row],[WA 2026]]+Tabla2[[#This Row],[Ent. en Tienda 2026]]</f>
        <v>4315099</v>
      </c>
      <c r="AS142" s="17">
        <f>Tabla2[[#This Row],[Meli Drop 2026]]+Tabla2[[#This Row],[Meli Full 2026]]+Tabla2[[#This Row],[Amazon Drop 2026]]+Tabla2[[#This Row],[Amazon Full 2026]]+Tabla2[[#This Row],[TikTok 2026]]+Tabla2[[#This Row],[Shein 2026]]</f>
        <v>472391</v>
      </c>
      <c r="AT142" s="18">
        <f t="shared" si="53"/>
        <v>0.2433449732234636</v>
      </c>
      <c r="AU142" s="18">
        <f t="shared" si="53"/>
        <v>-6.1638270950159058E-2</v>
      </c>
      <c r="AV142" s="49">
        <f t="shared" si="54"/>
        <v>4380268.2390230801</v>
      </c>
      <c r="AW142" s="49">
        <f t="shared" si="54"/>
        <v>689687.35411762702</v>
      </c>
      <c r="AX142" s="39">
        <f t="shared" si="55"/>
        <v>0.98512208945504798</v>
      </c>
      <c r="AY142" s="39">
        <f t="shared" si="55"/>
        <v>0.68493498855632651</v>
      </c>
      <c r="AZ142" s="39">
        <f t="shared" si="56"/>
        <v>0.94428637727658538</v>
      </c>
      <c r="BA142" s="18">
        <v>2.4729820402254198E-2</v>
      </c>
      <c r="BB142" s="20">
        <v>4.0742127247404197E-2</v>
      </c>
      <c r="BC142" s="17">
        <f t="shared" si="57"/>
        <v>-65169.239023080096</v>
      </c>
      <c r="BD142" s="17">
        <f t="shared" si="57"/>
        <v>-217296.35411762702</v>
      </c>
      <c r="BF142" s="27">
        <f t="shared" si="44"/>
        <v>5.7363584480852464E-2</v>
      </c>
    </row>
    <row r="143" spans="1:58" ht="14.25" customHeight="1" x14ac:dyDescent="0.35">
      <c r="A143" s="19">
        <v>45798</v>
      </c>
      <c r="B143" s="17">
        <v>32364229</v>
      </c>
      <c r="C143" s="17">
        <f t="shared" si="45"/>
        <v>3532226.2413793104</v>
      </c>
      <c r="D143" s="18">
        <f>+Tabla22[[#This Row],[Share diario]]</f>
        <v>3.7485213572074183E-2</v>
      </c>
      <c r="E143" s="17">
        <f>+Tabla22[[#This Row],[Global 2026]]</f>
        <v>32746350</v>
      </c>
      <c r="F143" s="19">
        <v>46162</v>
      </c>
      <c r="G143" s="17">
        <f t="shared" si="46"/>
        <v>5085439.3611811008</v>
      </c>
      <c r="H143" s="17">
        <v>4478766.5483424496</v>
      </c>
      <c r="I143" s="17">
        <v>606672.81283865101</v>
      </c>
      <c r="J143" s="17">
        <f>+'BD MF'!J144</f>
        <v>2735434</v>
      </c>
      <c r="K143" s="17">
        <f>+Tabla22[[#This Row],[Web + APP 2026]]</f>
        <v>4079378</v>
      </c>
      <c r="L143" s="17">
        <v>22517.241379310301</v>
      </c>
      <c r="M143" s="17">
        <f>+Tabla22[[#This Row],[Afiliados 2026]]</f>
        <v>21174</v>
      </c>
      <c r="N143" s="17">
        <v>59374</v>
      </c>
      <c r="O143" s="17">
        <f>+Tabla22[[#This Row],[TMK 2026]]</f>
        <v>58712</v>
      </c>
      <c r="P143" s="17">
        <v>11701</v>
      </c>
      <c r="Q143" s="17">
        <f>+Tabla22[[#This Row],[WA 2026]]</f>
        <v>0</v>
      </c>
      <c r="R143" s="17">
        <v>96289</v>
      </c>
      <c r="S143" s="17">
        <f>+Tabla22[[#This Row],[Ent. en Tienda 2026]]</f>
        <v>84547</v>
      </c>
      <c r="T143" s="17">
        <v>374047</v>
      </c>
      <c r="U143" s="17">
        <f>+Tabla22[[#This Row],[Meli Drop 2026]]</f>
        <v>418327</v>
      </c>
      <c r="V143" s="17">
        <v>193832</v>
      </c>
      <c r="W143" s="17">
        <f>+Tabla22[[#This Row],[Meli Full 2026]]</f>
        <v>105255</v>
      </c>
      <c r="X143" s="17">
        <v>28023</v>
      </c>
      <c r="Y143" s="17">
        <f>+Tabla22[[#This Row],[Amazon Drop 2026]]</f>
        <v>23214</v>
      </c>
      <c r="Z143" s="17">
        <v>11009</v>
      </c>
      <c r="AA143" s="17">
        <f>+Tabla22[[#This Row],[Amazon Full 2026]]</f>
        <v>10330</v>
      </c>
      <c r="AB143" s="17">
        <v>0</v>
      </c>
      <c r="AC143" s="17">
        <f>+Tabla22[[#This Row],[TikTok 2026]]</f>
        <v>1645</v>
      </c>
      <c r="AD143" s="17">
        <v>0</v>
      </c>
      <c r="AE143" s="17">
        <f>+Tabla22[[#This Row],[Shein 2026]]</f>
        <v>4650</v>
      </c>
      <c r="AF143" s="17">
        <f t="shared" si="47"/>
        <v>4807232</v>
      </c>
      <c r="AG143" s="18">
        <f t="shared" si="48"/>
        <v>0.94529334804289422</v>
      </c>
      <c r="AH143" s="17">
        <f t="shared" si="49"/>
        <v>-278207.36118110083</v>
      </c>
      <c r="AI143" s="20">
        <f t="shared" si="50"/>
        <v>0.36096378643141747</v>
      </c>
      <c r="AJ143" s="20">
        <f t="shared" si="42"/>
        <v>0.109139823518716</v>
      </c>
      <c r="AK143" s="21">
        <f t="shared" si="51"/>
        <v>0.14680207107051627</v>
      </c>
      <c r="AL143" s="21">
        <f t="shared" si="43"/>
        <v>1.1806893345118752E-2</v>
      </c>
      <c r="AO143" s="38">
        <f t="shared" si="52"/>
        <v>46162</v>
      </c>
      <c r="AP143" s="17">
        <f>Tabla2[[#This Row],[Web + APP 2025]]+Tabla2[[#This Row],[Afiliados 2025]]+Tabla2[[#This Row],[TMK 2025]]+Tabla2[[#This Row],[WA 2025]]+Tabla2[[#This Row],[Ent. en Tienda 2025]]</f>
        <v>2925315.2413793104</v>
      </c>
      <c r="AQ143" s="17">
        <f>Tabla2[[#This Row],[Meli Drop 2025]]+Tabla2[[#This Row],[Meli Full 2025]]+Tabla2[[#This Row],[Amazon Drop 2025]]+Tabla2[[#This Row],[Amazon Full 2025]]+Tabla2[[#This Row],[TikTok 2025]]+Tabla2[[#This Row],[Shein 2025]]</f>
        <v>606911</v>
      </c>
      <c r="AR143" s="17">
        <f>Tabla2[[#This Row],[Web + APP 2026]]+Tabla2[[#This Row],[Afiliados 2026]]+Tabla2[[#This Row],[TMK 2026]]+Tabla2[[#This Row],[WA 2026]]+Tabla2[[#This Row],[Ent. en Tienda 2026]]</f>
        <v>4243811</v>
      </c>
      <c r="AS143" s="17">
        <f>Tabla2[[#This Row],[Meli Drop 2026]]+Tabla2[[#This Row],[Meli Full 2026]]+Tabla2[[#This Row],[Amazon Drop 2026]]+Tabla2[[#This Row],[Amazon Full 2026]]+Tabla2[[#This Row],[TikTok 2026]]+Tabla2[[#This Row],[Shein 2026]]</f>
        <v>563421</v>
      </c>
      <c r="AT143" s="18">
        <f t="shared" si="53"/>
        <v>0.45071920453913461</v>
      </c>
      <c r="AU143" s="18">
        <f t="shared" si="53"/>
        <v>-7.1657953143047348E-2</v>
      </c>
      <c r="AV143" s="49">
        <f t="shared" si="54"/>
        <v>4478766.5483424496</v>
      </c>
      <c r="AW143" s="49">
        <f t="shared" si="54"/>
        <v>606672.81283865101</v>
      </c>
      <c r="AX143" s="39">
        <f t="shared" si="55"/>
        <v>0.94754012163697066</v>
      </c>
      <c r="AY143" s="39">
        <f t="shared" si="55"/>
        <v>0.9287065252911636</v>
      </c>
      <c r="AZ143" s="39">
        <f t="shared" si="56"/>
        <v>0.94529334804289422</v>
      </c>
      <c r="BA143" s="18">
        <v>2.1753203991429802E-2</v>
      </c>
      <c r="BB143" s="20">
        <v>4.1782082767317701E-2</v>
      </c>
      <c r="BC143" s="17">
        <f t="shared" si="57"/>
        <v>-234955.54834244959</v>
      </c>
      <c r="BD143" s="17">
        <f t="shared" si="57"/>
        <v>-43251.812838651007</v>
      </c>
      <c r="BF143" s="27">
        <f t="shared" si="44"/>
        <v>4.8351486900830187E-2</v>
      </c>
    </row>
    <row r="144" spans="1:58" ht="14.25" customHeight="1" x14ac:dyDescent="0.35">
      <c r="A144" s="16">
        <v>45799</v>
      </c>
      <c r="B144" s="17">
        <v>36223027</v>
      </c>
      <c r="C144" s="17">
        <f t="shared" si="45"/>
        <v>3458995.4137931033</v>
      </c>
      <c r="D144" s="18">
        <f>+Tabla22[[#This Row],[Share diario]]</f>
        <v>3.3318320113421507E-2</v>
      </c>
      <c r="E144" s="17">
        <f>+Tabla22[[#This Row],[Global 2026]]</f>
        <v>35778618</v>
      </c>
      <c r="F144" s="19">
        <v>46163</v>
      </c>
      <c r="G144" s="17">
        <f t="shared" si="46"/>
        <v>4523339.2005073801</v>
      </c>
      <c r="H144" s="17">
        <v>3791950.55459726</v>
      </c>
      <c r="I144" s="17">
        <v>731388.64591011999</v>
      </c>
      <c r="J144" s="17">
        <f>+'BD MF'!J145</f>
        <v>2701648</v>
      </c>
      <c r="K144" s="17">
        <f>+Tabla22[[#This Row],[Web + APP 2026]]</f>
        <v>3103521</v>
      </c>
      <c r="L144" s="17">
        <v>22197.4137931035</v>
      </c>
      <c r="M144" s="17">
        <f>+Tabla22[[#This Row],[Afiliados 2026]]</f>
        <v>20693</v>
      </c>
      <c r="N144" s="17">
        <v>57018</v>
      </c>
      <c r="O144" s="17">
        <f>+Tabla22[[#This Row],[TMK 2026]]</f>
        <v>30196</v>
      </c>
      <c r="P144" s="17">
        <v>2723</v>
      </c>
      <c r="Q144" s="17">
        <f>+Tabla22[[#This Row],[WA 2026]]</f>
        <v>-383</v>
      </c>
      <c r="R144" s="17">
        <v>100755</v>
      </c>
      <c r="S144" s="17">
        <f>+Tabla22[[#This Row],[Ent. en Tienda 2026]]</f>
        <v>93118</v>
      </c>
      <c r="T144" s="17">
        <v>368227</v>
      </c>
      <c r="U144" s="17">
        <f>+Tabla22[[#This Row],[Meli Drop 2026]]</f>
        <v>304721</v>
      </c>
      <c r="V144" s="17">
        <v>184282</v>
      </c>
      <c r="W144" s="17">
        <f>+Tabla22[[#This Row],[Meli Full 2026]]</f>
        <v>98067</v>
      </c>
      <c r="X144" s="17">
        <v>13230</v>
      </c>
      <c r="Y144" s="17">
        <f>+Tabla22[[#This Row],[Amazon Drop 2026]]</f>
        <v>14821</v>
      </c>
      <c r="Z144" s="17">
        <v>8915</v>
      </c>
      <c r="AA144" s="17">
        <f>+Tabla22[[#This Row],[Amazon Full 2026]]</f>
        <v>5605</v>
      </c>
      <c r="AB144" s="17">
        <v>0</v>
      </c>
      <c r="AC144" s="17">
        <f>+Tabla22[[#This Row],[TikTok 2026]]</f>
        <v>1786</v>
      </c>
      <c r="AD144" s="17">
        <v>0</v>
      </c>
      <c r="AE144" s="17">
        <f>+Tabla22[[#This Row],[Shein 2026]]</f>
        <v>2765</v>
      </c>
      <c r="AF144" s="17">
        <f t="shared" si="47"/>
        <v>3674910</v>
      </c>
      <c r="AG144" s="18">
        <f t="shared" si="48"/>
        <v>0.81243299188966145</v>
      </c>
      <c r="AH144" s="17">
        <f t="shared" si="49"/>
        <v>-848429.20050738007</v>
      </c>
      <c r="AI144" s="20">
        <f t="shared" si="50"/>
        <v>6.2421183140606296E-2</v>
      </c>
      <c r="AJ144" s="20">
        <f t="shared" si="42"/>
        <v>9.5491616804777343E-2</v>
      </c>
      <c r="AK144" s="21">
        <f t="shared" si="51"/>
        <v>0.10271246362841628</v>
      </c>
      <c r="AL144" s="21">
        <f t="shared" si="43"/>
        <v>-1.2268687539558787E-2</v>
      </c>
      <c r="AO144" s="38">
        <f t="shared" si="52"/>
        <v>46163</v>
      </c>
      <c r="AP144" s="17">
        <f>Tabla2[[#This Row],[Web + APP 2025]]+Tabla2[[#This Row],[Afiliados 2025]]+Tabla2[[#This Row],[TMK 2025]]+Tabla2[[#This Row],[WA 2025]]+Tabla2[[#This Row],[Ent. en Tienda 2025]]</f>
        <v>2884341.4137931033</v>
      </c>
      <c r="AQ144" s="17">
        <f>Tabla2[[#This Row],[Meli Drop 2025]]+Tabla2[[#This Row],[Meli Full 2025]]+Tabla2[[#This Row],[Amazon Drop 2025]]+Tabla2[[#This Row],[Amazon Full 2025]]+Tabla2[[#This Row],[TikTok 2025]]+Tabla2[[#This Row],[Shein 2025]]</f>
        <v>574654</v>
      </c>
      <c r="AR144" s="17">
        <f>Tabla2[[#This Row],[Web + APP 2026]]+Tabla2[[#This Row],[Afiliados 2026]]+Tabla2[[#This Row],[TMK 2026]]+Tabla2[[#This Row],[WA 2026]]+Tabla2[[#This Row],[Ent. en Tienda 2026]]</f>
        <v>3247145</v>
      </c>
      <c r="AS144" s="17">
        <f>Tabla2[[#This Row],[Meli Drop 2026]]+Tabla2[[#This Row],[Meli Full 2026]]+Tabla2[[#This Row],[Amazon Drop 2026]]+Tabla2[[#This Row],[Amazon Full 2026]]+Tabla2[[#This Row],[TikTok 2026]]+Tabla2[[#This Row],[Shein 2026]]</f>
        <v>427765</v>
      </c>
      <c r="AT144" s="18">
        <f t="shared" si="53"/>
        <v>0.12578385640200107</v>
      </c>
      <c r="AU144" s="18">
        <f t="shared" si="53"/>
        <v>-0.25561294274467772</v>
      </c>
      <c r="AV144" s="49">
        <f t="shared" si="54"/>
        <v>3791950.55459726</v>
      </c>
      <c r="AW144" s="49">
        <f t="shared" si="54"/>
        <v>731388.64591011999</v>
      </c>
      <c r="AX144" s="39">
        <f t="shared" si="55"/>
        <v>0.85632577567849555</v>
      </c>
      <c r="AY144" s="39">
        <f t="shared" si="55"/>
        <v>0.58486688628820727</v>
      </c>
      <c r="AZ144" s="39">
        <f t="shared" si="56"/>
        <v>0.81243299188966145</v>
      </c>
      <c r="BA144" s="18">
        <v>2.6225085540020399E-2</v>
      </c>
      <c r="BB144" s="20">
        <v>3.5275667694059598E-2</v>
      </c>
      <c r="BC144" s="17">
        <f t="shared" si="57"/>
        <v>-544805.55459725996</v>
      </c>
      <c r="BD144" s="17">
        <f t="shared" si="57"/>
        <v>-303623.64591011999</v>
      </c>
      <c r="BF144" s="27">
        <f t="shared" si="44"/>
        <v>4.7674245193752754E-2</v>
      </c>
    </row>
    <row r="145" spans="1:58" ht="14.25" customHeight="1" x14ac:dyDescent="0.35">
      <c r="A145" s="19">
        <v>45800</v>
      </c>
      <c r="B145" s="17">
        <v>37119549</v>
      </c>
      <c r="C145" s="17">
        <f t="shared" si="45"/>
        <v>2538117.2758620689</v>
      </c>
      <c r="D145" s="18">
        <f>+Tabla22[[#This Row],[Share diario]]</f>
        <v>3.2627557973922978E-2</v>
      </c>
      <c r="E145" s="17">
        <f>+Tabla22[[#This Row],[Global 2026]]</f>
        <v>40503524</v>
      </c>
      <c r="F145" s="19">
        <v>46164</v>
      </c>
      <c r="G145" s="17">
        <f t="shared" si="46"/>
        <v>4419525.1349156173</v>
      </c>
      <c r="H145" s="17">
        <v>3727009.4103252999</v>
      </c>
      <c r="I145" s="17">
        <v>692515.724590317</v>
      </c>
      <c r="J145" s="17">
        <f>+'BD MF'!J146</f>
        <v>1819774</v>
      </c>
      <c r="K145" s="17">
        <f>+Tabla22[[#This Row],[Web + APP 2026]]</f>
        <v>2880995</v>
      </c>
      <c r="L145" s="17">
        <v>21773.275862069</v>
      </c>
      <c r="M145" s="17">
        <f>+Tabla22[[#This Row],[Afiliados 2026]]</f>
        <v>17373</v>
      </c>
      <c r="N145" s="17">
        <v>44511</v>
      </c>
      <c r="O145" s="17">
        <f>+Tabla22[[#This Row],[TMK 2026]]</f>
        <v>7090</v>
      </c>
      <c r="P145" s="17">
        <v>5468</v>
      </c>
      <c r="Q145" s="17">
        <f>+Tabla22[[#This Row],[WA 2026]]</f>
        <v>1848</v>
      </c>
      <c r="R145" s="17">
        <v>104707</v>
      </c>
      <c r="S145" s="17">
        <f>+Tabla22[[#This Row],[Ent. en Tienda 2026]]</f>
        <v>133675</v>
      </c>
      <c r="T145" s="17">
        <v>359912</v>
      </c>
      <c r="U145" s="17">
        <f>+Tabla22[[#This Row],[Meli Drop 2026]]</f>
        <v>287211</v>
      </c>
      <c r="V145" s="17">
        <v>161958</v>
      </c>
      <c r="W145" s="17">
        <f>+Tabla22[[#This Row],[Meli Full 2026]]</f>
        <v>103665</v>
      </c>
      <c r="X145" s="17">
        <v>14507</v>
      </c>
      <c r="Y145" s="17">
        <f>+Tabla22[[#This Row],[Amazon Drop 2026]]</f>
        <v>17656</v>
      </c>
      <c r="Z145" s="17">
        <v>5507</v>
      </c>
      <c r="AA145" s="17">
        <f>+Tabla22[[#This Row],[Amazon Full 2026]]</f>
        <v>10102</v>
      </c>
      <c r="AB145" s="17">
        <v>0</v>
      </c>
      <c r="AC145" s="17">
        <f>+Tabla22[[#This Row],[TikTok 2026]]</f>
        <v>0</v>
      </c>
      <c r="AD145" s="17">
        <v>0</v>
      </c>
      <c r="AE145" s="17">
        <f>+Tabla22[[#This Row],[Shein 2026]]</f>
        <v>1120</v>
      </c>
      <c r="AF145" s="17">
        <f t="shared" si="47"/>
        <v>3460735</v>
      </c>
      <c r="AG145" s="18">
        <f t="shared" si="48"/>
        <v>0.78305584748440993</v>
      </c>
      <c r="AH145" s="17">
        <f t="shared" si="49"/>
        <v>-958790.13491561729</v>
      </c>
      <c r="AI145" s="20">
        <f t="shared" si="50"/>
        <v>0.36350476509189877</v>
      </c>
      <c r="AJ145" s="20">
        <f t="shared" si="42"/>
        <v>6.8376834962678795E-2</v>
      </c>
      <c r="AK145" s="21">
        <f t="shared" si="51"/>
        <v>8.544281233405765E-2</v>
      </c>
      <c r="AL145" s="21">
        <f t="shared" si="43"/>
        <v>9.1164227237782391E-2</v>
      </c>
      <c r="AO145" s="38">
        <f t="shared" si="52"/>
        <v>46164</v>
      </c>
      <c r="AP145" s="17">
        <f>Tabla2[[#This Row],[Web + APP 2025]]+Tabla2[[#This Row],[Afiliados 2025]]+Tabla2[[#This Row],[TMK 2025]]+Tabla2[[#This Row],[WA 2025]]+Tabla2[[#This Row],[Ent. en Tienda 2025]]</f>
        <v>1996233.2758620691</v>
      </c>
      <c r="AQ145" s="17">
        <f>Tabla2[[#This Row],[Meli Drop 2025]]+Tabla2[[#This Row],[Meli Full 2025]]+Tabla2[[#This Row],[Amazon Drop 2025]]+Tabla2[[#This Row],[Amazon Full 2025]]+Tabla2[[#This Row],[TikTok 2025]]+Tabla2[[#This Row],[Shein 2025]]</f>
        <v>541884</v>
      </c>
      <c r="AR145" s="17">
        <f>Tabla2[[#This Row],[Web + APP 2026]]+Tabla2[[#This Row],[Afiliados 2026]]+Tabla2[[#This Row],[TMK 2026]]+Tabla2[[#This Row],[WA 2026]]+Tabla2[[#This Row],[Ent. en Tienda 2026]]</f>
        <v>3040981</v>
      </c>
      <c r="AS145" s="17">
        <f>Tabla2[[#This Row],[Meli Drop 2026]]+Tabla2[[#This Row],[Meli Full 2026]]+Tabla2[[#This Row],[Amazon Drop 2026]]+Tabla2[[#This Row],[Amazon Full 2026]]+Tabla2[[#This Row],[TikTok 2026]]+Tabla2[[#This Row],[Shein 2026]]</f>
        <v>419754</v>
      </c>
      <c r="AT145" s="18">
        <f t="shared" si="53"/>
        <v>0.52335953757045695</v>
      </c>
      <c r="AU145" s="18">
        <f t="shared" si="53"/>
        <v>-0.22538033970370042</v>
      </c>
      <c r="AV145" s="49">
        <f t="shared" si="54"/>
        <v>3727009.4103252999</v>
      </c>
      <c r="AW145" s="49">
        <f t="shared" si="54"/>
        <v>692515.724590317</v>
      </c>
      <c r="AX145" s="39">
        <f t="shared" si="55"/>
        <v>0.81593059346060992</v>
      </c>
      <c r="AY145" s="39">
        <f t="shared" si="55"/>
        <v>0.60612919691942135</v>
      </c>
      <c r="AZ145" s="39">
        <f t="shared" si="56"/>
        <v>0.78305584748440993</v>
      </c>
      <c r="BA145" s="18">
        <v>2.4831236055887801E-2</v>
      </c>
      <c r="BB145" s="20">
        <v>3.4783448785405603E-2</v>
      </c>
      <c r="BC145" s="17">
        <f t="shared" si="57"/>
        <v>-686028.41032529995</v>
      </c>
      <c r="BD145" s="17">
        <f t="shared" si="57"/>
        <v>-272761.724590317</v>
      </c>
      <c r="BF145" s="27">
        <f t="shared" si="44"/>
        <v>3.2995024168176755E-2</v>
      </c>
    </row>
    <row r="146" spans="1:58" ht="14.25" customHeight="1" x14ac:dyDescent="0.35">
      <c r="A146" s="16">
        <v>45801</v>
      </c>
      <c r="B146" s="17">
        <v>45670035</v>
      </c>
      <c r="C146" s="17">
        <f t="shared" si="45"/>
        <v>2062777.1379310344</v>
      </c>
      <c r="D146" s="18">
        <f>+Tabla22[[#This Row],[Share diario]]</f>
        <v>2.3941219532290038E-2</v>
      </c>
      <c r="E146" s="17">
        <f>+Tabla22[[#This Row],[Global 2026]]</f>
        <v>49237984</v>
      </c>
      <c r="F146" s="19">
        <v>46165</v>
      </c>
      <c r="G146" s="17">
        <f t="shared" si="46"/>
        <v>3232528.9287060522</v>
      </c>
      <c r="H146" s="17">
        <v>2579504.3419044302</v>
      </c>
      <c r="I146" s="17">
        <v>653024.58680162195</v>
      </c>
      <c r="J146" s="17">
        <f>+'BD MF'!J147</f>
        <v>1467747</v>
      </c>
      <c r="K146" s="17">
        <f>+Tabla22[[#This Row],[Web + APP 2026]]</f>
        <v>2252409</v>
      </c>
      <c r="L146" s="17">
        <v>21924.1379310345</v>
      </c>
      <c r="M146" s="17">
        <f>+Tabla22[[#This Row],[Afiliados 2026]]</f>
        <v>21274</v>
      </c>
      <c r="N146" s="17">
        <v>4053</v>
      </c>
      <c r="O146" s="17">
        <f>+Tabla22[[#This Row],[TMK 2026]]</f>
        <v>-3235</v>
      </c>
      <c r="P146" s="17">
        <v>-155</v>
      </c>
      <c r="Q146" s="17">
        <f>+Tabla22[[#This Row],[WA 2026]]</f>
        <v>3525</v>
      </c>
      <c r="R146" s="17">
        <v>60410</v>
      </c>
      <c r="S146" s="17">
        <f>+Tabla22[[#This Row],[Ent. en Tienda 2026]]</f>
        <v>110170</v>
      </c>
      <c r="T146" s="17">
        <v>342742</v>
      </c>
      <c r="U146" s="17">
        <f>+Tabla22[[#This Row],[Meli Drop 2026]]</f>
        <v>326147</v>
      </c>
      <c r="V146" s="17">
        <v>137614</v>
      </c>
      <c r="W146" s="17">
        <f>+Tabla22[[#This Row],[Meli Full 2026]]</f>
        <v>99899</v>
      </c>
      <c r="X146" s="17">
        <v>23925</v>
      </c>
      <c r="Y146" s="17">
        <f>+Tabla22[[#This Row],[Amazon Drop 2026]]</f>
        <v>20856</v>
      </c>
      <c r="Z146" s="17">
        <v>4517</v>
      </c>
      <c r="AA146" s="17">
        <f>+Tabla22[[#This Row],[Amazon Full 2026]]</f>
        <v>6566</v>
      </c>
      <c r="AB146" s="17">
        <v>0</v>
      </c>
      <c r="AC146" s="17">
        <f>+Tabla22[[#This Row],[TikTok 2026]]</f>
        <v>897</v>
      </c>
      <c r="AD146" s="17">
        <v>0</v>
      </c>
      <c r="AE146" s="17">
        <f>+Tabla22[[#This Row],[Shein 2026]]</f>
        <v>6159</v>
      </c>
      <c r="AF146" s="17">
        <f t="shared" si="47"/>
        <v>2844667</v>
      </c>
      <c r="AG146" s="18">
        <f t="shared" si="48"/>
        <v>0.88001285146694441</v>
      </c>
      <c r="AH146" s="17">
        <f t="shared" si="49"/>
        <v>-387861.92870605225</v>
      </c>
      <c r="AI146" s="20">
        <f t="shared" si="50"/>
        <v>0.37904718240827573</v>
      </c>
      <c r="AJ146" s="20">
        <f t="shared" si="42"/>
        <v>4.5166970814255657E-2</v>
      </c>
      <c r="AK146" s="21">
        <f t="shared" si="51"/>
        <v>5.7773831682466935E-2</v>
      </c>
      <c r="AL146" s="21">
        <f t="shared" si="43"/>
        <v>7.8124507677736599E-2</v>
      </c>
      <c r="AO146" s="38">
        <f t="shared" si="52"/>
        <v>46165</v>
      </c>
      <c r="AP146" s="17">
        <f>Tabla2[[#This Row],[Web + APP 2025]]+Tabla2[[#This Row],[Afiliados 2025]]+Tabla2[[#This Row],[TMK 2025]]+Tabla2[[#This Row],[WA 2025]]+Tabla2[[#This Row],[Ent. en Tienda 2025]]</f>
        <v>1553979.1379310344</v>
      </c>
      <c r="AQ146" s="17">
        <f>Tabla2[[#This Row],[Meli Drop 2025]]+Tabla2[[#This Row],[Meli Full 2025]]+Tabla2[[#This Row],[Amazon Drop 2025]]+Tabla2[[#This Row],[Amazon Full 2025]]+Tabla2[[#This Row],[TikTok 2025]]+Tabla2[[#This Row],[Shein 2025]]</f>
        <v>508798</v>
      </c>
      <c r="AR146" s="17">
        <f>Tabla2[[#This Row],[Web + APP 2026]]+Tabla2[[#This Row],[Afiliados 2026]]+Tabla2[[#This Row],[TMK 2026]]+Tabla2[[#This Row],[WA 2026]]+Tabla2[[#This Row],[Ent. en Tienda 2026]]</f>
        <v>2384143</v>
      </c>
      <c r="AS146" s="17">
        <f>Tabla2[[#This Row],[Meli Drop 2026]]+Tabla2[[#This Row],[Meli Full 2026]]+Tabla2[[#This Row],[Amazon Drop 2026]]+Tabla2[[#This Row],[Amazon Full 2026]]+Tabla2[[#This Row],[TikTok 2026]]+Tabla2[[#This Row],[Shein 2026]]</f>
        <v>460524</v>
      </c>
      <c r="AT146" s="18">
        <f t="shared" si="53"/>
        <v>0.53421815120005056</v>
      </c>
      <c r="AU146" s="18">
        <f t="shared" si="53"/>
        <v>-9.4878517604235824E-2</v>
      </c>
      <c r="AV146" s="49">
        <f t="shared" si="54"/>
        <v>2579504.3419044302</v>
      </c>
      <c r="AW146" s="49">
        <f t="shared" si="54"/>
        <v>653024.58680162195</v>
      </c>
      <c r="AX146" s="39">
        <f t="shared" si="55"/>
        <v>0.92426399958675931</v>
      </c>
      <c r="AY146" s="39">
        <f t="shared" si="55"/>
        <v>0.70521693869988933</v>
      </c>
      <c r="AZ146" s="39">
        <f t="shared" si="56"/>
        <v>0.88001285146694441</v>
      </c>
      <c r="BA146" s="18">
        <v>2.3415219451893999E-2</v>
      </c>
      <c r="BB146" s="20">
        <v>2.4143218851776001E-2</v>
      </c>
      <c r="BC146" s="17">
        <f t="shared" si="57"/>
        <v>-195361.34190443018</v>
      </c>
      <c r="BD146" s="17">
        <f t="shared" si="57"/>
        <v>-192500.58680162195</v>
      </c>
      <c r="BF146" s="27">
        <f t="shared" si="44"/>
        <v>2.5685164070183418E-2</v>
      </c>
    </row>
    <row r="147" spans="1:58" ht="14.25" customHeight="1" x14ac:dyDescent="0.35">
      <c r="A147" s="19">
        <v>45802</v>
      </c>
      <c r="B147" s="17">
        <v>43078411</v>
      </c>
      <c r="C147" s="17">
        <f t="shared" si="45"/>
        <v>2328991.931034483</v>
      </c>
      <c r="D147" s="18">
        <f>+Tabla22[[#This Row],[Share diario]]</f>
        <v>1.9457493463780992E-2</v>
      </c>
      <c r="E147" s="17">
        <f>+Tabla22[[#This Row],[Global 2026]]</f>
        <v>47019817</v>
      </c>
      <c r="F147" s="19">
        <v>46166</v>
      </c>
      <c r="G147" s="17">
        <f t="shared" si="46"/>
        <v>2628853.6956993621</v>
      </c>
      <c r="H147" s="17">
        <v>2015701.05839047</v>
      </c>
      <c r="I147" s="17">
        <v>613152.63730889198</v>
      </c>
      <c r="J147" s="17">
        <f>+'BD MF'!J148</f>
        <v>1619702</v>
      </c>
      <c r="K147" s="17">
        <f>+Tabla22[[#This Row],[Web + APP 2026]]</f>
        <v>2731286</v>
      </c>
      <c r="L147" s="17">
        <v>27512.931034482801</v>
      </c>
      <c r="M147" s="17">
        <f>+Tabla22[[#This Row],[Afiliados 2026]]</f>
        <v>21174</v>
      </c>
      <c r="N147" s="17">
        <v>7700</v>
      </c>
      <c r="O147" s="17">
        <f>+Tabla22[[#This Row],[TMK 2026]]</f>
        <v>0</v>
      </c>
      <c r="P147" s="17">
        <v>-1294</v>
      </c>
      <c r="Q147" s="17">
        <f>+Tabla22[[#This Row],[WA 2026]]</f>
        <v>4187</v>
      </c>
      <c r="R147" s="17">
        <v>100831</v>
      </c>
      <c r="S147" s="17">
        <f>+Tabla22[[#This Row],[Ent. en Tienda 2026]]</f>
        <v>63021</v>
      </c>
      <c r="T147" s="17">
        <v>396662</v>
      </c>
      <c r="U147" s="17">
        <f>+Tabla22[[#This Row],[Meli Drop 2026]]</f>
        <v>343565</v>
      </c>
      <c r="V147" s="17">
        <v>149588</v>
      </c>
      <c r="W147" s="17">
        <f>+Tabla22[[#This Row],[Meli Full 2026]]</f>
        <v>92128</v>
      </c>
      <c r="X147" s="17">
        <v>19789</v>
      </c>
      <c r="Y147" s="17">
        <f>+Tabla22[[#This Row],[Amazon Drop 2026]]</f>
        <v>20143</v>
      </c>
      <c r="Z147" s="17">
        <v>8501</v>
      </c>
      <c r="AA147" s="17">
        <f>+Tabla22[[#This Row],[Amazon Full 2026]]</f>
        <v>11392</v>
      </c>
      <c r="AB147" s="17">
        <v>0</v>
      </c>
      <c r="AC147" s="17">
        <f>+Tabla22[[#This Row],[TikTok 2026]]</f>
        <v>4347</v>
      </c>
      <c r="AD147" s="17">
        <v>0</v>
      </c>
      <c r="AE147" s="17">
        <f>+Tabla22[[#This Row],[Shein 2026]]</f>
        <v>6416</v>
      </c>
      <c r="AF147" s="17">
        <f t="shared" si="47"/>
        <v>3297659</v>
      </c>
      <c r="AG147" s="18">
        <f t="shared" si="48"/>
        <v>1.2544094809820574</v>
      </c>
      <c r="AH147" s="17">
        <f t="shared" si="49"/>
        <v>668805.30430063792</v>
      </c>
      <c r="AI147" s="20">
        <f t="shared" si="50"/>
        <v>0.41591688492250722</v>
      </c>
      <c r="AJ147" s="20">
        <f t="shared" si="42"/>
        <v>5.4064016684238492E-2</v>
      </c>
      <c r="AK147" s="21">
        <f t="shared" si="51"/>
        <v>7.0133386525090047E-2</v>
      </c>
      <c r="AL147" s="21">
        <f t="shared" si="43"/>
        <v>9.1493764707337943E-2</v>
      </c>
      <c r="AO147" s="38">
        <f t="shared" si="52"/>
        <v>46166</v>
      </c>
      <c r="AP147" s="17">
        <f>Tabla2[[#This Row],[Web + APP 2025]]+Tabla2[[#This Row],[Afiliados 2025]]+Tabla2[[#This Row],[TMK 2025]]+Tabla2[[#This Row],[WA 2025]]+Tabla2[[#This Row],[Ent. en Tienda 2025]]</f>
        <v>1754451.9310344828</v>
      </c>
      <c r="AQ147" s="17">
        <f>Tabla2[[#This Row],[Meli Drop 2025]]+Tabla2[[#This Row],[Meli Full 2025]]+Tabla2[[#This Row],[Amazon Drop 2025]]+Tabla2[[#This Row],[Amazon Full 2025]]+Tabla2[[#This Row],[TikTok 2025]]+Tabla2[[#This Row],[Shein 2025]]</f>
        <v>574540</v>
      </c>
      <c r="AR147" s="17">
        <f>Tabla2[[#This Row],[Web + APP 2026]]+Tabla2[[#This Row],[Afiliados 2026]]+Tabla2[[#This Row],[TMK 2026]]+Tabla2[[#This Row],[WA 2026]]+Tabla2[[#This Row],[Ent. en Tienda 2026]]</f>
        <v>2819668</v>
      </c>
      <c r="AS147" s="17">
        <f>Tabla2[[#This Row],[Meli Drop 2026]]+Tabla2[[#This Row],[Meli Full 2026]]+Tabla2[[#This Row],[Amazon Drop 2026]]+Tabla2[[#This Row],[Amazon Full 2026]]+Tabla2[[#This Row],[TikTok 2026]]+Tabla2[[#This Row],[Shein 2026]]</f>
        <v>477991</v>
      </c>
      <c r="AT147" s="18">
        <f t="shared" si="53"/>
        <v>0.60715033003921093</v>
      </c>
      <c r="AU147" s="18">
        <f t="shared" si="53"/>
        <v>-0.16804574094057856</v>
      </c>
      <c r="AV147" s="49">
        <f t="shared" si="54"/>
        <v>2015701.05839047</v>
      </c>
      <c r="AW147" s="49">
        <f t="shared" si="54"/>
        <v>613152.63730889198</v>
      </c>
      <c r="AX147" s="39">
        <f t="shared" si="55"/>
        <v>1.3988522694191046</v>
      </c>
      <c r="AY147" s="39">
        <f t="shared" si="55"/>
        <v>0.779562821580427</v>
      </c>
      <c r="AZ147" s="39">
        <f t="shared" si="56"/>
        <v>1.2544094809820574</v>
      </c>
      <c r="BA147" s="18">
        <v>2.1985548247751799E-2</v>
      </c>
      <c r="BB147" s="20">
        <v>1.8863835412917002E-2</v>
      </c>
      <c r="BC147" s="17">
        <f t="shared" si="57"/>
        <v>803966.94160953001</v>
      </c>
      <c r="BD147" s="17">
        <f t="shared" si="57"/>
        <v>-135161.63730889198</v>
      </c>
      <c r="BF147" s="27">
        <f t="shared" si="44"/>
        <v>2.8998706998002652E-2</v>
      </c>
    </row>
    <row r="148" spans="1:58" ht="14.25" customHeight="1" x14ac:dyDescent="0.35">
      <c r="A148" s="16">
        <v>45803</v>
      </c>
      <c r="B148" s="17">
        <v>26417617</v>
      </c>
      <c r="C148" s="17">
        <f t="shared" si="45"/>
        <v>4561943.8965517245</v>
      </c>
      <c r="D148" s="18">
        <f>+Tabla22[[#This Row],[Share diario]]</f>
        <v>2.1968609425618523E-2</v>
      </c>
      <c r="E148" s="17">
        <f>+Tabla22[[#This Row],[Global 2026]]</f>
        <v>28212621</v>
      </c>
      <c r="F148" s="19">
        <v>46167</v>
      </c>
      <c r="G148" s="17">
        <f t="shared" si="46"/>
        <v>5985763.6744493097</v>
      </c>
      <c r="H148" s="22">
        <v>4709965.1085457699</v>
      </c>
      <c r="I148" s="22">
        <v>1275798.56590354</v>
      </c>
      <c r="J148" s="17">
        <f>+'BD MF'!J149</f>
        <v>3445706</v>
      </c>
      <c r="K148" s="17">
        <f>+Tabla22[[#This Row],[Web + APP 2026]]</f>
        <v>4611370</v>
      </c>
      <c r="L148" s="17">
        <v>24606.896551724101</v>
      </c>
      <c r="M148" s="17">
        <f>+Tabla22[[#This Row],[Afiliados 2026]]</f>
        <v>20489</v>
      </c>
      <c r="N148" s="17">
        <v>37482</v>
      </c>
      <c r="O148" s="17">
        <f>+Tabla22[[#This Row],[TMK 2026]]</f>
        <v>30700</v>
      </c>
      <c r="P148" s="17">
        <v>8128</v>
      </c>
      <c r="Q148" s="17">
        <f>+Tabla22[[#This Row],[WA 2026]]</f>
        <v>4699</v>
      </c>
      <c r="R148" s="17">
        <v>96490</v>
      </c>
      <c r="S148" s="17">
        <f>+Tabla22[[#This Row],[Ent. en Tienda 2026]]</f>
        <v>78900</v>
      </c>
      <c r="T148" s="17">
        <v>729673</v>
      </c>
      <c r="U148" s="17">
        <f>+Tabla22[[#This Row],[Meli Drop 2026]]</f>
        <v>902125</v>
      </c>
      <c r="V148" s="17">
        <v>173445</v>
      </c>
      <c r="W148" s="17">
        <f>+Tabla22[[#This Row],[Meli Full 2026]]</f>
        <v>237474</v>
      </c>
      <c r="X148" s="17">
        <v>31849</v>
      </c>
      <c r="Y148" s="17">
        <f>+Tabla22[[#This Row],[Amazon Drop 2026]]</f>
        <v>36431</v>
      </c>
      <c r="Z148" s="17">
        <v>14564</v>
      </c>
      <c r="AA148" s="17">
        <f>+Tabla22[[#This Row],[Amazon Full 2026]]</f>
        <v>12811</v>
      </c>
      <c r="AB148" s="17">
        <v>0</v>
      </c>
      <c r="AC148" s="17">
        <f>+Tabla22[[#This Row],[TikTok 2026]]</f>
        <v>3362</v>
      </c>
      <c r="AD148" s="17">
        <v>0</v>
      </c>
      <c r="AE148" s="17">
        <f>+Tabla22[[#This Row],[Shein 2026]]</f>
        <v>7492</v>
      </c>
      <c r="AF148" s="17">
        <f t="shared" si="47"/>
        <v>5945853</v>
      </c>
      <c r="AG148" s="18">
        <f t="shared" si="48"/>
        <v>0.99333240057243299</v>
      </c>
      <c r="AH148" s="17">
        <f t="shared" si="49"/>
        <v>-39910.674449309707</v>
      </c>
      <c r="AI148" s="20">
        <f t="shared" si="50"/>
        <v>0.30335951840493758</v>
      </c>
      <c r="AJ148" s="20">
        <f t="shared" si="42"/>
        <v>0.17268567019317921</v>
      </c>
      <c r="AK148" s="21">
        <f t="shared" si="51"/>
        <v>0.21075152854461837</v>
      </c>
      <c r="AL148" s="21">
        <f t="shared" si="43"/>
        <v>6.7947233847776678E-2</v>
      </c>
      <c r="AO148" s="38">
        <f t="shared" si="52"/>
        <v>46167</v>
      </c>
      <c r="AP148" s="17">
        <f>Tabla2[[#This Row],[Web + APP 2025]]+Tabla2[[#This Row],[Afiliados 2025]]+Tabla2[[#This Row],[TMK 2025]]+Tabla2[[#This Row],[WA 2025]]+Tabla2[[#This Row],[Ent. en Tienda 2025]]</f>
        <v>3612412.8965517241</v>
      </c>
      <c r="AQ148" s="17">
        <f>Tabla2[[#This Row],[Meli Drop 2025]]+Tabla2[[#This Row],[Meli Full 2025]]+Tabla2[[#This Row],[Amazon Drop 2025]]+Tabla2[[#This Row],[Amazon Full 2025]]+Tabla2[[#This Row],[TikTok 2025]]+Tabla2[[#This Row],[Shein 2025]]</f>
        <v>949531</v>
      </c>
      <c r="AR148" s="17">
        <f>Tabla2[[#This Row],[Web + APP 2026]]+Tabla2[[#This Row],[Afiliados 2026]]+Tabla2[[#This Row],[TMK 2026]]+Tabla2[[#This Row],[WA 2026]]+Tabla2[[#This Row],[Ent. en Tienda 2026]]</f>
        <v>4746158</v>
      </c>
      <c r="AS148" s="17">
        <f>Tabla2[[#This Row],[Meli Drop 2026]]+Tabla2[[#This Row],[Meli Full 2026]]+Tabla2[[#This Row],[Amazon Drop 2026]]+Tabla2[[#This Row],[Amazon Full 2026]]+Tabla2[[#This Row],[TikTok 2026]]+Tabla2[[#This Row],[Shein 2026]]</f>
        <v>1199695</v>
      </c>
      <c r="AT148" s="18">
        <f t="shared" si="53"/>
        <v>0.31384704238280925</v>
      </c>
      <c r="AU148" s="18">
        <f t="shared" si="53"/>
        <v>0.26346059265047694</v>
      </c>
      <c r="AV148" s="49">
        <f t="shared" si="54"/>
        <v>4709965.1085457699</v>
      </c>
      <c r="AW148" s="49">
        <f t="shared" si="54"/>
        <v>1275798.56590354</v>
      </c>
      <c r="AX148" s="39">
        <f t="shared" si="55"/>
        <v>1.0076843226266288</v>
      </c>
      <c r="AY148" s="39">
        <f t="shared" si="55"/>
        <v>0.94034829013180288</v>
      </c>
      <c r="AZ148" s="39">
        <f t="shared" si="56"/>
        <v>0.99333240057243299</v>
      </c>
      <c r="BA148" s="18">
        <v>2.4826310029252001E-2</v>
      </c>
      <c r="BB148" s="20">
        <v>2.1329423075854101E-2</v>
      </c>
      <c r="BC148" s="17">
        <f t="shared" si="57"/>
        <v>36192.891454230063</v>
      </c>
      <c r="BD148" s="17">
        <f t="shared" si="57"/>
        <v>-76103.565903540002</v>
      </c>
    </row>
    <row r="149" spans="1:58" ht="14.25" customHeight="1" x14ac:dyDescent="0.35">
      <c r="A149" s="19">
        <v>45804</v>
      </c>
      <c r="B149" s="17">
        <v>31571706</v>
      </c>
      <c r="C149" s="17">
        <f t="shared" si="45"/>
        <v>5856325.5517241377</v>
      </c>
      <c r="D149" s="18">
        <f>+Tabla22[[#This Row],[Share diario]]</f>
        <v>4.3031305668978406E-2</v>
      </c>
      <c r="E149" s="17">
        <f>+Tabla22[[#This Row],[Global 2026]]</f>
        <v>31205655</v>
      </c>
      <c r="F149" s="19">
        <v>46168</v>
      </c>
      <c r="G149" s="17">
        <f t="shared" si="46"/>
        <v>7684050.9479068602</v>
      </c>
      <c r="H149" s="22">
        <v>5592266.5572508499</v>
      </c>
      <c r="I149" s="22">
        <v>2091784.39065601</v>
      </c>
      <c r="J149" s="17">
        <f>+'BD MF'!J150</f>
        <v>4079869</v>
      </c>
      <c r="K149" s="17">
        <f>+Tabla22[[#This Row],[Web + APP 2026]]</f>
        <v>4676609</v>
      </c>
      <c r="L149" s="17">
        <v>24421.551724137898</v>
      </c>
      <c r="M149" s="17">
        <f>+Tabla22[[#This Row],[Afiliados 2026]]</f>
        <v>26116</v>
      </c>
      <c r="N149" s="17">
        <v>55831</v>
      </c>
      <c r="O149" s="17">
        <f>+Tabla22[[#This Row],[TMK 2026]]</f>
        <v>76532</v>
      </c>
      <c r="P149" s="17">
        <v>10097</v>
      </c>
      <c r="Q149" s="17">
        <f>+Tabla22[[#This Row],[WA 2026]]</f>
        <v>5544</v>
      </c>
      <c r="R149" s="17">
        <v>119447</v>
      </c>
      <c r="S149" s="17">
        <f>+Tabla22[[#This Row],[Ent. en Tienda 2026]]</f>
        <v>91220</v>
      </c>
      <c r="T149" s="17">
        <v>1213906</v>
      </c>
      <c r="U149" s="17">
        <f>+Tabla22[[#This Row],[Meli Drop 2026]]</f>
        <v>1074734</v>
      </c>
      <c r="V149" s="17">
        <v>294966</v>
      </c>
      <c r="W149" s="17">
        <f>+Tabla22[[#This Row],[Meli Full 2026]]</f>
        <v>170033</v>
      </c>
      <c r="X149" s="17">
        <v>45119</v>
      </c>
      <c r="Y149" s="17">
        <f>+Tabla22[[#This Row],[Amazon Drop 2026]]</f>
        <v>28875</v>
      </c>
      <c r="Z149" s="17">
        <v>12669</v>
      </c>
      <c r="AA149" s="17">
        <f>+Tabla22[[#This Row],[Amazon Full 2026]]</f>
        <v>10958</v>
      </c>
      <c r="AB149" s="17">
        <v>0</v>
      </c>
      <c r="AC149" s="17">
        <f>+Tabla22[[#This Row],[TikTok 2026]]</f>
        <v>3874</v>
      </c>
      <c r="AD149" s="17">
        <v>0</v>
      </c>
      <c r="AE149" s="17">
        <f>+Tabla22[[#This Row],[Shein 2026]]</f>
        <v>3186</v>
      </c>
      <c r="AF149" s="17">
        <f t="shared" si="47"/>
        <v>6167681</v>
      </c>
      <c r="AG149" s="18">
        <f t="shared" si="48"/>
        <v>0.80266008669295452</v>
      </c>
      <c r="AH149" s="17">
        <f t="shared" si="49"/>
        <v>-1516369.9479068602</v>
      </c>
      <c r="AI149" s="20">
        <f t="shared" si="50"/>
        <v>5.316566600096162E-2</v>
      </c>
      <c r="AJ149" s="20">
        <f t="shared" si="42"/>
        <v>0.18549284450210379</v>
      </c>
      <c r="AK149" s="21">
        <f t="shared" si="51"/>
        <v>0.19764625994871762</v>
      </c>
      <c r="AL149" s="21">
        <f t="shared" si="43"/>
        <v>-1.1594273682898226E-2</v>
      </c>
      <c r="AO149" s="38">
        <f t="shared" si="52"/>
        <v>46168</v>
      </c>
      <c r="AP149" s="17">
        <f>Tabla2[[#This Row],[Web + APP 2025]]+Tabla2[[#This Row],[Afiliados 2025]]+Tabla2[[#This Row],[TMK 2025]]+Tabla2[[#This Row],[WA 2025]]+Tabla2[[#This Row],[Ent. en Tienda 2025]]</f>
        <v>4289665.5517241377</v>
      </c>
      <c r="AQ149" s="17">
        <f>Tabla2[[#This Row],[Meli Drop 2025]]+Tabla2[[#This Row],[Meli Full 2025]]+Tabla2[[#This Row],[Amazon Drop 2025]]+Tabla2[[#This Row],[Amazon Full 2025]]+Tabla2[[#This Row],[TikTok 2025]]+Tabla2[[#This Row],[Shein 2025]]</f>
        <v>1566660</v>
      </c>
      <c r="AR149" s="17">
        <f>Tabla2[[#This Row],[Web + APP 2026]]+Tabla2[[#This Row],[Afiliados 2026]]+Tabla2[[#This Row],[TMK 2026]]+Tabla2[[#This Row],[WA 2026]]+Tabla2[[#This Row],[Ent. en Tienda 2026]]</f>
        <v>4876021</v>
      </c>
      <c r="AS149" s="17">
        <f>Tabla2[[#This Row],[Meli Drop 2026]]+Tabla2[[#This Row],[Meli Full 2026]]+Tabla2[[#This Row],[Amazon Drop 2026]]+Tabla2[[#This Row],[Amazon Full 2026]]+Tabla2[[#This Row],[TikTok 2026]]+Tabla2[[#This Row],[Shein 2026]]</f>
        <v>1291660</v>
      </c>
      <c r="AT149" s="18">
        <f t="shared" si="53"/>
        <v>0.13669024804047702</v>
      </c>
      <c r="AU149" s="18">
        <f t="shared" si="53"/>
        <v>-0.17553266184111427</v>
      </c>
      <c r="AV149" s="49">
        <f t="shared" si="54"/>
        <v>5592266.5572508499</v>
      </c>
      <c r="AW149" s="49">
        <f t="shared" si="54"/>
        <v>2091784.39065601</v>
      </c>
      <c r="AX149" s="39">
        <f t="shared" si="55"/>
        <v>0.8719221356996697</v>
      </c>
      <c r="AY149" s="39">
        <f t="shared" si="55"/>
        <v>0.61749193930781709</v>
      </c>
      <c r="AZ149" s="39">
        <f t="shared" si="56"/>
        <v>0.80266008669295452</v>
      </c>
      <c r="BA149" s="18">
        <v>4.1029956118609101E-2</v>
      </c>
      <c r="BB149" s="20">
        <v>4.3514542933714602E-2</v>
      </c>
      <c r="BC149" s="17">
        <f t="shared" si="57"/>
        <v>-716245.5572508499</v>
      </c>
      <c r="BD149" s="17">
        <f t="shared" si="57"/>
        <v>-800124.39065601001</v>
      </c>
    </row>
    <row r="150" spans="1:58" ht="14.25" customHeight="1" x14ac:dyDescent="0.35">
      <c r="A150" s="16">
        <v>45805</v>
      </c>
      <c r="B150" s="17">
        <v>34320185</v>
      </c>
      <c r="C150" s="17">
        <f t="shared" si="45"/>
        <v>5668722.2758620689</v>
      </c>
      <c r="D150" s="18">
        <f>+Tabla22[[#This Row],[Share diario]]</f>
        <v>5.5240779068715731E-2</v>
      </c>
      <c r="E150" s="17">
        <f>+Tabla22[[#This Row],[Global 2026]]</f>
        <v>33438597</v>
      </c>
      <c r="F150" s="19">
        <v>46169</v>
      </c>
      <c r="G150" s="17">
        <f t="shared" si="46"/>
        <v>7450207.6240357403</v>
      </c>
      <c r="H150" s="22">
        <v>5010773.0662852004</v>
      </c>
      <c r="I150" s="22">
        <v>2439434.5577505399</v>
      </c>
      <c r="J150" s="17">
        <f>+'BD MF'!J151</f>
        <v>3654732</v>
      </c>
      <c r="K150" s="17">
        <f>+Tabla22[[#This Row],[Web + APP 2026]]</f>
        <v>3970639</v>
      </c>
      <c r="L150" s="17">
        <v>31223.275862069</v>
      </c>
      <c r="M150" s="17">
        <f>+Tabla22[[#This Row],[Afiliados 2026]]</f>
        <v>29228</v>
      </c>
      <c r="N150" s="17">
        <v>60377</v>
      </c>
      <c r="O150" s="17">
        <f>+Tabla22[[#This Row],[TMK 2026]]</f>
        <v>26769</v>
      </c>
      <c r="P150" s="17">
        <v>8759</v>
      </c>
      <c r="Q150" s="17">
        <f>+Tabla22[[#This Row],[WA 2026]]</f>
        <v>11997</v>
      </c>
      <c r="R150" s="17">
        <v>88703</v>
      </c>
      <c r="S150" s="17">
        <f>+Tabla22[[#This Row],[Ent. en Tienda 2026]]</f>
        <v>83615</v>
      </c>
      <c r="T150" s="17">
        <v>1382114</v>
      </c>
      <c r="U150" s="17">
        <f>+Tabla22[[#This Row],[Meli Drop 2026]]</f>
        <v>850183</v>
      </c>
      <c r="V150" s="17">
        <v>371492</v>
      </c>
      <c r="W150" s="17">
        <f>+Tabla22[[#This Row],[Meli Full 2026]]</f>
        <v>220841</v>
      </c>
      <c r="X150" s="17">
        <v>45166</v>
      </c>
      <c r="Y150" s="17">
        <f>+Tabla22[[#This Row],[Amazon Drop 2026]]</f>
        <v>23508</v>
      </c>
      <c r="Z150" s="17">
        <v>26156</v>
      </c>
      <c r="AA150" s="17">
        <f>+Tabla22[[#This Row],[Amazon Full 2026]]</f>
        <v>11096</v>
      </c>
      <c r="AB150" s="17">
        <v>0</v>
      </c>
      <c r="AC150" s="17">
        <f>+Tabla22[[#This Row],[TikTok 2026]]</f>
        <v>6482</v>
      </c>
      <c r="AD150" s="17">
        <v>0</v>
      </c>
      <c r="AE150" s="17">
        <f>+Tabla22[[#This Row],[Shein 2026]]</f>
        <v>4996</v>
      </c>
      <c r="AF150" s="17">
        <f t="shared" si="47"/>
        <v>5239354</v>
      </c>
      <c r="AG150" s="18">
        <f t="shared" si="48"/>
        <v>0.70324939443256318</v>
      </c>
      <c r="AH150" s="17">
        <f t="shared" si="49"/>
        <v>-2210853.6240357403</v>
      </c>
      <c r="AI150" s="20">
        <f t="shared" si="50"/>
        <v>-7.5743395948388192E-2</v>
      </c>
      <c r="AJ150" s="20">
        <f t="shared" si="42"/>
        <v>0.16517167013703651</v>
      </c>
      <c r="AK150" s="21">
        <f t="shared" si="51"/>
        <v>0.15668582028127556</v>
      </c>
      <c r="AL150" s="21">
        <f t="shared" si="43"/>
        <v>-2.5687157572140129E-2</v>
      </c>
      <c r="AO150" s="38">
        <f t="shared" si="52"/>
        <v>46169</v>
      </c>
      <c r="AP150" s="17">
        <f>Tabla2[[#This Row],[Web + APP 2025]]+Tabla2[[#This Row],[Afiliados 2025]]+Tabla2[[#This Row],[TMK 2025]]+Tabla2[[#This Row],[WA 2025]]+Tabla2[[#This Row],[Ent. en Tienda 2025]]</f>
        <v>3843794.2758620689</v>
      </c>
      <c r="AQ150" s="17">
        <f>Tabla2[[#This Row],[Meli Drop 2025]]+Tabla2[[#This Row],[Meli Full 2025]]+Tabla2[[#This Row],[Amazon Drop 2025]]+Tabla2[[#This Row],[Amazon Full 2025]]+Tabla2[[#This Row],[TikTok 2025]]+Tabla2[[#This Row],[Shein 2025]]</f>
        <v>1824928</v>
      </c>
      <c r="AR150" s="17">
        <f>Tabla2[[#This Row],[Web + APP 2026]]+Tabla2[[#This Row],[Afiliados 2026]]+Tabla2[[#This Row],[TMK 2026]]+Tabla2[[#This Row],[WA 2026]]+Tabla2[[#This Row],[Ent. en Tienda 2026]]</f>
        <v>4122248</v>
      </c>
      <c r="AS150" s="17">
        <f>Tabla2[[#This Row],[Meli Drop 2026]]+Tabla2[[#This Row],[Meli Full 2026]]+Tabla2[[#This Row],[Amazon Drop 2026]]+Tabla2[[#This Row],[Amazon Full 2026]]+Tabla2[[#This Row],[TikTok 2026]]+Tabla2[[#This Row],[Shein 2026]]</f>
        <v>1117106</v>
      </c>
      <c r="AT150" s="18">
        <f t="shared" si="53"/>
        <v>7.2442410845590999E-2</v>
      </c>
      <c r="AU150" s="18">
        <f t="shared" si="53"/>
        <v>-0.38786297322414909</v>
      </c>
      <c r="AV150" s="49">
        <f t="shared" si="54"/>
        <v>5010773.0662852004</v>
      </c>
      <c r="AW150" s="49">
        <f t="shared" si="54"/>
        <v>2439434.5577505399</v>
      </c>
      <c r="AX150" s="39">
        <f t="shared" si="55"/>
        <v>0.82267704912369544</v>
      </c>
      <c r="AY150" s="39">
        <f t="shared" si="55"/>
        <v>0.45793644943281847</v>
      </c>
      <c r="AZ150" s="39">
        <f t="shared" si="56"/>
        <v>0.70324939443256318</v>
      </c>
      <c r="BA150" s="18">
        <v>6.7696569203933396E-2</v>
      </c>
      <c r="BB150" s="20">
        <v>5.1608621267356797E-2</v>
      </c>
      <c r="BC150" s="17">
        <f t="shared" si="57"/>
        <v>-888525.06628520042</v>
      </c>
      <c r="BD150" s="17">
        <f t="shared" si="57"/>
        <v>-1322328.5577505399</v>
      </c>
    </row>
    <row r="151" spans="1:58" ht="14.25" customHeight="1" x14ac:dyDescent="0.35">
      <c r="A151" s="19">
        <v>45806</v>
      </c>
      <c r="B151" s="17">
        <v>37519109</v>
      </c>
      <c r="C151" s="17">
        <f t="shared" si="45"/>
        <v>4707434.3793103453</v>
      </c>
      <c r="D151" s="18">
        <f>+Tabla22[[#This Row],[Share diario]]</f>
        <v>5.3471179509583834E-2</v>
      </c>
      <c r="E151" s="17">
        <f>+Tabla22[[#This Row],[Global 2026]]</f>
        <v>37446290</v>
      </c>
      <c r="F151" s="19">
        <v>46170</v>
      </c>
      <c r="G151" s="17">
        <f t="shared" si="46"/>
        <v>6189474.6488193097</v>
      </c>
      <c r="H151" s="22">
        <v>4109781.6677747699</v>
      </c>
      <c r="I151" s="22">
        <v>2079692.9810445399</v>
      </c>
      <c r="J151" s="17">
        <f>+'BD MF'!J152</f>
        <v>2978165</v>
      </c>
      <c r="K151" s="17">
        <f>+Tabla22[[#This Row],[Web + APP 2026]]</f>
        <v>3618780</v>
      </c>
      <c r="L151" s="17">
        <v>27291.379310344801</v>
      </c>
      <c r="M151" s="17">
        <f>+Tabla22[[#This Row],[Afiliados 2026]]</f>
        <v>31726</v>
      </c>
      <c r="N151" s="17">
        <v>44594</v>
      </c>
      <c r="O151" s="17">
        <f>+Tabla22[[#This Row],[TMK 2026]]</f>
        <v>13833</v>
      </c>
      <c r="P151" s="17">
        <v>8693</v>
      </c>
      <c r="Q151" s="17">
        <f>+Tabla22[[#This Row],[WA 2026]]</f>
        <v>1382</v>
      </c>
      <c r="R151" s="17">
        <v>93162</v>
      </c>
      <c r="S151" s="17">
        <f>+Tabla22[[#This Row],[Ent. en Tienda 2026]]</f>
        <v>98131</v>
      </c>
      <c r="T151" s="17">
        <v>1195372</v>
      </c>
      <c r="U151" s="17">
        <f>+Tabla22[[#This Row],[Meli Drop 2026]]</f>
        <v>756891</v>
      </c>
      <c r="V151" s="17">
        <v>298834</v>
      </c>
      <c r="W151" s="17">
        <f>+Tabla22[[#This Row],[Meli Full 2026]]</f>
        <v>201932</v>
      </c>
      <c r="X151" s="17">
        <v>46665</v>
      </c>
      <c r="Y151" s="17">
        <f>+Tabla22[[#This Row],[Amazon Drop 2026]]</f>
        <v>33137</v>
      </c>
      <c r="Z151" s="17">
        <v>14658</v>
      </c>
      <c r="AA151" s="17">
        <f>+Tabla22[[#This Row],[Amazon Full 2026]]</f>
        <v>11225</v>
      </c>
      <c r="AB151" s="17">
        <v>0</v>
      </c>
      <c r="AC151" s="17">
        <f>+Tabla22[[#This Row],[TikTok 2026]]</f>
        <v>4271</v>
      </c>
      <c r="AD151" s="17">
        <v>0</v>
      </c>
      <c r="AE151" s="17">
        <f>+Tabla22[[#This Row],[Shein 2026]]</f>
        <v>2454</v>
      </c>
      <c r="AF151" s="17">
        <f t="shared" si="47"/>
        <v>4773762</v>
      </c>
      <c r="AG151" s="18">
        <f t="shared" si="48"/>
        <v>0.77127095122857192</v>
      </c>
      <c r="AH151" s="17">
        <f t="shared" si="49"/>
        <v>-1415712.6488193097</v>
      </c>
      <c r="AI151" s="20">
        <f t="shared" si="50"/>
        <v>1.4089972444687016E-2</v>
      </c>
      <c r="AJ151" s="20">
        <f t="shared" si="42"/>
        <v>0.12546764848041422</v>
      </c>
      <c r="AK151" s="21">
        <f t="shared" si="51"/>
        <v>0.12748290952187788</v>
      </c>
      <c r="AL151" s="21">
        <f t="shared" si="43"/>
        <v>-1.9408509940894714E-3</v>
      </c>
      <c r="AO151" s="38">
        <f t="shared" si="52"/>
        <v>46170</v>
      </c>
      <c r="AP151" s="17">
        <f>Tabla2[[#This Row],[Web + APP 2025]]+Tabla2[[#This Row],[Afiliados 2025]]+Tabla2[[#This Row],[TMK 2025]]+Tabla2[[#This Row],[WA 2025]]+Tabla2[[#This Row],[Ent. en Tienda 2025]]</f>
        <v>3151905.3793103448</v>
      </c>
      <c r="AQ151" s="17">
        <f>Tabla2[[#This Row],[Meli Drop 2025]]+Tabla2[[#This Row],[Meli Full 2025]]+Tabla2[[#This Row],[Amazon Drop 2025]]+Tabla2[[#This Row],[Amazon Full 2025]]+Tabla2[[#This Row],[TikTok 2025]]+Tabla2[[#This Row],[Shein 2025]]</f>
        <v>1555529</v>
      </c>
      <c r="AR151" s="17">
        <f>Tabla2[[#This Row],[Web + APP 2026]]+Tabla2[[#This Row],[Afiliados 2026]]+Tabla2[[#This Row],[TMK 2026]]+Tabla2[[#This Row],[WA 2026]]+Tabla2[[#This Row],[Ent. en Tienda 2026]]</f>
        <v>3763852</v>
      </c>
      <c r="AS151" s="17">
        <f>Tabla2[[#This Row],[Meli Drop 2026]]+Tabla2[[#This Row],[Meli Full 2026]]+Tabla2[[#This Row],[Amazon Drop 2026]]+Tabla2[[#This Row],[Amazon Full 2026]]+Tabla2[[#This Row],[TikTok 2026]]+Tabla2[[#This Row],[Shein 2026]]</f>
        <v>1009910</v>
      </c>
      <c r="AT151" s="18">
        <f t="shared" si="53"/>
        <v>0.19415132976598204</v>
      </c>
      <c r="AU151" s="18">
        <f t="shared" si="53"/>
        <v>-0.35076105942094293</v>
      </c>
      <c r="AV151" s="49">
        <f t="shared" si="54"/>
        <v>4109781.6677747699</v>
      </c>
      <c r="AW151" s="49">
        <f t="shared" si="54"/>
        <v>2079692.9810445399</v>
      </c>
      <c r="AX151" s="39">
        <f t="shared" si="55"/>
        <v>0.91582772620569097</v>
      </c>
      <c r="AY151" s="39">
        <f t="shared" si="55"/>
        <v>0.48560533175082693</v>
      </c>
      <c r="AZ151" s="39">
        <f t="shared" si="56"/>
        <v>0.77127095122857192</v>
      </c>
      <c r="BA151" s="18">
        <v>7.8856525758106893E-2</v>
      </c>
      <c r="BB151" s="20">
        <v>4.6353994942611498E-2</v>
      </c>
      <c r="BC151" s="17">
        <f t="shared" si="57"/>
        <v>-345929.66777476994</v>
      </c>
      <c r="BD151" s="17">
        <f t="shared" si="57"/>
        <v>-1069782.9810445399</v>
      </c>
    </row>
    <row r="152" spans="1:58" ht="14.25" customHeight="1" x14ac:dyDescent="0.35">
      <c r="A152" s="16">
        <v>45807</v>
      </c>
      <c r="B152" s="17">
        <v>43157206</v>
      </c>
      <c r="C152" s="17">
        <f t="shared" si="45"/>
        <v>4171402.2413793104</v>
      </c>
      <c r="D152" s="18">
        <f>+Tabla22[[#This Row],[Share diario]]</f>
        <v>4.4403669200289202E-2</v>
      </c>
      <c r="E152" s="17">
        <f>+Tabla22[[#This Row],[Global 2026]]</f>
        <v>42455021</v>
      </c>
      <c r="F152" s="19">
        <v>46171</v>
      </c>
      <c r="G152" s="17">
        <f t="shared" si="46"/>
        <v>5485879.74035291</v>
      </c>
      <c r="H152" s="22">
        <v>3454416.0166014698</v>
      </c>
      <c r="I152" s="22">
        <v>2031463.7237514399</v>
      </c>
      <c r="J152" s="17">
        <f>+'BD MF'!J153</f>
        <v>2453304</v>
      </c>
      <c r="K152" s="17">
        <f>+Tabla22[[#This Row],[Web + APP 2026]]</f>
        <v>2759171</v>
      </c>
      <c r="L152" s="17">
        <v>37442.241379310297</v>
      </c>
      <c r="M152" s="17">
        <f>+Tabla22[[#This Row],[Afiliados 2026]]</f>
        <v>25341</v>
      </c>
      <c r="N152" s="17">
        <v>36352</v>
      </c>
      <c r="O152" s="17">
        <f>+Tabla22[[#This Row],[TMK 2026]]</f>
        <v>29617</v>
      </c>
      <c r="P152" s="17">
        <v>7638</v>
      </c>
      <c r="Q152" s="17">
        <f>+Tabla22[[#This Row],[WA 2026]]</f>
        <v>4838</v>
      </c>
      <c r="R152" s="17">
        <v>113450</v>
      </c>
      <c r="S152" s="17">
        <f>+Tabla22[[#This Row],[Ent. en Tienda 2026]]</f>
        <v>97357</v>
      </c>
      <c r="T152" s="17">
        <v>1220737</v>
      </c>
      <c r="U152" s="17">
        <f>+Tabla22[[#This Row],[Meli Drop 2026]]</f>
        <v>753282</v>
      </c>
      <c r="V152" s="17">
        <v>249590</v>
      </c>
      <c r="W152" s="17">
        <f>+Tabla22[[#This Row],[Meli Full 2026]]</f>
        <v>172862</v>
      </c>
      <c r="X152" s="17">
        <v>38407</v>
      </c>
      <c r="Y152" s="17">
        <f>+Tabla22[[#This Row],[Amazon Drop 2026]]</f>
        <v>24477</v>
      </c>
      <c r="Z152" s="17">
        <v>14482</v>
      </c>
      <c r="AA152" s="17">
        <f>+Tabla22[[#This Row],[Amazon Full 2026]]</f>
        <v>13363</v>
      </c>
      <c r="AB152" s="17">
        <v>0</v>
      </c>
      <c r="AC152" s="17">
        <f>+Tabla22[[#This Row],[TikTok 2026]]</f>
        <v>6072</v>
      </c>
      <c r="AD152" s="17">
        <v>0</v>
      </c>
      <c r="AE152" s="17">
        <f>+Tabla22[[#This Row],[Shein 2026]]</f>
        <v>1291</v>
      </c>
      <c r="AF152" s="17">
        <f t="shared" si="47"/>
        <v>3887671</v>
      </c>
      <c r="AG152" s="18">
        <f t="shared" si="48"/>
        <v>0.70866865188515848</v>
      </c>
      <c r="AH152" s="17">
        <f t="shared" si="49"/>
        <v>-1598208.74035291</v>
      </c>
      <c r="AI152" s="20">
        <f t="shared" si="50"/>
        <v>-6.8018192675058819E-2</v>
      </c>
      <c r="AJ152" s="20">
        <f t="shared" si="42"/>
        <v>9.6655984666368586E-2</v>
      </c>
      <c r="AK152" s="21">
        <f t="shared" si="51"/>
        <v>9.1571524602472809E-2</v>
      </c>
      <c r="AL152" s="21">
        <f t="shared" si="43"/>
        <v>-1.627039989567447E-2</v>
      </c>
      <c r="AO152" s="38">
        <f t="shared" si="52"/>
        <v>46171</v>
      </c>
      <c r="AP152" s="17">
        <f>Tabla2[[#This Row],[Web + APP 2025]]+Tabla2[[#This Row],[Afiliados 2025]]+Tabla2[[#This Row],[TMK 2025]]+Tabla2[[#This Row],[WA 2025]]+Tabla2[[#This Row],[Ent. en Tienda 2025]]</f>
        <v>2648186.2413793104</v>
      </c>
      <c r="AQ152" s="17">
        <f>Tabla2[[#This Row],[Meli Drop 2025]]+Tabla2[[#This Row],[Meli Full 2025]]+Tabla2[[#This Row],[Amazon Drop 2025]]+Tabla2[[#This Row],[Amazon Full 2025]]+Tabla2[[#This Row],[TikTok 2025]]+Tabla2[[#This Row],[Shein 2025]]</f>
        <v>1523216</v>
      </c>
      <c r="AR152" s="17">
        <f>Tabla2[[#This Row],[Web + APP 2026]]+Tabla2[[#This Row],[Afiliados 2026]]+Tabla2[[#This Row],[TMK 2026]]+Tabla2[[#This Row],[WA 2026]]+Tabla2[[#This Row],[Ent. en Tienda 2026]]</f>
        <v>2916324</v>
      </c>
      <c r="AS152" s="17">
        <f>Tabla2[[#This Row],[Meli Drop 2026]]+Tabla2[[#This Row],[Meli Full 2026]]+Tabla2[[#This Row],[Amazon Drop 2026]]+Tabla2[[#This Row],[Amazon Full 2026]]+Tabla2[[#This Row],[TikTok 2026]]+Tabla2[[#This Row],[Shein 2026]]</f>
        <v>971347</v>
      </c>
      <c r="AT152" s="18">
        <f t="shared" si="53"/>
        <v>0.10125336142560348</v>
      </c>
      <c r="AU152" s="18">
        <f t="shared" si="53"/>
        <v>-0.36230514910557665</v>
      </c>
      <c r="AV152" s="49">
        <f t="shared" si="54"/>
        <v>3454416.0166014698</v>
      </c>
      <c r="AW152" s="49">
        <f t="shared" si="54"/>
        <v>2031463.7237514399</v>
      </c>
      <c r="AX152" s="39">
        <f t="shared" si="55"/>
        <v>0.84423068500856002</v>
      </c>
      <c r="AY152" s="39">
        <f t="shared" si="55"/>
        <v>0.47815128995079675</v>
      </c>
      <c r="AZ152" s="39">
        <f t="shared" si="56"/>
        <v>0.70866865188515848</v>
      </c>
      <c r="BA152" s="18">
        <v>6.7215590234783101E-2</v>
      </c>
      <c r="BB152" s="20">
        <v>3.80391660184893E-2</v>
      </c>
      <c r="BC152" s="17">
        <f t="shared" si="57"/>
        <v>-538092.01660146983</v>
      </c>
      <c r="BD152" s="17">
        <f t="shared" si="57"/>
        <v>-1060116.7237514399</v>
      </c>
    </row>
    <row r="153" spans="1:58" ht="14.25" customHeight="1" x14ac:dyDescent="0.35">
      <c r="A153" s="19">
        <v>45808</v>
      </c>
      <c r="B153" s="17">
        <v>51180118</v>
      </c>
      <c r="C153" s="17">
        <f t="shared" si="45"/>
        <v>3784028.7931034481</v>
      </c>
      <c r="D153" s="18">
        <f>+Tabla22[[#This Row],[Share diario]]</f>
        <v>3.9347455599516606E-2</v>
      </c>
      <c r="E153" s="17">
        <f>+Tabla22[[#This Row],[Global 2026]]</f>
        <v>50731319</v>
      </c>
      <c r="F153" s="19">
        <v>46172</v>
      </c>
      <c r="G153" s="17">
        <f t="shared" si="46"/>
        <v>4983598.2525027702</v>
      </c>
      <c r="H153" s="22">
        <v>3181448.1200861302</v>
      </c>
      <c r="I153" s="22">
        <v>1802150.1324166399</v>
      </c>
      <c r="J153" s="17">
        <f>+'BD MF'!J154</f>
        <v>2260895</v>
      </c>
      <c r="K153" s="17">
        <f>+Tabla22[[#This Row],[Web + APP 2026]]</f>
        <v>2444647</v>
      </c>
      <c r="L153" s="17">
        <v>34463.793103448297</v>
      </c>
      <c r="M153" s="17">
        <f>+Tabla22[[#This Row],[Afiliados 2026]]</f>
        <v>31667</v>
      </c>
      <c r="N153" s="17">
        <v>19296</v>
      </c>
      <c r="O153" s="17">
        <f>+Tabla22[[#This Row],[TMK 2026]]</f>
        <v>334</v>
      </c>
      <c r="P153" s="17">
        <v>4141</v>
      </c>
      <c r="Q153" s="17">
        <f>+Tabla22[[#This Row],[WA 2026]]</f>
        <v>732</v>
      </c>
      <c r="R153" s="17">
        <v>119066</v>
      </c>
      <c r="S153" s="17">
        <f>+Tabla22[[#This Row],[Ent. en Tienda 2026]]</f>
        <v>102241</v>
      </c>
      <c r="T153" s="17">
        <v>1010801</v>
      </c>
      <c r="U153" s="17">
        <f>+Tabla22[[#This Row],[Meli Drop 2026]]</f>
        <v>813542</v>
      </c>
      <c r="V153" s="17">
        <v>278925</v>
      </c>
      <c r="W153" s="17">
        <f>+Tabla22[[#This Row],[Meli Full 2026]]</f>
        <v>157583</v>
      </c>
      <c r="X153" s="17">
        <v>39390</v>
      </c>
      <c r="Y153" s="17">
        <f>+Tabla22[[#This Row],[Amazon Drop 2026]]</f>
        <v>22067</v>
      </c>
      <c r="Z153" s="17">
        <v>17051</v>
      </c>
      <c r="AA153" s="17">
        <f>+Tabla22[[#This Row],[Amazon Full 2026]]</f>
        <v>9771</v>
      </c>
      <c r="AB153" s="17">
        <v>0</v>
      </c>
      <c r="AC153" s="17">
        <f>+Tabla22[[#This Row],[TikTok 2026]]</f>
        <v>1250</v>
      </c>
      <c r="AD153" s="17">
        <v>0</v>
      </c>
      <c r="AE153" s="17">
        <f>+Tabla22[[#This Row],[Shein 2026]]</f>
        <v>8009</v>
      </c>
      <c r="AF153" s="17">
        <f t="shared" si="47"/>
        <v>3591843</v>
      </c>
      <c r="AG153" s="18">
        <f t="shared" si="48"/>
        <v>0.72073285566230616</v>
      </c>
      <c r="AH153" s="17">
        <f t="shared" si="49"/>
        <v>-1391755.2525027702</v>
      </c>
      <c r="AI153" s="20">
        <f t="shared" si="50"/>
        <v>-5.0788670914374334E-2</v>
      </c>
      <c r="AJ153" s="20">
        <f t="shared" si="42"/>
        <v>7.3935523030709854E-2</v>
      </c>
      <c r="AK153" s="21">
        <f t="shared" si="51"/>
        <v>7.0801293378553787E-2</v>
      </c>
      <c r="AL153" s="21">
        <f t="shared" si="43"/>
        <v>-8.7690106537073875E-3</v>
      </c>
      <c r="AO153" s="38">
        <f t="shared" si="52"/>
        <v>46172</v>
      </c>
      <c r="AP153" s="17">
        <f>Tabla2[[#This Row],[Web + APP 2025]]+Tabla2[[#This Row],[Afiliados 2025]]+Tabla2[[#This Row],[TMK 2025]]+Tabla2[[#This Row],[WA 2025]]+Tabla2[[#This Row],[Ent. en Tienda 2025]]</f>
        <v>2437861.7931034481</v>
      </c>
      <c r="AQ153" s="17">
        <f>Tabla2[[#This Row],[Meli Drop 2025]]+Tabla2[[#This Row],[Meli Full 2025]]+Tabla2[[#This Row],[Amazon Drop 2025]]+Tabla2[[#This Row],[Amazon Full 2025]]+Tabla2[[#This Row],[TikTok 2025]]+Tabla2[[#This Row],[Shein 2025]]</f>
        <v>1346167</v>
      </c>
      <c r="AR153" s="17">
        <f>Tabla2[[#This Row],[Web + APP 2026]]+Tabla2[[#This Row],[Afiliados 2026]]+Tabla2[[#This Row],[TMK 2026]]+Tabla2[[#This Row],[WA 2026]]+Tabla2[[#This Row],[Ent. en Tienda 2026]]</f>
        <v>2579621</v>
      </c>
      <c r="AS153" s="17">
        <f>Tabla2[[#This Row],[Meli Drop 2026]]+Tabla2[[#This Row],[Meli Full 2026]]+Tabla2[[#This Row],[Amazon Drop 2026]]+Tabla2[[#This Row],[Amazon Full 2026]]+Tabla2[[#This Row],[TikTok 2026]]+Tabla2[[#This Row],[Shein 2026]]</f>
        <v>1012222</v>
      </c>
      <c r="AT153" s="18">
        <f t="shared" si="53"/>
        <v>5.8148992407026201E-2</v>
      </c>
      <c r="AU153" s="18">
        <f t="shared" si="53"/>
        <v>-0.24807100456332687</v>
      </c>
      <c r="AV153" s="49">
        <f t="shared" si="54"/>
        <v>3181448.1200861302</v>
      </c>
      <c r="AW153" s="49">
        <f t="shared" si="54"/>
        <v>1802150.1324166399</v>
      </c>
      <c r="AX153" s="39">
        <f t="shared" si="55"/>
        <v>0.81083233251974662</v>
      </c>
      <c r="AY153" s="39">
        <f t="shared" si="55"/>
        <v>0.56167462510053734</v>
      </c>
      <c r="AZ153" s="39">
        <f t="shared" si="56"/>
        <v>0.72073285566230616</v>
      </c>
      <c r="BA153" s="18">
        <v>6.5819320948092494E-2</v>
      </c>
      <c r="BB153" s="20">
        <v>3.2146722096019202E-2</v>
      </c>
      <c r="BC153" s="17">
        <f t="shared" si="57"/>
        <v>-601827.12008613022</v>
      </c>
      <c r="BD153" s="17">
        <f t="shared" si="57"/>
        <v>-789928.13241663994</v>
      </c>
    </row>
    <row r="154" spans="1:58" ht="14.25" customHeight="1" x14ac:dyDescent="0.35">
      <c r="A154" s="16">
        <v>45809</v>
      </c>
      <c r="B154" s="17">
        <v>54033676</v>
      </c>
      <c r="C154" s="17">
        <f t="shared" si="45"/>
        <v>4327176.5517241377</v>
      </c>
      <c r="D154" s="18">
        <f>+Tabla22[[#This Row],[Share diario]]</f>
        <v>3.5693490176266947E-2</v>
      </c>
      <c r="E154" s="17">
        <f>+Tabla22[[#This Row],[Global 2026]]</f>
        <v>51664485</v>
      </c>
      <c r="F154" s="19">
        <v>46173</v>
      </c>
      <c r="G154" s="17">
        <f t="shared" si="46"/>
        <v>5635126.4442096399</v>
      </c>
      <c r="H154" s="22">
        <v>3688020.1859307298</v>
      </c>
      <c r="I154" s="22">
        <v>1947106.2582789101</v>
      </c>
      <c r="J154" s="17">
        <v>2641485</v>
      </c>
      <c r="K154" s="17">
        <f>+Tabla22[[#This Row],[Web + APP 2026]]</f>
        <v>2739282</v>
      </c>
      <c r="L154" s="17">
        <v>39671.551724137898</v>
      </c>
      <c r="M154" s="17">
        <f>+Tabla22[[#This Row],[Afiliados 2026]]</f>
        <v>36548</v>
      </c>
      <c r="N154" s="17">
        <v>-228</v>
      </c>
      <c r="O154" s="17">
        <f>+Tabla22[[#This Row],[TMK 2026]]</f>
        <v>7405</v>
      </c>
      <c r="P154" s="17">
        <v>1403</v>
      </c>
      <c r="Q154" s="17">
        <f>+Tabla22[[#This Row],[WA 2026]]</f>
        <v>4382</v>
      </c>
      <c r="R154" s="17">
        <v>186803</v>
      </c>
      <c r="S154" s="17">
        <f>+Tabla22[[#This Row],[Ent. en Tienda 2026]]</f>
        <v>80380</v>
      </c>
      <c r="T154" s="17">
        <v>1125600</v>
      </c>
      <c r="U154" s="17">
        <f>+Tabla22[[#This Row],[Meli Drop 2026]]</f>
        <v>1043225</v>
      </c>
      <c r="V154" s="17">
        <v>278166</v>
      </c>
      <c r="W154" s="17">
        <f>+Tabla22[[#This Row],[Meli Full 2026]]</f>
        <v>173161</v>
      </c>
      <c r="X154" s="17">
        <v>40863</v>
      </c>
      <c r="Y154" s="17">
        <f>+Tabla22[[#This Row],[Amazon Drop 2026]]</f>
        <v>23659</v>
      </c>
      <c r="Z154" s="17">
        <v>13413</v>
      </c>
      <c r="AA154" s="17">
        <f>+Tabla22[[#This Row],[Amazon Full 2026]]</f>
        <v>10923</v>
      </c>
      <c r="AB154" s="17">
        <v>0</v>
      </c>
      <c r="AC154" s="17">
        <f>+Tabla22[[#This Row],[TikTok 2026]]</f>
        <v>2086</v>
      </c>
      <c r="AD154" s="17">
        <v>0</v>
      </c>
      <c r="AE154" s="17">
        <f>+Tabla22[[#This Row],[Shein 2026]]</f>
        <v>5728</v>
      </c>
      <c r="AF154" s="17">
        <f t="shared" si="47"/>
        <v>4126779</v>
      </c>
      <c r="AG154" s="18">
        <f t="shared" si="48"/>
        <v>0.73233121578673033</v>
      </c>
      <c r="AH154" s="17">
        <f t="shared" si="49"/>
        <v>-1508347.4442096399</v>
      </c>
      <c r="AI154" s="20">
        <f t="shared" si="50"/>
        <v>-4.6311387882773225E-2</v>
      </c>
      <c r="AJ154" s="20">
        <f t="shared" si="42"/>
        <v>8.0082957001188254E-2</v>
      </c>
      <c r="AK154" s="21">
        <f t="shared" si="51"/>
        <v>7.9876514785737249E-2</v>
      </c>
      <c r="AL154" s="21">
        <f t="shared" si="43"/>
        <v>-4.3846563391319093E-2</v>
      </c>
      <c r="AO154" s="38">
        <f t="shared" si="52"/>
        <v>46173</v>
      </c>
      <c r="AP154" s="17">
        <f>Tabla2[[#This Row],[Web + APP 2025]]+Tabla2[[#This Row],[Afiliados 2025]]+Tabla2[[#This Row],[TMK 2025]]+Tabla2[[#This Row],[WA 2025]]+Tabla2[[#This Row],[Ent. en Tienda 2025]]</f>
        <v>2869134.5517241377</v>
      </c>
      <c r="AQ154" s="17">
        <f>Tabla2[[#This Row],[Meli Drop 2025]]+Tabla2[[#This Row],[Meli Full 2025]]+Tabla2[[#This Row],[Amazon Drop 2025]]+Tabla2[[#This Row],[Amazon Full 2025]]+Tabla2[[#This Row],[TikTok 2025]]+Tabla2[[#This Row],[Shein 2025]]</f>
        <v>1458042</v>
      </c>
      <c r="AR154" s="17">
        <f>Tabla2[[#This Row],[Web + APP 2026]]+Tabla2[[#This Row],[Afiliados 2026]]+Tabla2[[#This Row],[TMK 2026]]+Tabla2[[#This Row],[WA 2026]]+Tabla2[[#This Row],[Ent. en Tienda 2026]]</f>
        <v>2867997</v>
      </c>
      <c r="AS154" s="17">
        <f>Tabla2[[#This Row],[Meli Drop 2026]]+Tabla2[[#This Row],[Meli Full 2026]]+Tabla2[[#This Row],[Amazon Drop 2026]]+Tabla2[[#This Row],[Amazon Full 2026]]+Tabla2[[#This Row],[TikTok 2026]]+Tabla2[[#This Row],[Shein 2026]]</f>
        <v>1258782</v>
      </c>
      <c r="AT154" s="18">
        <f t="shared" si="53"/>
        <v>-3.9647904398698586E-4</v>
      </c>
      <c r="AU154" s="18">
        <f t="shared" si="53"/>
        <v>-0.13666272988020922</v>
      </c>
      <c r="AV154" s="49">
        <f t="shared" si="54"/>
        <v>3688020.1859307298</v>
      </c>
      <c r="AW154" s="49">
        <f t="shared" si="54"/>
        <v>1947106.2582789101</v>
      </c>
      <c r="AX154" s="39">
        <f t="shared" si="55"/>
        <v>0.77765219695407273</v>
      </c>
      <c r="AY154" s="39">
        <f t="shared" si="55"/>
        <v>0.64648860053105939</v>
      </c>
      <c r="AZ154" s="39">
        <f t="shared" si="56"/>
        <v>0.73233121578673033</v>
      </c>
      <c r="BA154" s="18">
        <v>5.8168899107369401E-2</v>
      </c>
      <c r="BB154" s="20">
        <v>2.9606252267331299E-2</v>
      </c>
      <c r="BC154" s="17">
        <f t="shared" si="57"/>
        <v>-820023.18593072984</v>
      </c>
      <c r="BD154" s="17">
        <f t="shared" si="57"/>
        <v>-688324.25827891007</v>
      </c>
    </row>
    <row r="155" spans="1:58" ht="14.25" customHeight="1" x14ac:dyDescent="0.35">
      <c r="A155" s="19">
        <v>45810</v>
      </c>
      <c r="B155" s="17">
        <v>30821255</v>
      </c>
      <c r="C155" s="17">
        <f t="shared" si="45"/>
        <v>5295147.3103448283</v>
      </c>
      <c r="D155" s="18">
        <f>+Tabla22[[#This Row],[Share diario]]</f>
        <v>3.7362092448419891E-2</v>
      </c>
      <c r="E155" s="17">
        <f>+Tabla22[[#This Row],[Global 2026]]</f>
        <v>28438618</v>
      </c>
      <c r="F155" s="19">
        <v>46174</v>
      </c>
      <c r="G155" s="17">
        <f t="shared" si="46"/>
        <v>5628230.5453892499</v>
      </c>
      <c r="H155" s="17">
        <f>+Tabla22[[#This Row],[Meta Digital]]</f>
        <v>3718237.2221329901</v>
      </c>
      <c r="I155" s="17">
        <f>+Tabla22[[#This Row],[Meta MKPlace]]</f>
        <v>1909993.32325626</v>
      </c>
      <c r="J155" s="17">
        <v>3591037</v>
      </c>
      <c r="K155" s="17">
        <f>+Tabla22[[#This Row],[Web + APP 2026]]</f>
        <v>4064668</v>
      </c>
      <c r="L155" s="17">
        <v>32404.310344827602</v>
      </c>
      <c r="M155" s="17">
        <f>+Tabla22[[#This Row],[Afiliados 2026]]</f>
        <v>29432</v>
      </c>
      <c r="N155" s="17">
        <v>47857</v>
      </c>
      <c r="O155" s="17">
        <f>+Tabla22[[#This Row],[TMK 2026]]</f>
        <v>26689</v>
      </c>
      <c r="P155" s="17">
        <v>7967</v>
      </c>
      <c r="Q155" s="17">
        <f>+Tabla22[[#This Row],[WA 2026]]</f>
        <v>10478</v>
      </c>
      <c r="R155" s="17">
        <v>133459</v>
      </c>
      <c r="S155" s="17">
        <f>+Tabla22[[#This Row],[Ent. en Tienda 2026]]</f>
        <v>92432</v>
      </c>
      <c r="T155" s="17">
        <v>1113451</v>
      </c>
      <c r="U155" s="17">
        <f>+Tabla22[[#This Row],[Meli Drop 2026]]</f>
        <v>904974</v>
      </c>
      <c r="V155" s="17">
        <v>281772</v>
      </c>
      <c r="W155" s="17">
        <f>+Tabla22[[#This Row],[Meli Full 2026]]</f>
        <v>135586</v>
      </c>
      <c r="X155" s="17">
        <v>68092</v>
      </c>
      <c r="Y155" s="17">
        <f>+Tabla22[[#This Row],[Amazon Drop 2026]]</f>
        <v>29579</v>
      </c>
      <c r="Z155" s="17">
        <v>19108</v>
      </c>
      <c r="AA155" s="17">
        <f>+Tabla22[[#This Row],[Amazon Full 2026]]</f>
        <v>10801</v>
      </c>
      <c r="AB155" s="17">
        <v>0</v>
      </c>
      <c r="AC155" s="17">
        <f>+Tabla22[[#This Row],[TikTok 2026]]</f>
        <v>8208</v>
      </c>
      <c r="AD155" s="17">
        <v>0</v>
      </c>
      <c r="AE155" s="17">
        <f>+Tabla22[[#This Row],[Shein 2026]]</f>
        <v>8913</v>
      </c>
      <c r="AF155" s="17">
        <f t="shared" si="47"/>
        <v>5321760</v>
      </c>
      <c r="AG155" s="18">
        <f t="shared" si="48"/>
        <v>0.94554762053229746</v>
      </c>
      <c r="AH155" s="17">
        <f t="shared" si="49"/>
        <v>-306470.54538924992</v>
      </c>
      <c r="AI155" s="20">
        <f t="shared" si="50"/>
        <v>5.0258638892217711E-3</v>
      </c>
      <c r="AJ155" s="20">
        <f t="shared" si="42"/>
        <v>0.17180180723805141</v>
      </c>
      <c r="AK155" s="21">
        <f t="shared" si="51"/>
        <v>0.18713145624727615</v>
      </c>
      <c r="AL155" s="21">
        <f t="shared" si="43"/>
        <v>-7.73049961787734E-2</v>
      </c>
      <c r="AO155" s="38">
        <f t="shared" si="52"/>
        <v>46174</v>
      </c>
      <c r="AP155" s="17">
        <f>Tabla2[[#This Row],[Web + APP 2025]]+Tabla2[[#This Row],[Afiliados 2025]]+Tabla2[[#This Row],[TMK 2025]]+Tabla2[[#This Row],[WA 2025]]+Tabla2[[#This Row],[Ent. en Tienda 2025]]</f>
        <v>3812724.3103448278</v>
      </c>
      <c r="AQ155" s="17">
        <f>Tabla2[[#This Row],[Meli Drop 2025]]+Tabla2[[#This Row],[Meli Full 2025]]+Tabla2[[#This Row],[Amazon Drop 2025]]+Tabla2[[#This Row],[Amazon Full 2025]]+Tabla2[[#This Row],[TikTok 2025]]+Tabla2[[#This Row],[Shein 2025]]</f>
        <v>1482423</v>
      </c>
      <c r="AR155" s="17">
        <f>Tabla2[[#This Row],[Web + APP 2026]]+Tabla2[[#This Row],[Afiliados 2026]]+Tabla2[[#This Row],[TMK 2026]]+Tabla2[[#This Row],[WA 2026]]+Tabla2[[#This Row],[Ent. en Tienda 2026]]</f>
        <v>4223699</v>
      </c>
      <c r="AS155" s="17">
        <f>Tabla2[[#This Row],[Meli Drop 2026]]+Tabla2[[#This Row],[Meli Full 2026]]+Tabla2[[#This Row],[Amazon Drop 2026]]+Tabla2[[#This Row],[Amazon Full 2026]]+Tabla2[[#This Row],[TikTok 2026]]+Tabla2[[#This Row],[Shein 2026]]</f>
        <v>1098061</v>
      </c>
      <c r="AT155" s="18">
        <f t="shared" si="53"/>
        <v>0.1077902980134442</v>
      </c>
      <c r="AU155" s="18">
        <f t="shared" si="53"/>
        <v>-0.25927957135041757</v>
      </c>
      <c r="AV155" s="49">
        <f t="shared" si="54"/>
        <v>3718237.2221329901</v>
      </c>
      <c r="AW155" s="49">
        <f t="shared" si="54"/>
        <v>1909993.32325626</v>
      </c>
      <c r="AX155" s="39">
        <f t="shared" si="55"/>
        <v>1.1359412398053099</v>
      </c>
      <c r="AY155" s="39">
        <f t="shared" si="55"/>
        <v>0.57490305679601339</v>
      </c>
      <c r="AZ155" s="39">
        <f t="shared" si="56"/>
        <v>0.94554762053229746</v>
      </c>
      <c r="BA155" s="18">
        <v>5.2045870295218302E-2</v>
      </c>
      <c r="BB155" s="20">
        <v>3.2690162870535298E-2</v>
      </c>
      <c r="BC155" s="17">
        <f t="shared" si="57"/>
        <v>505461.77786700986</v>
      </c>
      <c r="BD155" s="17">
        <f t="shared" si="57"/>
        <v>-811932.32325626002</v>
      </c>
      <c r="BE155" s="6">
        <f t="shared" ref="BE155:BE184" si="58">+SUM($AV$155:$AV$184)*BF155</f>
        <v>4897339.1534516988</v>
      </c>
      <c r="BF155" s="27">
        <f t="shared" ref="BF155:BF184" si="59">+AP155/(SUM($AP$155:$AP$184))</f>
        <v>4.2940233180753004E-2</v>
      </c>
    </row>
    <row r="156" spans="1:58" ht="14.25" customHeight="1" x14ac:dyDescent="0.35">
      <c r="A156" s="16">
        <v>45811</v>
      </c>
      <c r="B156" s="17">
        <v>35443743</v>
      </c>
      <c r="C156" s="17">
        <f t="shared" si="45"/>
        <v>6788915.6896551726</v>
      </c>
      <c r="D156" s="18">
        <f>+Tabla22[[#This Row],[Share diario]]</f>
        <v>4.5864722857891053E-2</v>
      </c>
      <c r="E156" s="17">
        <f>+Tabla22[[#This Row],[Global 2026]]</f>
        <v>32512385</v>
      </c>
      <c r="F156" s="19">
        <v>46175</v>
      </c>
      <c r="G156" s="17">
        <f t="shared" si="46"/>
        <v>6910737.6119030602</v>
      </c>
      <c r="H156" s="17">
        <f>+Tabla22[[#This Row],[Meta Digital]]</f>
        <v>4968805.8758889297</v>
      </c>
      <c r="I156" s="17">
        <f>+Tabla22[[#This Row],[Meta MKPlace]]</f>
        <v>1941931.7360141301</v>
      </c>
      <c r="J156" s="17">
        <v>4671193</v>
      </c>
      <c r="K156" s="17">
        <f>+Tabla22[[#This Row],[Web + APP 2026]]</f>
        <v>4572359</v>
      </c>
      <c r="L156" s="17">
        <v>32920.689655172398</v>
      </c>
      <c r="M156" s="17">
        <f>+Tabla22[[#This Row],[Afiliados 2026]]</f>
        <v>23766</v>
      </c>
      <c r="N156" s="17">
        <v>51815</v>
      </c>
      <c r="O156" s="17">
        <f>+Tabla22[[#This Row],[TMK 2026]]</f>
        <v>47963</v>
      </c>
      <c r="P156" s="17">
        <v>10260</v>
      </c>
      <c r="Q156" s="17">
        <f>+Tabla22[[#This Row],[WA 2026]]</f>
        <v>15476</v>
      </c>
      <c r="R156" s="17">
        <v>127803</v>
      </c>
      <c r="S156" s="17">
        <f>+Tabla22[[#This Row],[Ent. en Tienda 2026]]</f>
        <v>108290</v>
      </c>
      <c r="T156" s="17">
        <v>1389018</v>
      </c>
      <c r="U156" s="17">
        <f>+Tabla22[[#This Row],[Meli Drop 2026]]</f>
        <v>930339</v>
      </c>
      <c r="V156" s="17">
        <v>419059</v>
      </c>
      <c r="W156" s="17">
        <f>+Tabla22[[#This Row],[Meli Full 2026]]</f>
        <v>178091</v>
      </c>
      <c r="X156" s="17">
        <v>74233</v>
      </c>
      <c r="Y156" s="17">
        <f>+Tabla22[[#This Row],[Amazon Drop 2026]]</f>
        <v>32506</v>
      </c>
      <c r="Z156" s="17">
        <v>12614</v>
      </c>
      <c r="AA156" s="17">
        <f>+Tabla22[[#This Row],[Amazon Full 2026]]</f>
        <v>12255</v>
      </c>
      <c r="AB156" s="17">
        <v>0</v>
      </c>
      <c r="AC156" s="17">
        <f>+Tabla22[[#This Row],[TikTok 2026]]</f>
        <v>4331</v>
      </c>
      <c r="AD156" s="17">
        <v>0</v>
      </c>
      <c r="AE156" s="17">
        <f>+Tabla22[[#This Row],[Shein 2026]]</f>
        <v>4564</v>
      </c>
      <c r="AF156" s="17">
        <f t="shared" si="47"/>
        <v>5929940</v>
      </c>
      <c r="AG156" s="18">
        <f t="shared" si="48"/>
        <v>0.85807627680528142</v>
      </c>
      <c r="AH156" s="17">
        <f t="shared" si="49"/>
        <v>-980797.61190306023</v>
      </c>
      <c r="AI156" s="20">
        <f t="shared" si="50"/>
        <v>-0.12652619783805308</v>
      </c>
      <c r="AJ156" s="20">
        <f t="shared" si="42"/>
        <v>0.19154059687361949</v>
      </c>
      <c r="AK156" s="21">
        <f t="shared" si="51"/>
        <v>0.1823901876161961</v>
      </c>
      <c r="AL156" s="21">
        <f t="shared" si="43"/>
        <v>-8.2704527002128381E-2</v>
      </c>
      <c r="AO156" s="38">
        <f t="shared" si="52"/>
        <v>46175</v>
      </c>
      <c r="AP156" s="17">
        <f>Tabla2[[#This Row],[Web + APP 2025]]+Tabla2[[#This Row],[Afiliados 2025]]+Tabla2[[#This Row],[TMK 2025]]+Tabla2[[#This Row],[WA 2025]]+Tabla2[[#This Row],[Ent. en Tienda 2025]]</f>
        <v>4893991.6896551726</v>
      </c>
      <c r="AQ156" s="17">
        <f>Tabla2[[#This Row],[Meli Drop 2025]]+Tabla2[[#This Row],[Meli Full 2025]]+Tabla2[[#This Row],[Amazon Drop 2025]]+Tabla2[[#This Row],[Amazon Full 2025]]+Tabla2[[#This Row],[TikTok 2025]]+Tabla2[[#This Row],[Shein 2025]]</f>
        <v>1894924</v>
      </c>
      <c r="AR156" s="17">
        <f>Tabla2[[#This Row],[Web + APP 2026]]+Tabla2[[#This Row],[Afiliados 2026]]+Tabla2[[#This Row],[TMK 2026]]+Tabla2[[#This Row],[WA 2026]]+Tabla2[[#This Row],[Ent. en Tienda 2026]]</f>
        <v>4767854</v>
      </c>
      <c r="AS156" s="17">
        <f>Tabla2[[#This Row],[Meli Drop 2026]]+Tabla2[[#This Row],[Meli Full 2026]]+Tabla2[[#This Row],[Amazon Drop 2026]]+Tabla2[[#This Row],[Amazon Full 2026]]+Tabla2[[#This Row],[TikTok 2026]]+Tabla2[[#This Row],[Shein 2026]]</f>
        <v>1162086</v>
      </c>
      <c r="AT156" s="18">
        <f t="shared" si="53"/>
        <v>-2.5773989343259474E-2</v>
      </c>
      <c r="AU156" s="18">
        <f t="shared" si="53"/>
        <v>-0.38673741004916296</v>
      </c>
      <c r="AV156" s="49">
        <f t="shared" si="54"/>
        <v>4968805.8758889297</v>
      </c>
      <c r="AW156" s="49">
        <f t="shared" si="54"/>
        <v>1941931.7360141301</v>
      </c>
      <c r="AX156" s="39">
        <f t="shared" si="55"/>
        <v>0.95955730996373867</v>
      </c>
      <c r="AY156" s="39">
        <f t="shared" si="55"/>
        <v>0.59841753365914629</v>
      </c>
      <c r="AZ156" s="39">
        <f t="shared" si="56"/>
        <v>0.85807627680528142</v>
      </c>
      <c r="BA156" s="18">
        <v>5.29161678337444E-2</v>
      </c>
      <c r="BB156" s="20">
        <v>4.3441175880274803E-2</v>
      </c>
      <c r="BC156" s="17">
        <f t="shared" si="57"/>
        <v>-200951.8758889297</v>
      </c>
      <c r="BD156" s="17">
        <f t="shared" si="57"/>
        <v>-779845.73601413006</v>
      </c>
      <c r="BE156" s="6">
        <f t="shared" si="58"/>
        <v>6286197.2614662657</v>
      </c>
      <c r="BF156" s="27">
        <f t="shared" si="59"/>
        <v>5.5117844153660916E-2</v>
      </c>
    </row>
    <row r="157" spans="1:58" ht="14.25" customHeight="1" x14ac:dyDescent="0.35">
      <c r="A157" s="19">
        <v>45812</v>
      </c>
      <c r="B157" s="17">
        <v>35210999</v>
      </c>
      <c r="C157" s="17">
        <f t="shared" si="45"/>
        <v>4673886.3448275868</v>
      </c>
      <c r="D157" s="18">
        <f>+Tabla22[[#This Row],[Share diario]]</f>
        <v>5.8889586571135459E-2</v>
      </c>
      <c r="E157" s="17">
        <f>+Tabla22[[#This Row],[Global 2026]]</f>
        <v>31971655</v>
      </c>
      <c r="F157" s="19">
        <v>46176</v>
      </c>
      <c r="G157" s="17">
        <f t="shared" si="46"/>
        <v>8873325.0488210805</v>
      </c>
      <c r="H157" s="17">
        <f>+Tabla22[[#This Row],[Meta Digital]]</f>
        <v>6391028.7994139604</v>
      </c>
      <c r="I157" s="17">
        <f>+Tabla22[[#This Row],[Meta MKPlace]]</f>
        <v>2482296.24940712</v>
      </c>
      <c r="J157" s="17">
        <v>3304777</v>
      </c>
      <c r="K157" s="17">
        <f>+Tabla22[[#This Row],[Web + APP 2026]]</f>
        <v>3552563</v>
      </c>
      <c r="L157" s="17">
        <v>29785.344827586199</v>
      </c>
      <c r="M157" s="17">
        <f>+Tabla22[[#This Row],[Afiliados 2026]]</f>
        <v>26173</v>
      </c>
      <c r="N157" s="17">
        <v>42044</v>
      </c>
      <c r="O157" s="17">
        <f>+Tabla22[[#This Row],[TMK 2026]]</f>
        <v>32530</v>
      </c>
      <c r="P157" s="17">
        <v>4685</v>
      </c>
      <c r="Q157" s="17">
        <f>+Tabla22[[#This Row],[WA 2026]]</f>
        <v>6406</v>
      </c>
      <c r="R157" s="17">
        <v>147345</v>
      </c>
      <c r="S157" s="17">
        <f>+Tabla22[[#This Row],[Ent. en Tienda 2026]]</f>
        <v>121708</v>
      </c>
      <c r="T157" s="17">
        <v>792011</v>
      </c>
      <c r="U157" s="17">
        <f>+Tabla22[[#This Row],[Meli Drop 2026]]</f>
        <v>539970</v>
      </c>
      <c r="V157" s="17">
        <v>301527</v>
      </c>
      <c r="W157" s="17">
        <f>+Tabla22[[#This Row],[Meli Full 2026]]</f>
        <v>136278</v>
      </c>
      <c r="X157" s="17">
        <v>38002</v>
      </c>
      <c r="Y157" s="17">
        <f>+Tabla22[[#This Row],[Amazon Drop 2026]]</f>
        <v>35037</v>
      </c>
      <c r="Z157" s="17">
        <v>13710</v>
      </c>
      <c r="AA157" s="17">
        <f>+Tabla22[[#This Row],[Amazon Full 2026]]</f>
        <v>7759</v>
      </c>
      <c r="AB157" s="17">
        <v>0</v>
      </c>
      <c r="AC157" s="17">
        <f>+Tabla22[[#This Row],[TikTok 2026]]</f>
        <v>4912</v>
      </c>
      <c r="AD157" s="17">
        <v>0</v>
      </c>
      <c r="AE157" s="17">
        <f>+Tabla22[[#This Row],[Shein 2026]]</f>
        <v>1334</v>
      </c>
      <c r="AF157" s="17">
        <f t="shared" si="47"/>
        <v>4464670</v>
      </c>
      <c r="AG157" s="18">
        <f t="shared" si="48"/>
        <v>0.5031563675888534</v>
      </c>
      <c r="AH157" s="17">
        <f t="shared" si="49"/>
        <v>-4408655.0488210805</v>
      </c>
      <c r="AI157" s="20">
        <f t="shared" si="50"/>
        <v>-4.47628224976242E-2</v>
      </c>
      <c r="AJ157" s="20">
        <f t="shared" si="42"/>
        <v>0.13273938478222633</v>
      </c>
      <c r="AK157" s="21">
        <f t="shared" si="51"/>
        <v>0.13964463209677447</v>
      </c>
      <c r="AL157" s="21">
        <f t="shared" si="43"/>
        <v>-9.19980713980878E-2</v>
      </c>
      <c r="AO157" s="38">
        <f t="shared" si="52"/>
        <v>46176</v>
      </c>
      <c r="AP157" s="17">
        <f>Tabla2[[#This Row],[Web + APP 2025]]+Tabla2[[#This Row],[Afiliados 2025]]+Tabla2[[#This Row],[TMK 2025]]+Tabla2[[#This Row],[WA 2025]]+Tabla2[[#This Row],[Ent. en Tienda 2025]]</f>
        <v>3528636.3448275863</v>
      </c>
      <c r="AQ157" s="17">
        <f>Tabla2[[#This Row],[Meli Drop 2025]]+Tabla2[[#This Row],[Meli Full 2025]]+Tabla2[[#This Row],[Amazon Drop 2025]]+Tabla2[[#This Row],[Amazon Full 2025]]+Tabla2[[#This Row],[TikTok 2025]]+Tabla2[[#This Row],[Shein 2025]]</f>
        <v>1145250</v>
      </c>
      <c r="AR157" s="17">
        <f>Tabla2[[#This Row],[Web + APP 2026]]+Tabla2[[#This Row],[Afiliados 2026]]+Tabla2[[#This Row],[TMK 2026]]+Tabla2[[#This Row],[WA 2026]]+Tabla2[[#This Row],[Ent. en Tienda 2026]]</f>
        <v>3739380</v>
      </c>
      <c r="AS157" s="17">
        <f>Tabla2[[#This Row],[Meli Drop 2026]]+Tabla2[[#This Row],[Meli Full 2026]]+Tabla2[[#This Row],[Amazon Drop 2026]]+Tabla2[[#This Row],[Amazon Full 2026]]+Tabla2[[#This Row],[TikTok 2026]]+Tabla2[[#This Row],[Shein 2026]]</f>
        <v>725290</v>
      </c>
      <c r="AT157" s="18">
        <f t="shared" si="53"/>
        <v>5.9723823760226891E-2</v>
      </c>
      <c r="AU157" s="18">
        <f t="shared" si="53"/>
        <v>-0.36669722767954593</v>
      </c>
      <c r="AV157" s="49">
        <f t="shared" si="54"/>
        <v>6391028.7994139604</v>
      </c>
      <c r="AW157" s="49">
        <f t="shared" si="54"/>
        <v>2482296.24940712</v>
      </c>
      <c r="AX157" s="39">
        <f t="shared" si="55"/>
        <v>0.58509828657678564</v>
      </c>
      <c r="AY157" s="39">
        <f t="shared" si="55"/>
        <v>0.29218510891809579</v>
      </c>
      <c r="AZ157" s="39">
        <f t="shared" si="56"/>
        <v>0.5031563675888534</v>
      </c>
      <c r="BA157" s="18">
        <v>6.7640691230634098E-2</v>
      </c>
      <c r="BB157" s="20">
        <v>5.5760851412749002E-2</v>
      </c>
      <c r="BC157" s="17">
        <f t="shared" si="57"/>
        <v>-2651648.7994139604</v>
      </c>
      <c r="BD157" s="17">
        <f t="shared" si="57"/>
        <v>-1757006.24940712</v>
      </c>
      <c r="BE157" s="6">
        <f t="shared" si="58"/>
        <v>4532436.0019762143</v>
      </c>
      <c r="BF157" s="27">
        <f t="shared" si="59"/>
        <v>3.9740735265297172E-2</v>
      </c>
    </row>
    <row r="158" spans="1:58" ht="14.25" customHeight="1" x14ac:dyDescent="0.35">
      <c r="A158" s="16">
        <v>45813</v>
      </c>
      <c r="B158" s="17">
        <v>38609736</v>
      </c>
      <c r="C158" s="17">
        <f t="shared" si="45"/>
        <v>3575822.1724137929</v>
      </c>
      <c r="D158" s="18">
        <f>+Tabla22[[#This Row],[Share diario]]</f>
        <v>4.0488528709397613E-2</v>
      </c>
      <c r="E158" s="17">
        <f>+Tabla22[[#This Row],[Global 2026]]</f>
        <v>34179408</v>
      </c>
      <c r="F158" s="19">
        <v>46177</v>
      </c>
      <c r="G158" s="17">
        <f t="shared" si="46"/>
        <v>6101558.7720924998</v>
      </c>
      <c r="H158" s="17">
        <f>+Tabla22[[#This Row],[Meta Digital]]</f>
        <v>4601314.02368386</v>
      </c>
      <c r="I158" s="17">
        <f>+Tabla22[[#This Row],[Meta MKPlace]]</f>
        <v>1500244.74840864</v>
      </c>
      <c r="J158" s="17">
        <v>2405203</v>
      </c>
      <c r="K158" s="17">
        <f>+Tabla22[[#This Row],[Web + APP 2026]]</f>
        <v>2797805</v>
      </c>
      <c r="L158" s="17">
        <v>24530.172413793101</v>
      </c>
      <c r="M158" s="17">
        <f>+Tabla22[[#This Row],[Afiliados 2026]]</f>
        <v>20815</v>
      </c>
      <c r="N158" s="17">
        <v>28287</v>
      </c>
      <c r="O158" s="17">
        <f>+Tabla22[[#This Row],[TMK 2026]]</f>
        <v>73509</v>
      </c>
      <c r="P158" s="17">
        <v>7601</v>
      </c>
      <c r="Q158" s="17">
        <f>+Tabla22[[#This Row],[WA 2026]]</f>
        <v>4322</v>
      </c>
      <c r="R158" s="17">
        <v>173866</v>
      </c>
      <c r="S158" s="17">
        <f>+Tabla22[[#This Row],[Ent. en Tienda 2026]]</f>
        <v>88544</v>
      </c>
      <c r="T158" s="17">
        <v>649458</v>
      </c>
      <c r="U158" s="17">
        <f>+Tabla22[[#This Row],[Meli Drop 2026]]</f>
        <v>330252</v>
      </c>
      <c r="V158" s="17">
        <v>251407</v>
      </c>
      <c r="W158" s="17">
        <f>+Tabla22[[#This Row],[Meli Full 2026]]</f>
        <v>176072</v>
      </c>
      <c r="X158" s="17">
        <v>22490</v>
      </c>
      <c r="Y158" s="17">
        <f>+Tabla22[[#This Row],[Amazon Drop 2026]]</f>
        <v>20525</v>
      </c>
      <c r="Z158" s="17">
        <v>12980</v>
      </c>
      <c r="AA158" s="17">
        <f>+Tabla22[[#This Row],[Amazon Full 2026]]</f>
        <v>5500</v>
      </c>
      <c r="AB158" s="17">
        <v>0</v>
      </c>
      <c r="AC158" s="17">
        <f>+Tabla22[[#This Row],[TikTok 2026]]</f>
        <v>5098</v>
      </c>
      <c r="AD158" s="17">
        <v>0</v>
      </c>
      <c r="AE158" s="17">
        <f>+Tabla22[[#This Row],[Shein 2026]]</f>
        <v>5081</v>
      </c>
      <c r="AF158" s="17">
        <f t="shared" si="47"/>
        <v>3527523</v>
      </c>
      <c r="AG158" s="18">
        <f t="shared" si="48"/>
        <v>0.57813472454519244</v>
      </c>
      <c r="AH158" s="17">
        <f t="shared" si="49"/>
        <v>-2574035.7720924998</v>
      </c>
      <c r="AI158" s="20">
        <f t="shared" si="50"/>
        <v>-1.350715166609906E-2</v>
      </c>
      <c r="AJ158" s="20">
        <f t="shared" si="42"/>
        <v>9.2614520141080292E-2</v>
      </c>
      <c r="AK158" s="21">
        <f t="shared" si="51"/>
        <v>0.10320608829737483</v>
      </c>
      <c r="AL158" s="21">
        <f t="shared" si="43"/>
        <v>-0.11474639453634183</v>
      </c>
      <c r="AO158" s="38">
        <f t="shared" si="52"/>
        <v>46177</v>
      </c>
      <c r="AP158" s="17">
        <f>Tabla2[[#This Row],[Web + APP 2025]]+Tabla2[[#This Row],[Afiliados 2025]]+Tabla2[[#This Row],[TMK 2025]]+Tabla2[[#This Row],[WA 2025]]+Tabla2[[#This Row],[Ent. en Tienda 2025]]</f>
        <v>2639487.1724137929</v>
      </c>
      <c r="AQ158" s="17">
        <f>Tabla2[[#This Row],[Meli Drop 2025]]+Tabla2[[#This Row],[Meli Full 2025]]+Tabla2[[#This Row],[Amazon Drop 2025]]+Tabla2[[#This Row],[Amazon Full 2025]]+Tabla2[[#This Row],[TikTok 2025]]+Tabla2[[#This Row],[Shein 2025]]</f>
        <v>936335</v>
      </c>
      <c r="AR158" s="17">
        <f>Tabla2[[#This Row],[Web + APP 2026]]+Tabla2[[#This Row],[Afiliados 2026]]+Tabla2[[#This Row],[TMK 2026]]+Tabla2[[#This Row],[WA 2026]]+Tabla2[[#This Row],[Ent. en Tienda 2026]]</f>
        <v>2984995</v>
      </c>
      <c r="AS158" s="17">
        <f>Tabla2[[#This Row],[Meli Drop 2026]]+Tabla2[[#This Row],[Meli Full 2026]]+Tabla2[[#This Row],[Amazon Drop 2026]]+Tabla2[[#This Row],[Amazon Full 2026]]+Tabla2[[#This Row],[TikTok 2026]]+Tabla2[[#This Row],[Shein 2026]]</f>
        <v>542528</v>
      </c>
      <c r="AT158" s="18">
        <f t="shared" si="53"/>
        <v>0.13089960474035656</v>
      </c>
      <c r="AU158" s="18">
        <f t="shared" si="53"/>
        <v>-0.42058344502768774</v>
      </c>
      <c r="AV158" s="49">
        <f t="shared" si="54"/>
        <v>4601314.02368386</v>
      </c>
      <c r="AW158" s="49">
        <f t="shared" si="54"/>
        <v>1500244.74840864</v>
      </c>
      <c r="AX158" s="39">
        <f t="shared" si="55"/>
        <v>0.64872664300581295</v>
      </c>
      <c r="AY158" s="39">
        <f t="shared" si="55"/>
        <v>0.36162632835440861</v>
      </c>
      <c r="AZ158" s="39">
        <f t="shared" si="56"/>
        <v>0.57813472454519244</v>
      </c>
      <c r="BA158" s="18">
        <v>4.0880532217589603E-2</v>
      </c>
      <c r="BB158" s="20">
        <v>4.0204352477643902E-2</v>
      </c>
      <c r="BC158" s="17">
        <f t="shared" si="57"/>
        <v>-1616319.02368386</v>
      </c>
      <c r="BD158" s="17">
        <f t="shared" si="57"/>
        <v>-957716.74840864004</v>
      </c>
      <c r="BE158" s="6">
        <f t="shared" si="58"/>
        <v>3390348.4286611057</v>
      </c>
      <c r="BF158" s="27">
        <f t="shared" si="59"/>
        <v>2.9726826656083102E-2</v>
      </c>
    </row>
    <row r="159" spans="1:58" ht="14.25" customHeight="1" x14ac:dyDescent="0.35">
      <c r="A159" s="19">
        <v>45814</v>
      </c>
      <c r="B159" s="17">
        <v>40369746</v>
      </c>
      <c r="C159" s="17">
        <f t="shared" si="45"/>
        <v>3043546.4827586208</v>
      </c>
      <c r="D159" s="18">
        <f>+Tabla22[[#This Row],[Share diario]]</f>
        <v>3.0947521444187404E-2</v>
      </c>
      <c r="E159" s="17">
        <f>+Tabla22[[#This Row],[Global 2026]]</f>
        <v>36164915</v>
      </c>
      <c r="F159" s="19">
        <v>46178</v>
      </c>
      <c r="G159" s="17">
        <f t="shared" si="46"/>
        <v>4663412.6250081202</v>
      </c>
      <c r="H159" s="17">
        <f>+Tabla22[[#This Row],[Meta Digital]]</f>
        <v>3436840.55209722</v>
      </c>
      <c r="I159" s="17">
        <f>+Tabla22[[#This Row],[Meta MKPlace]]</f>
        <v>1226572.0729109</v>
      </c>
      <c r="J159" s="17">
        <v>2001508</v>
      </c>
      <c r="K159" s="17">
        <f>+Tabla22[[#This Row],[Web + APP 2026]]</f>
        <v>2265727</v>
      </c>
      <c r="L159" s="17">
        <v>24459.482758620699</v>
      </c>
      <c r="M159" s="17">
        <f>+Tabla22[[#This Row],[Afiliados 2026]]</f>
        <v>32888</v>
      </c>
      <c r="N159" s="17">
        <v>72867</v>
      </c>
      <c r="O159" s="17">
        <f>+Tabla22[[#This Row],[TMK 2026]]</f>
        <v>13246</v>
      </c>
      <c r="P159" s="17">
        <v>5878</v>
      </c>
      <c r="Q159" s="17">
        <f>+Tabla22[[#This Row],[WA 2026]]</f>
        <v>5193</v>
      </c>
      <c r="R159" s="17">
        <v>128752</v>
      </c>
      <c r="S159" s="17">
        <f>+Tabla22[[#This Row],[Ent. en Tienda 2026]]</f>
        <v>99255</v>
      </c>
      <c r="T159" s="17">
        <v>599700</v>
      </c>
      <c r="U159" s="17">
        <f>+Tabla22[[#This Row],[Meli Drop 2026]]</f>
        <v>351624</v>
      </c>
      <c r="V159" s="17">
        <v>181701</v>
      </c>
      <c r="W159" s="17">
        <f>+Tabla22[[#This Row],[Meli Full 2026]]</f>
        <v>180239</v>
      </c>
      <c r="X159" s="17">
        <v>19333</v>
      </c>
      <c r="Y159" s="17">
        <f>+Tabla22[[#This Row],[Amazon Drop 2026]]</f>
        <v>11727</v>
      </c>
      <c r="Z159" s="17">
        <v>9348</v>
      </c>
      <c r="AA159" s="17">
        <f>+Tabla22[[#This Row],[Amazon Full 2026]]</f>
        <v>6281</v>
      </c>
      <c r="AB159" s="17">
        <v>0</v>
      </c>
      <c r="AC159" s="17">
        <f>+Tabla22[[#This Row],[TikTok 2026]]</f>
        <v>4449</v>
      </c>
      <c r="AD159" s="17">
        <v>0</v>
      </c>
      <c r="AE159" s="17">
        <f>+Tabla22[[#This Row],[Shein 2026]]</f>
        <v>1291</v>
      </c>
      <c r="AF159" s="17">
        <f t="shared" si="47"/>
        <v>2971920</v>
      </c>
      <c r="AG159" s="18">
        <f t="shared" si="48"/>
        <v>0.63728437497954094</v>
      </c>
      <c r="AH159" s="17">
        <f t="shared" si="49"/>
        <v>-1691492.6250081202</v>
      </c>
      <c r="AI159" s="20">
        <f t="shared" si="50"/>
        <v>-2.3533888233472799E-2</v>
      </c>
      <c r="AJ159" s="20">
        <f t="shared" si="42"/>
        <v>7.5391766962284598E-2</v>
      </c>
      <c r="AK159" s="21">
        <f t="shared" si="51"/>
        <v>8.2176883313565097E-2</v>
      </c>
      <c r="AL159" s="21">
        <f t="shared" si="43"/>
        <v>-0.10415797513316039</v>
      </c>
      <c r="AO159" s="38">
        <f t="shared" si="52"/>
        <v>46178</v>
      </c>
      <c r="AP159" s="17">
        <f>Tabla2[[#This Row],[Web + APP 2025]]+Tabla2[[#This Row],[Afiliados 2025]]+Tabla2[[#This Row],[TMK 2025]]+Tabla2[[#This Row],[WA 2025]]+Tabla2[[#This Row],[Ent. en Tienda 2025]]</f>
        <v>2233464.4827586208</v>
      </c>
      <c r="AQ159" s="17">
        <f>Tabla2[[#This Row],[Meli Drop 2025]]+Tabla2[[#This Row],[Meli Full 2025]]+Tabla2[[#This Row],[Amazon Drop 2025]]+Tabla2[[#This Row],[Amazon Full 2025]]+Tabla2[[#This Row],[TikTok 2025]]+Tabla2[[#This Row],[Shein 2025]]</f>
        <v>810082</v>
      </c>
      <c r="AR159" s="17">
        <f>Tabla2[[#This Row],[Web + APP 2026]]+Tabla2[[#This Row],[Afiliados 2026]]+Tabla2[[#This Row],[TMK 2026]]+Tabla2[[#This Row],[WA 2026]]+Tabla2[[#This Row],[Ent. en Tienda 2026]]</f>
        <v>2416309</v>
      </c>
      <c r="AS159" s="17">
        <f>Tabla2[[#This Row],[Meli Drop 2026]]+Tabla2[[#This Row],[Meli Full 2026]]+Tabla2[[#This Row],[Amazon Drop 2026]]+Tabla2[[#This Row],[Amazon Full 2026]]+Tabla2[[#This Row],[TikTok 2026]]+Tabla2[[#This Row],[Shein 2026]]</f>
        <v>555611</v>
      </c>
      <c r="AT159" s="18">
        <f t="shared" si="53"/>
        <v>8.1865871901191989E-2</v>
      </c>
      <c r="AU159" s="18">
        <f t="shared" si="53"/>
        <v>-0.31412992758757752</v>
      </c>
      <c r="AV159" s="49">
        <f t="shared" si="54"/>
        <v>3436840.55209722</v>
      </c>
      <c r="AW159" s="49">
        <f t="shared" si="54"/>
        <v>1226572.0729109</v>
      </c>
      <c r="AX159" s="39">
        <f t="shared" si="55"/>
        <v>0.70306112936357379</v>
      </c>
      <c r="AY159" s="39">
        <f t="shared" si="55"/>
        <v>0.45297868121310175</v>
      </c>
      <c r="AZ159" s="39">
        <f t="shared" si="56"/>
        <v>0.63728437497954094</v>
      </c>
      <c r="BA159" s="18">
        <v>3.3423159252527201E-2</v>
      </c>
      <c r="BB159" s="20">
        <v>3.0073621158353998E-2</v>
      </c>
      <c r="BC159" s="17">
        <f t="shared" si="57"/>
        <v>-1020531.55209722</v>
      </c>
      <c r="BD159" s="17">
        <f t="shared" si="57"/>
        <v>-670961.07291089999</v>
      </c>
      <c r="BE159" s="6">
        <f t="shared" si="58"/>
        <v>2868823.4891728354</v>
      </c>
      <c r="BF159" s="27">
        <f t="shared" si="59"/>
        <v>2.5154057278773262E-2</v>
      </c>
    </row>
    <row r="160" spans="1:58" ht="14.25" customHeight="1" x14ac:dyDescent="0.35">
      <c r="A160" s="16">
        <v>45815</v>
      </c>
      <c r="B160" s="17">
        <v>50222961</v>
      </c>
      <c r="C160" s="17">
        <f t="shared" si="45"/>
        <v>2666977.8965517241</v>
      </c>
      <c r="D160" s="18">
        <f>+Tabla22[[#This Row],[Share diario]]</f>
        <v>2.6303977444996626E-2</v>
      </c>
      <c r="E160" s="17">
        <f>+Tabla22[[#This Row],[Global 2026]]</f>
        <v>47697211</v>
      </c>
      <c r="F160" s="19">
        <v>46179</v>
      </c>
      <c r="G160" s="17">
        <f t="shared" si="46"/>
        <v>3963610.0504163904</v>
      </c>
      <c r="H160" s="17">
        <f>+Tabla22[[#This Row],[Meta Digital]]</f>
        <v>2902425.7969517601</v>
      </c>
      <c r="I160" s="17">
        <f>+Tabla22[[#This Row],[Meta MKPlace]]</f>
        <v>1061184.2534646301</v>
      </c>
      <c r="J160" s="17">
        <v>1812078</v>
      </c>
      <c r="K160" s="17">
        <f>+Tabla22[[#This Row],[Web + APP 2026]]</f>
        <v>2159116</v>
      </c>
      <c r="L160" s="17">
        <v>25031.896551724101</v>
      </c>
      <c r="M160" s="17">
        <f>+Tabla22[[#This Row],[Afiliados 2026]]</f>
        <v>34578</v>
      </c>
      <c r="N160" s="17">
        <v>25976</v>
      </c>
      <c r="O160" s="17">
        <f>+Tabla22[[#This Row],[TMK 2026]]</f>
        <v>22387</v>
      </c>
      <c r="P160" s="17">
        <v>10248</v>
      </c>
      <c r="Q160" s="17">
        <f>+Tabla22[[#This Row],[WA 2026]]</f>
        <v>1996</v>
      </c>
      <c r="R160" s="17">
        <v>156778</v>
      </c>
      <c r="S160" s="17">
        <f>+Tabla22[[#This Row],[Ent. en Tienda 2026]]</f>
        <v>97775</v>
      </c>
      <c r="T160" s="17">
        <v>495806</v>
      </c>
      <c r="U160" s="17">
        <f>+Tabla22[[#This Row],[Meli Drop 2026]]</f>
        <v>344708</v>
      </c>
      <c r="V160" s="17">
        <v>116017</v>
      </c>
      <c r="W160" s="17">
        <f>+Tabla22[[#This Row],[Meli Full 2026]]</f>
        <v>188671</v>
      </c>
      <c r="X160" s="17">
        <v>17934</v>
      </c>
      <c r="Y160" s="17">
        <f>+Tabla22[[#This Row],[Amazon Drop 2026]]</f>
        <v>9093</v>
      </c>
      <c r="Z160" s="17">
        <v>7109</v>
      </c>
      <c r="AA160" s="17">
        <f>+Tabla22[[#This Row],[Amazon Full 2026]]</f>
        <v>3824</v>
      </c>
      <c r="AB160" s="17">
        <v>0</v>
      </c>
      <c r="AC160" s="17">
        <f>+Tabla22[[#This Row],[TikTok 2026]]</f>
        <v>5418</v>
      </c>
      <c r="AD160" s="17">
        <v>0</v>
      </c>
      <c r="AE160" s="17">
        <f>+Tabla22[[#This Row],[Shein 2026]]</f>
        <v>3100</v>
      </c>
      <c r="AF160" s="17">
        <f t="shared" si="47"/>
        <v>2870666</v>
      </c>
      <c r="AG160" s="18">
        <f t="shared" si="48"/>
        <v>0.72425540441306202</v>
      </c>
      <c r="AH160" s="17">
        <f t="shared" si="49"/>
        <v>-1092944.0504163904</v>
      </c>
      <c r="AI160" s="20">
        <f t="shared" si="50"/>
        <v>7.63741250767902E-2</v>
      </c>
      <c r="AJ160" s="20">
        <f t="shared" si="42"/>
        <v>5.3102761036963236E-2</v>
      </c>
      <c r="AK160" s="21">
        <f t="shared" si="51"/>
        <v>6.0185196153292903E-2</v>
      </c>
      <c r="AL160" s="21">
        <f t="shared" si="43"/>
        <v>-5.0290742515161524E-2</v>
      </c>
      <c r="AO160" s="38">
        <f t="shared" si="52"/>
        <v>46179</v>
      </c>
      <c r="AP160" s="17">
        <f>Tabla2[[#This Row],[Web + APP 2025]]+Tabla2[[#This Row],[Afiliados 2025]]+Tabla2[[#This Row],[TMK 2025]]+Tabla2[[#This Row],[WA 2025]]+Tabla2[[#This Row],[Ent. en Tienda 2025]]</f>
        <v>2030111.8965517241</v>
      </c>
      <c r="AQ160" s="17">
        <f>Tabla2[[#This Row],[Meli Drop 2025]]+Tabla2[[#This Row],[Meli Full 2025]]+Tabla2[[#This Row],[Amazon Drop 2025]]+Tabla2[[#This Row],[Amazon Full 2025]]+Tabla2[[#This Row],[TikTok 2025]]+Tabla2[[#This Row],[Shein 2025]]</f>
        <v>636866</v>
      </c>
      <c r="AR160" s="17">
        <f>Tabla2[[#This Row],[Web + APP 2026]]+Tabla2[[#This Row],[Afiliados 2026]]+Tabla2[[#This Row],[TMK 2026]]+Tabla2[[#This Row],[WA 2026]]+Tabla2[[#This Row],[Ent. en Tienda 2026]]</f>
        <v>2315852</v>
      </c>
      <c r="AS160" s="17">
        <f>Tabla2[[#This Row],[Meli Drop 2026]]+Tabla2[[#This Row],[Meli Full 2026]]+Tabla2[[#This Row],[Amazon Drop 2026]]+Tabla2[[#This Row],[Amazon Full 2026]]+Tabla2[[#This Row],[TikTok 2026]]+Tabla2[[#This Row],[Shein 2026]]</f>
        <v>554814</v>
      </c>
      <c r="AT160" s="18">
        <f t="shared" si="53"/>
        <v>0.14075091325439937</v>
      </c>
      <c r="AU160" s="18">
        <f t="shared" si="53"/>
        <v>-0.12883714941604674</v>
      </c>
      <c r="AV160" s="49">
        <f t="shared" si="54"/>
        <v>2902425.7969517601</v>
      </c>
      <c r="AW160" s="49">
        <f t="shared" si="54"/>
        <v>1061184.2534646301</v>
      </c>
      <c r="AX160" s="39">
        <f t="shared" si="55"/>
        <v>0.79790222455719539</v>
      </c>
      <c r="AY160" s="39">
        <f t="shared" si="55"/>
        <v>0.5228253229244626</v>
      </c>
      <c r="AZ160" s="39">
        <f t="shared" si="56"/>
        <v>0.72425540441306202</v>
      </c>
      <c r="BA160" s="18">
        <v>2.89164665355943E-2</v>
      </c>
      <c r="BB160" s="20">
        <v>2.5447505646976398E-2</v>
      </c>
      <c r="BC160" s="17">
        <f t="shared" si="57"/>
        <v>-586573.79695176007</v>
      </c>
      <c r="BD160" s="17">
        <f t="shared" si="57"/>
        <v>-506370.25346463011</v>
      </c>
      <c r="BE160" s="6">
        <f t="shared" si="58"/>
        <v>2607622.7042945214</v>
      </c>
      <c r="BF160" s="27">
        <f t="shared" si="59"/>
        <v>2.2863829410489863E-2</v>
      </c>
    </row>
    <row r="161" spans="1:58" ht="14.25" customHeight="1" x14ac:dyDescent="0.35">
      <c r="A161" s="19">
        <v>45816</v>
      </c>
      <c r="B161" s="17">
        <v>49920221</v>
      </c>
      <c r="C161" s="17">
        <f t="shared" si="45"/>
        <v>3220669.7586206896</v>
      </c>
      <c r="D161" s="18">
        <f>+Tabla22[[#This Row],[Share diario]]</f>
        <v>2.3041653360050537E-2</v>
      </c>
      <c r="E161" s="17">
        <f>+Tabla22[[#This Row],[Global 2026]]</f>
        <v>50902735</v>
      </c>
      <c r="F161" s="19">
        <v>46180</v>
      </c>
      <c r="G161" s="17">
        <f t="shared" si="46"/>
        <v>3472422.4349578251</v>
      </c>
      <c r="H161" s="17">
        <f>+Tabla22[[#This Row],[Meta Digital]]</f>
        <v>2638146.18790258</v>
      </c>
      <c r="I161" s="17">
        <f>+Tabla22[[#This Row],[Meta MKPlace]]</f>
        <v>834276.24705524498</v>
      </c>
      <c r="J161" s="17">
        <v>2272542</v>
      </c>
      <c r="K161" s="17">
        <f>+Tabla22[[#This Row],[Web + APP 2026]]</f>
        <v>2835754</v>
      </c>
      <c r="L161" s="17">
        <v>25757.758620689601</v>
      </c>
      <c r="M161" s="17">
        <f>+Tabla22[[#This Row],[Afiliados 2026]]</f>
        <v>33462</v>
      </c>
      <c r="N161" s="17">
        <v>21715</v>
      </c>
      <c r="O161" s="17">
        <f>+Tabla22[[#This Row],[TMK 2026]]</f>
        <v>1717</v>
      </c>
      <c r="P161" s="17">
        <v>6780</v>
      </c>
      <c r="Q161" s="17">
        <f>+Tabla22[[#This Row],[WA 2026]]</f>
        <v>3121</v>
      </c>
      <c r="R161" s="17">
        <v>85534</v>
      </c>
      <c r="S161" s="17">
        <f>+Tabla22[[#This Row],[Ent. en Tienda 2026]]</f>
        <v>82366</v>
      </c>
      <c r="T161" s="17">
        <v>642846</v>
      </c>
      <c r="U161" s="17">
        <f>+Tabla22[[#This Row],[Meli Drop 2026]]</f>
        <v>526670</v>
      </c>
      <c r="V161" s="17">
        <v>139716</v>
      </c>
      <c r="W161" s="17">
        <f>+Tabla22[[#This Row],[Meli Full 2026]]</f>
        <v>201401</v>
      </c>
      <c r="X161" s="17">
        <v>16575</v>
      </c>
      <c r="Y161" s="17">
        <f>+Tabla22[[#This Row],[Amazon Drop 2026]]</f>
        <v>12585</v>
      </c>
      <c r="Z161" s="17">
        <v>9204</v>
      </c>
      <c r="AA161" s="17">
        <f>+Tabla22[[#This Row],[Amazon Full 2026]]</f>
        <v>6574</v>
      </c>
      <c r="AB161" s="17">
        <v>0</v>
      </c>
      <c r="AC161" s="17">
        <f>+Tabla22[[#This Row],[TikTok 2026]]</f>
        <v>2075</v>
      </c>
      <c r="AD161" s="17">
        <v>0</v>
      </c>
      <c r="AE161" s="17">
        <f>+Tabla22[[#This Row],[Shein 2026]]</f>
        <v>3057</v>
      </c>
      <c r="AF161" s="17">
        <f t="shared" si="47"/>
        <v>3708782</v>
      </c>
      <c r="AG161" s="18">
        <f t="shared" si="48"/>
        <v>1.0680676298663085</v>
      </c>
      <c r="AH161" s="17">
        <f t="shared" si="49"/>
        <v>236359.56504217489</v>
      </c>
      <c r="AI161" s="20">
        <f t="shared" si="50"/>
        <v>0.15155612899236015</v>
      </c>
      <c r="AJ161" s="20">
        <f t="shared" si="42"/>
        <v>6.4516336148044889E-2</v>
      </c>
      <c r="AK161" s="21">
        <f t="shared" si="51"/>
        <v>7.2860171462299617E-2</v>
      </c>
      <c r="AL161" s="21">
        <f t="shared" si="43"/>
        <v>1.9681683700879526E-2</v>
      </c>
      <c r="AO161" s="38">
        <f t="shared" si="52"/>
        <v>46180</v>
      </c>
      <c r="AP161" s="17">
        <f>Tabla2[[#This Row],[Web + APP 2025]]+Tabla2[[#This Row],[Afiliados 2025]]+Tabla2[[#This Row],[TMK 2025]]+Tabla2[[#This Row],[WA 2025]]+Tabla2[[#This Row],[Ent. en Tienda 2025]]</f>
        <v>2412328.7586206896</v>
      </c>
      <c r="AQ161" s="17">
        <f>Tabla2[[#This Row],[Meli Drop 2025]]+Tabla2[[#This Row],[Meli Full 2025]]+Tabla2[[#This Row],[Amazon Drop 2025]]+Tabla2[[#This Row],[Amazon Full 2025]]+Tabla2[[#This Row],[TikTok 2025]]+Tabla2[[#This Row],[Shein 2025]]</f>
        <v>808341</v>
      </c>
      <c r="AR161" s="17">
        <f>Tabla2[[#This Row],[Web + APP 2026]]+Tabla2[[#This Row],[Afiliados 2026]]+Tabla2[[#This Row],[TMK 2026]]+Tabla2[[#This Row],[WA 2026]]+Tabla2[[#This Row],[Ent. en Tienda 2026]]</f>
        <v>2956420</v>
      </c>
      <c r="AS161" s="17">
        <f>Tabla2[[#This Row],[Meli Drop 2026]]+Tabla2[[#This Row],[Meli Full 2026]]+Tabla2[[#This Row],[Amazon Drop 2026]]+Tabla2[[#This Row],[Amazon Full 2026]]+Tabla2[[#This Row],[TikTok 2026]]+Tabla2[[#This Row],[Shein 2026]]</f>
        <v>752362</v>
      </c>
      <c r="AT161" s="18">
        <f t="shared" si="53"/>
        <v>0.22554605769837455</v>
      </c>
      <c r="AU161" s="18">
        <f t="shared" si="53"/>
        <v>-6.9251714313637414E-2</v>
      </c>
      <c r="AV161" s="49">
        <f t="shared" si="54"/>
        <v>2638146.18790258</v>
      </c>
      <c r="AW161" s="49">
        <f t="shared" si="54"/>
        <v>834276.24705524498</v>
      </c>
      <c r="AX161" s="39">
        <f t="shared" si="55"/>
        <v>1.1206429778444003</v>
      </c>
      <c r="AY161" s="39">
        <f t="shared" si="55"/>
        <v>0.90181400064501571</v>
      </c>
      <c r="AZ161" s="39">
        <f t="shared" si="56"/>
        <v>1.0680676298663085</v>
      </c>
      <c r="BA161" s="18">
        <v>2.27333953558502E-2</v>
      </c>
      <c r="BB161" s="20">
        <v>2.3130559876951999E-2</v>
      </c>
      <c r="BC161" s="17">
        <f t="shared" si="57"/>
        <v>318273.81209741998</v>
      </c>
      <c r="BD161" s="17">
        <f t="shared" si="57"/>
        <v>-81914.247055244981</v>
      </c>
      <c r="BE161" s="6">
        <f t="shared" si="58"/>
        <v>3098569.7152391705</v>
      </c>
      <c r="BF161" s="27">
        <f t="shared" si="59"/>
        <v>2.7168489240818043E-2</v>
      </c>
    </row>
    <row r="162" spans="1:58" ht="14.25" customHeight="1" x14ac:dyDescent="0.35">
      <c r="A162" s="16">
        <v>45817</v>
      </c>
      <c r="B162" s="17">
        <v>28800528</v>
      </c>
      <c r="C162" s="17">
        <f t="shared" si="45"/>
        <v>4519881.7931034481</v>
      </c>
      <c r="D162" s="18">
        <f>+Tabla22[[#This Row],[Share diario]]</f>
        <v>2.7824672335511912E-2</v>
      </c>
      <c r="E162" s="17">
        <f>+Tabla22[[#This Row],[Global 2026]]</f>
        <v>28697109</v>
      </c>
      <c r="F162" s="19">
        <v>46181</v>
      </c>
      <c r="G162" s="17">
        <f t="shared" si="46"/>
        <v>4193019.4933147803</v>
      </c>
      <c r="H162" s="17">
        <f>+Tabla22[[#This Row],[Meta Digital]]</f>
        <v>3134115.9000614402</v>
      </c>
      <c r="I162" s="17">
        <f>+Tabla22[[#This Row],[Meta MKPlace]]</f>
        <v>1058903.5932533401</v>
      </c>
      <c r="J162" s="17">
        <v>3416740</v>
      </c>
      <c r="K162" s="17">
        <f>+Tabla22[[#This Row],[Web + APP 2026]]</f>
        <v>4038776</v>
      </c>
      <c r="L162" s="17">
        <v>24238.793103448301</v>
      </c>
      <c r="M162" s="17">
        <f>+Tabla22[[#This Row],[Afiliados 2026]]</f>
        <v>28413</v>
      </c>
      <c r="N162" s="17">
        <v>51991</v>
      </c>
      <c r="O162" s="17">
        <f>+Tabla22[[#This Row],[TMK 2026]]</f>
        <v>38880</v>
      </c>
      <c r="P162" s="17">
        <v>11309</v>
      </c>
      <c r="Q162" s="17">
        <f>+Tabla22[[#This Row],[WA 2026]]</f>
        <v>7184</v>
      </c>
      <c r="R162" s="17">
        <v>75866</v>
      </c>
      <c r="S162" s="17">
        <f>+Tabla22[[#This Row],[Ent. en Tienda 2026]]</f>
        <v>129134</v>
      </c>
      <c r="T162" s="17">
        <v>757315</v>
      </c>
      <c r="U162" s="17">
        <f>+Tabla22[[#This Row],[Meli Drop 2026]]</f>
        <v>693965</v>
      </c>
      <c r="V162" s="17">
        <v>142907</v>
      </c>
      <c r="W162" s="17">
        <f>+Tabla22[[#This Row],[Meli Full 2026]]</f>
        <v>192882</v>
      </c>
      <c r="X162" s="17">
        <v>32343</v>
      </c>
      <c r="Y162" s="17">
        <f>+Tabla22[[#This Row],[Amazon Drop 2026]]</f>
        <v>27190</v>
      </c>
      <c r="Z162" s="17">
        <v>7172</v>
      </c>
      <c r="AA162" s="17">
        <f>+Tabla22[[#This Row],[Amazon Full 2026]]</f>
        <v>4960</v>
      </c>
      <c r="AB162" s="17">
        <v>0</v>
      </c>
      <c r="AC162" s="17">
        <f>+Tabla22[[#This Row],[TikTok 2026]]</f>
        <v>8849</v>
      </c>
      <c r="AD162" s="17">
        <v>0</v>
      </c>
      <c r="AE162" s="17">
        <f>+Tabla22[[#This Row],[Shein 2026]]</f>
        <v>3057</v>
      </c>
      <c r="AF162" s="17">
        <f t="shared" si="47"/>
        <v>5173290</v>
      </c>
      <c r="AG162" s="18">
        <f t="shared" si="48"/>
        <v>1.2337862984534493</v>
      </c>
      <c r="AH162" s="17">
        <f t="shared" si="49"/>
        <v>980270.50668521971</v>
      </c>
      <c r="AI162" s="20">
        <f t="shared" si="50"/>
        <v>0.14456311841905656</v>
      </c>
      <c r="AJ162" s="20">
        <f t="shared" si="42"/>
        <v>0.15693746285149524</v>
      </c>
      <c r="AK162" s="21">
        <f t="shared" si="51"/>
        <v>0.18027216609171329</v>
      </c>
      <c r="AL162" s="21">
        <f t="shared" si="43"/>
        <v>-3.5908716673527241E-3</v>
      </c>
      <c r="AO162" s="38">
        <f t="shared" si="52"/>
        <v>46181</v>
      </c>
      <c r="AP162" s="17">
        <f>Tabla2[[#This Row],[Web + APP 2025]]+Tabla2[[#This Row],[Afiliados 2025]]+Tabla2[[#This Row],[TMK 2025]]+Tabla2[[#This Row],[WA 2025]]+Tabla2[[#This Row],[Ent. en Tienda 2025]]</f>
        <v>3580144.7931034481</v>
      </c>
      <c r="AQ162" s="17">
        <f>Tabla2[[#This Row],[Meli Drop 2025]]+Tabla2[[#This Row],[Meli Full 2025]]+Tabla2[[#This Row],[Amazon Drop 2025]]+Tabla2[[#This Row],[Amazon Full 2025]]+Tabla2[[#This Row],[TikTok 2025]]+Tabla2[[#This Row],[Shein 2025]]</f>
        <v>939737</v>
      </c>
      <c r="AR162" s="17">
        <f>Tabla2[[#This Row],[Web + APP 2026]]+Tabla2[[#This Row],[Afiliados 2026]]+Tabla2[[#This Row],[TMK 2026]]+Tabla2[[#This Row],[WA 2026]]+Tabla2[[#This Row],[Ent. en Tienda 2026]]</f>
        <v>4242387</v>
      </c>
      <c r="AS162" s="17">
        <f>Tabla2[[#This Row],[Meli Drop 2026]]+Tabla2[[#This Row],[Meli Full 2026]]+Tabla2[[#This Row],[Amazon Drop 2026]]+Tabla2[[#This Row],[Amazon Full 2026]]+Tabla2[[#This Row],[TikTok 2026]]+Tabla2[[#This Row],[Shein 2026]]</f>
        <v>930903</v>
      </c>
      <c r="AT162" s="18">
        <f t="shared" si="53"/>
        <v>0.18497637530533706</v>
      </c>
      <c r="AU162" s="18">
        <f t="shared" si="53"/>
        <v>-9.4005024810133175E-3</v>
      </c>
      <c r="AV162" s="49">
        <f t="shared" si="54"/>
        <v>3134115.9000614402</v>
      </c>
      <c r="AW162" s="49">
        <f t="shared" si="54"/>
        <v>1058903.5932533401</v>
      </c>
      <c r="AX162" s="39">
        <f t="shared" si="55"/>
        <v>1.3536152252432125</v>
      </c>
      <c r="AY162" s="39">
        <f t="shared" si="55"/>
        <v>0.87911969128362732</v>
      </c>
      <c r="AZ162" s="39">
        <f t="shared" si="56"/>
        <v>1.2337862984534493</v>
      </c>
      <c r="BA162" s="18">
        <v>2.8854320273563501E-2</v>
      </c>
      <c r="BB162" s="20">
        <v>2.74854380632647E-2</v>
      </c>
      <c r="BC162" s="17">
        <f t="shared" si="57"/>
        <v>1108271.0999385598</v>
      </c>
      <c r="BD162" s="17">
        <f t="shared" si="57"/>
        <v>-128000.59325334011</v>
      </c>
      <c r="BE162" s="6">
        <f t="shared" si="58"/>
        <v>4598597.1822615266</v>
      </c>
      <c r="BF162" s="27">
        <f t="shared" si="59"/>
        <v>4.0320841404559105E-2</v>
      </c>
    </row>
    <row r="163" spans="1:58" ht="14.25" customHeight="1" x14ac:dyDescent="0.35">
      <c r="A163" s="19">
        <v>45818</v>
      </c>
      <c r="B163" s="17">
        <v>33842549</v>
      </c>
      <c r="C163" s="17">
        <f t="shared" si="45"/>
        <v>4898086.7241379311</v>
      </c>
      <c r="D163" s="18">
        <f>+Tabla22[[#This Row],[Share diario]]</f>
        <v>3.9182783622188355E-2</v>
      </c>
      <c r="E163" s="17">
        <f>+Tabla22[[#This Row],[Global 2026]]</f>
        <v>32882240</v>
      </c>
      <c r="F163" s="19">
        <v>46182</v>
      </c>
      <c r="G163" s="17">
        <f t="shared" si="46"/>
        <v>5905700.5773297697</v>
      </c>
      <c r="H163" s="17">
        <f>+Tabla22[[#This Row],[Meta Digital]]</f>
        <v>4674671.9817084698</v>
      </c>
      <c r="I163" s="17">
        <f>+Tabla22[[#This Row],[Meta MKPlace]]</f>
        <v>1231028.5956212999</v>
      </c>
      <c r="J163" s="17">
        <v>3683319</v>
      </c>
      <c r="K163" s="17">
        <f>+Tabla22[[#This Row],[Web + APP 2026]]</f>
        <v>4305103</v>
      </c>
      <c r="L163" s="17">
        <v>22251.724137931</v>
      </c>
      <c r="M163" s="17">
        <f>+Tabla22[[#This Row],[Afiliados 2026]]</f>
        <v>32400</v>
      </c>
      <c r="N163" s="17">
        <v>65685</v>
      </c>
      <c r="O163" s="17">
        <f>+Tabla22[[#This Row],[TMK 2026]]</f>
        <v>65678</v>
      </c>
      <c r="P163" s="17">
        <v>13660</v>
      </c>
      <c r="Q163" s="17">
        <f>+Tabla22[[#This Row],[WA 2026]]</f>
        <v>1844</v>
      </c>
      <c r="R163" s="17">
        <v>88024</v>
      </c>
      <c r="S163" s="17">
        <f>+Tabla22[[#This Row],[Ent. en Tienda 2026]]</f>
        <v>114553</v>
      </c>
      <c r="T163" s="17">
        <v>829750</v>
      </c>
      <c r="U163" s="17">
        <f>+Tabla22[[#This Row],[Meli Drop 2026]]</f>
        <v>480602</v>
      </c>
      <c r="V163" s="17">
        <v>153054</v>
      </c>
      <c r="W163" s="17">
        <f>+Tabla22[[#This Row],[Meli Full 2026]]</f>
        <v>174897</v>
      </c>
      <c r="X163" s="17">
        <v>32493</v>
      </c>
      <c r="Y163" s="17">
        <f>+Tabla22[[#This Row],[Amazon Drop 2026]]</f>
        <v>13800</v>
      </c>
      <c r="Z163" s="17">
        <v>9850</v>
      </c>
      <c r="AA163" s="17">
        <f>+Tabla22[[#This Row],[Amazon Full 2026]]</f>
        <v>7381</v>
      </c>
      <c r="AB163" s="17">
        <v>0</v>
      </c>
      <c r="AC163" s="17">
        <f>+Tabla22[[#This Row],[TikTok 2026]]</f>
        <v>11271</v>
      </c>
      <c r="AD163" s="17">
        <v>0</v>
      </c>
      <c r="AE163" s="17">
        <f>+Tabla22[[#This Row],[Shein 2026]]</f>
        <v>1636</v>
      </c>
      <c r="AF163" s="17">
        <f t="shared" si="47"/>
        <v>5209165</v>
      </c>
      <c r="AG163" s="18">
        <f t="shared" si="48"/>
        <v>0.88205707888348373</v>
      </c>
      <c r="AH163" s="17">
        <f t="shared" si="49"/>
        <v>-696535.57732976973</v>
      </c>
      <c r="AI163" s="20">
        <f t="shared" si="50"/>
        <v>6.3510160881608213E-2</v>
      </c>
      <c r="AJ163" s="20">
        <f t="shared" si="42"/>
        <v>0.14473161357136341</v>
      </c>
      <c r="AK163" s="21">
        <f t="shared" si="51"/>
        <v>0.15841879993577079</v>
      </c>
      <c r="AL163" s="21">
        <f t="shared" si="43"/>
        <v>-2.8375788123997436E-2</v>
      </c>
      <c r="AO163" s="38">
        <f t="shared" si="52"/>
        <v>46182</v>
      </c>
      <c r="AP163" s="17">
        <f>Tabla2[[#This Row],[Web + APP 2025]]+Tabla2[[#This Row],[Afiliados 2025]]+Tabla2[[#This Row],[TMK 2025]]+Tabla2[[#This Row],[WA 2025]]+Tabla2[[#This Row],[Ent. en Tienda 2025]]</f>
        <v>3872939.7241379311</v>
      </c>
      <c r="AQ163" s="17">
        <f>Tabla2[[#This Row],[Meli Drop 2025]]+Tabla2[[#This Row],[Meli Full 2025]]+Tabla2[[#This Row],[Amazon Drop 2025]]+Tabla2[[#This Row],[Amazon Full 2025]]+Tabla2[[#This Row],[TikTok 2025]]+Tabla2[[#This Row],[Shein 2025]]</f>
        <v>1025147</v>
      </c>
      <c r="AR163" s="17">
        <f>Tabla2[[#This Row],[Web + APP 2026]]+Tabla2[[#This Row],[Afiliados 2026]]+Tabla2[[#This Row],[TMK 2026]]+Tabla2[[#This Row],[WA 2026]]+Tabla2[[#This Row],[Ent. en Tienda 2026]]</f>
        <v>4519578</v>
      </c>
      <c r="AS163" s="17">
        <f>Tabla2[[#This Row],[Meli Drop 2026]]+Tabla2[[#This Row],[Meli Full 2026]]+Tabla2[[#This Row],[Amazon Drop 2026]]+Tabla2[[#This Row],[Amazon Full 2026]]+Tabla2[[#This Row],[TikTok 2026]]+Tabla2[[#This Row],[Shein 2026]]</f>
        <v>689587</v>
      </c>
      <c r="AT163" s="18">
        <f t="shared" si="53"/>
        <v>0.16696316543010559</v>
      </c>
      <c r="AU163" s="18">
        <f t="shared" si="53"/>
        <v>-0.32732866603521249</v>
      </c>
      <c r="AV163" s="49">
        <f t="shared" si="54"/>
        <v>4674671.9817084698</v>
      </c>
      <c r="AW163" s="49">
        <f t="shared" si="54"/>
        <v>1231028.5956212999</v>
      </c>
      <c r="AX163" s="39">
        <f t="shared" si="55"/>
        <v>0.96682248886866562</v>
      </c>
      <c r="AY163" s="39">
        <f t="shared" si="55"/>
        <v>0.56017139037453922</v>
      </c>
      <c r="AZ163" s="39">
        <f t="shared" si="56"/>
        <v>0.88205707888348373</v>
      </c>
      <c r="BA163" s="18">
        <v>3.3544596118367999E-2</v>
      </c>
      <c r="BB163" s="20">
        <v>4.0791226161324801E-2</v>
      </c>
      <c r="BC163" s="17">
        <f t="shared" si="57"/>
        <v>-155093.9817084698</v>
      </c>
      <c r="BD163" s="17">
        <f t="shared" si="57"/>
        <v>-541441.59562129993</v>
      </c>
      <c r="BE163" s="6">
        <f t="shared" si="58"/>
        <v>4974684.1906499406</v>
      </c>
      <c r="BF163" s="27">
        <f t="shared" si="59"/>
        <v>4.36184002074997E-2</v>
      </c>
    </row>
    <row r="164" spans="1:58" ht="14.25" customHeight="1" x14ac:dyDescent="0.35">
      <c r="A164" s="16">
        <v>45819</v>
      </c>
      <c r="B164" s="17">
        <v>38225481</v>
      </c>
      <c r="C164" s="17">
        <f t="shared" si="45"/>
        <v>4461529</v>
      </c>
      <c r="D164" s="18">
        <f>+Tabla22[[#This Row],[Share diario]]</f>
        <v>4.2513099127087096E-2</v>
      </c>
      <c r="E164" s="17">
        <f>+Tabla22[[#This Row],[Global 2026]]</f>
        <v>37140797</v>
      </c>
      <c r="F164" s="19">
        <v>46183</v>
      </c>
      <c r="G164" s="17">
        <f t="shared" si="46"/>
        <v>6407621.7256236402</v>
      </c>
      <c r="H164" s="17">
        <f>+Tabla22[[#This Row],[Meta Digital]]</f>
        <v>5064708.4725375203</v>
      </c>
      <c r="I164" s="17">
        <f>+Tabla22[[#This Row],[Meta MKPlace]]</f>
        <v>1342913.2530861199</v>
      </c>
      <c r="J164" s="17">
        <v>3146636</v>
      </c>
      <c r="K164" s="17">
        <f>+Tabla22[[#This Row],[Web + APP 2026]]</f>
        <v>4123039</v>
      </c>
      <c r="L164" s="17">
        <v>19800</v>
      </c>
      <c r="M164" s="17">
        <f>+Tabla22[[#This Row],[Afiliados 2026]]</f>
        <v>28567</v>
      </c>
      <c r="N164" s="17">
        <v>47481</v>
      </c>
      <c r="O164" s="17">
        <f>+Tabla22[[#This Row],[TMK 2026]]</f>
        <v>28987</v>
      </c>
      <c r="P164" s="17">
        <v>1700</v>
      </c>
      <c r="Q164" s="17">
        <f>+Tabla22[[#This Row],[WA 2026]]</f>
        <v>6055</v>
      </c>
      <c r="R164" s="17">
        <v>120026</v>
      </c>
      <c r="S164" s="17">
        <f>+Tabla22[[#This Row],[Ent. en Tienda 2026]]</f>
        <v>132557</v>
      </c>
      <c r="T164" s="17">
        <v>948224</v>
      </c>
      <c r="U164" s="17">
        <f>+Tabla22[[#This Row],[Meli Drop 2026]]</f>
        <v>415988</v>
      </c>
      <c r="V164" s="17">
        <v>139153</v>
      </c>
      <c r="W164" s="17">
        <f>+Tabla22[[#This Row],[Meli Full 2026]]</f>
        <v>141262</v>
      </c>
      <c r="X164" s="17">
        <v>23874</v>
      </c>
      <c r="Y164" s="17">
        <f>+Tabla22[[#This Row],[Amazon Drop 2026]]</f>
        <v>21700</v>
      </c>
      <c r="Z164" s="17">
        <v>14635</v>
      </c>
      <c r="AA164" s="17">
        <f>+Tabla22[[#This Row],[Amazon Full 2026]]</f>
        <v>2811</v>
      </c>
      <c r="AB164" s="17">
        <v>0</v>
      </c>
      <c r="AC164" s="17">
        <f>+Tabla22[[#This Row],[TikTok 2026]]</f>
        <v>4259</v>
      </c>
      <c r="AD164" s="17">
        <v>0</v>
      </c>
      <c r="AE164" s="17">
        <f>+Tabla22[[#This Row],[Shein 2026]]</f>
        <v>0</v>
      </c>
      <c r="AF164" s="17">
        <f t="shared" si="47"/>
        <v>4905225</v>
      </c>
      <c r="AG164" s="18">
        <f t="shared" si="48"/>
        <v>0.7655297409933457</v>
      </c>
      <c r="AH164" s="17">
        <f t="shared" si="49"/>
        <v>-1502396.7256236402</v>
      </c>
      <c r="AI164" s="20">
        <f t="shared" si="50"/>
        <v>9.9449314349407958E-2</v>
      </c>
      <c r="AJ164" s="20">
        <f t="shared" si="42"/>
        <v>0.11671609835334708</v>
      </c>
      <c r="AK164" s="21">
        <f t="shared" si="51"/>
        <v>0.13207107537299212</v>
      </c>
      <c r="AL164" s="21">
        <f t="shared" si="43"/>
        <v>-2.837594116866704E-2</v>
      </c>
      <c r="AO164" s="38">
        <f t="shared" si="52"/>
        <v>46183</v>
      </c>
      <c r="AP164" s="17">
        <f>Tabla2[[#This Row],[Web + APP 2025]]+Tabla2[[#This Row],[Afiliados 2025]]+Tabla2[[#This Row],[TMK 2025]]+Tabla2[[#This Row],[WA 2025]]+Tabla2[[#This Row],[Ent. en Tienda 2025]]</f>
        <v>3335643</v>
      </c>
      <c r="AQ164" s="17">
        <f>Tabla2[[#This Row],[Meli Drop 2025]]+Tabla2[[#This Row],[Meli Full 2025]]+Tabla2[[#This Row],[Amazon Drop 2025]]+Tabla2[[#This Row],[Amazon Full 2025]]+Tabla2[[#This Row],[TikTok 2025]]+Tabla2[[#This Row],[Shein 2025]]</f>
        <v>1125886</v>
      </c>
      <c r="AR164" s="17">
        <f>Tabla2[[#This Row],[Web + APP 2026]]+Tabla2[[#This Row],[Afiliados 2026]]+Tabla2[[#This Row],[TMK 2026]]+Tabla2[[#This Row],[WA 2026]]+Tabla2[[#This Row],[Ent. en Tienda 2026]]</f>
        <v>4319205</v>
      </c>
      <c r="AS164" s="17">
        <f>Tabla2[[#This Row],[Meli Drop 2026]]+Tabla2[[#This Row],[Meli Full 2026]]+Tabla2[[#This Row],[Amazon Drop 2026]]+Tabla2[[#This Row],[Amazon Full 2026]]+Tabla2[[#This Row],[TikTok 2026]]+Tabla2[[#This Row],[Shein 2026]]</f>
        <v>586020</v>
      </c>
      <c r="AT164" s="18">
        <f t="shared" si="53"/>
        <v>0.29486428853447455</v>
      </c>
      <c r="AU164" s="18">
        <f t="shared" si="53"/>
        <v>-0.47950325343773703</v>
      </c>
      <c r="AV164" s="49">
        <f t="shared" si="54"/>
        <v>5064708.4725375203</v>
      </c>
      <c r="AW164" s="49">
        <f t="shared" si="54"/>
        <v>1342913.2530861199</v>
      </c>
      <c r="AX164" s="39">
        <f t="shared" si="55"/>
        <v>0.8528042676928238</v>
      </c>
      <c r="AY164" s="39">
        <f t="shared" si="55"/>
        <v>0.43637963856062939</v>
      </c>
      <c r="AZ164" s="39">
        <f t="shared" si="56"/>
        <v>0.7655297409933457</v>
      </c>
      <c r="BA164" s="18">
        <v>3.6593368226383198E-2</v>
      </c>
      <c r="BB164" s="20">
        <v>4.4127254434182403E-2</v>
      </c>
      <c r="BC164" s="17">
        <f t="shared" si="57"/>
        <v>-745503.47253752034</v>
      </c>
      <c r="BD164" s="17">
        <f t="shared" si="57"/>
        <v>-756893.25308611989</v>
      </c>
      <c r="BE164" s="6">
        <f t="shared" si="58"/>
        <v>4284541.3767563114</v>
      </c>
      <c r="BF164" s="27">
        <f t="shared" si="59"/>
        <v>3.7567176792489436E-2</v>
      </c>
    </row>
    <row r="165" spans="1:58" ht="14.25" customHeight="1" x14ac:dyDescent="0.35">
      <c r="A165" s="19">
        <v>45820</v>
      </c>
      <c r="B165" s="17">
        <v>44572329</v>
      </c>
      <c r="C165" s="17">
        <f t="shared" si="45"/>
        <v>3866377.3793103448</v>
      </c>
      <c r="D165" s="18">
        <f>+Tabla22[[#This Row],[Share diario]]</f>
        <v>3.8726241967819514E-2</v>
      </c>
      <c r="E165" s="17">
        <f>+Tabla22[[#This Row],[Global 2026]]</f>
        <v>35683971</v>
      </c>
      <c r="F165" s="19">
        <v>46184</v>
      </c>
      <c r="G165" s="17">
        <f t="shared" si="46"/>
        <v>5835819.3199239196</v>
      </c>
      <c r="H165" s="17">
        <f>+Tabla22[[#This Row],[Meta Digital]]</f>
        <v>4360940.8577481396</v>
      </c>
      <c r="I165" s="17">
        <f>+Tabla22[[#This Row],[Meta MKPlace]]</f>
        <v>1474878.46217578</v>
      </c>
      <c r="J165" s="17">
        <v>2555955</v>
      </c>
      <c r="K165" s="17">
        <f>+Tabla22[[#This Row],[Web + APP 2026]]</f>
        <v>2993082</v>
      </c>
      <c r="L165" s="17">
        <v>25116.379310344801</v>
      </c>
      <c r="M165" s="17">
        <f>+Tabla22[[#This Row],[Afiliados 2026]]</f>
        <v>24347</v>
      </c>
      <c r="N165" s="17">
        <v>47507</v>
      </c>
      <c r="O165" s="17">
        <f>+Tabla22[[#This Row],[TMK 2026]]</f>
        <v>18478</v>
      </c>
      <c r="P165" s="17">
        <v>12578</v>
      </c>
      <c r="Q165" s="17">
        <f>+Tabla22[[#This Row],[WA 2026]]</f>
        <v>2267</v>
      </c>
      <c r="R165" s="17">
        <v>112328</v>
      </c>
      <c r="S165" s="17">
        <f>+Tabla22[[#This Row],[Ent. en Tienda 2026]]</f>
        <v>140034</v>
      </c>
      <c r="T165" s="17">
        <v>947866</v>
      </c>
      <c r="U165" s="17">
        <f>+Tabla22[[#This Row],[Meli Drop 2026]]</f>
        <v>412479</v>
      </c>
      <c r="V165" s="17">
        <v>131048</v>
      </c>
      <c r="W165" s="17">
        <f>+Tabla22[[#This Row],[Meli Full 2026]]</f>
        <v>215146</v>
      </c>
      <c r="X165" s="17">
        <v>20426</v>
      </c>
      <c r="Y165" s="17">
        <f>+Tabla22[[#This Row],[Amazon Drop 2026]]</f>
        <v>12955</v>
      </c>
      <c r="Z165" s="17">
        <v>13553</v>
      </c>
      <c r="AA165" s="17">
        <f>+Tabla22[[#This Row],[Amazon Full 2026]]</f>
        <v>214</v>
      </c>
      <c r="AB165" s="17">
        <v>0</v>
      </c>
      <c r="AC165" s="17">
        <f>+Tabla22[[#This Row],[TikTok 2026]]</f>
        <v>4069</v>
      </c>
      <c r="AD165" s="17">
        <v>0</v>
      </c>
      <c r="AE165" s="17">
        <f>+Tabla22[[#This Row],[Shein 2026]]</f>
        <v>1076</v>
      </c>
      <c r="AF165" s="17">
        <f t="shared" si="47"/>
        <v>3824147</v>
      </c>
      <c r="AG165" s="18">
        <f t="shared" si="48"/>
        <v>0.65528879328804424</v>
      </c>
      <c r="AH165" s="17">
        <f t="shared" si="49"/>
        <v>-2011672.3199239196</v>
      </c>
      <c r="AI165" s="20">
        <f t="shared" si="50"/>
        <v>-1.0922466993606661E-2</v>
      </c>
      <c r="AJ165" s="20">
        <f t="shared" si="42"/>
        <v>8.6743893937208105E-2</v>
      </c>
      <c r="AK165" s="21">
        <f t="shared" si="51"/>
        <v>0.10716708070410662</v>
      </c>
      <c r="AL165" s="21">
        <f t="shared" si="43"/>
        <v>-0.19941425990999928</v>
      </c>
      <c r="AO165" s="38">
        <f t="shared" si="52"/>
        <v>46184</v>
      </c>
      <c r="AP165" s="17">
        <f>Tabla2[[#This Row],[Web + APP 2025]]+Tabla2[[#This Row],[Afiliados 2025]]+Tabla2[[#This Row],[TMK 2025]]+Tabla2[[#This Row],[WA 2025]]+Tabla2[[#This Row],[Ent. en Tienda 2025]]</f>
        <v>2753484.3793103448</v>
      </c>
      <c r="AQ165" s="17">
        <f>Tabla2[[#This Row],[Meli Drop 2025]]+Tabla2[[#This Row],[Meli Full 2025]]+Tabla2[[#This Row],[Amazon Drop 2025]]+Tabla2[[#This Row],[Amazon Full 2025]]+Tabla2[[#This Row],[TikTok 2025]]+Tabla2[[#This Row],[Shein 2025]]</f>
        <v>1112893</v>
      </c>
      <c r="AR165" s="17">
        <f>Tabla2[[#This Row],[Web + APP 2026]]+Tabla2[[#This Row],[Afiliados 2026]]+Tabla2[[#This Row],[TMK 2026]]+Tabla2[[#This Row],[WA 2026]]+Tabla2[[#This Row],[Ent. en Tienda 2026]]</f>
        <v>3178208</v>
      </c>
      <c r="AS165" s="17">
        <f>Tabla2[[#This Row],[Meli Drop 2026]]+Tabla2[[#This Row],[Meli Full 2026]]+Tabla2[[#This Row],[Amazon Drop 2026]]+Tabla2[[#This Row],[Amazon Full 2026]]+Tabla2[[#This Row],[TikTok 2026]]+Tabla2[[#This Row],[Shein 2026]]</f>
        <v>645939</v>
      </c>
      <c r="AT165" s="18">
        <f t="shared" si="53"/>
        <v>0.15424951159375522</v>
      </c>
      <c r="AU165" s="18">
        <f t="shared" si="53"/>
        <v>-0.4195857103962376</v>
      </c>
      <c r="AV165" s="49">
        <f t="shared" si="54"/>
        <v>4360940.8577481396</v>
      </c>
      <c r="AW165" s="49">
        <f t="shared" si="54"/>
        <v>1474878.46217578</v>
      </c>
      <c r="AX165" s="39">
        <f t="shared" si="55"/>
        <v>0.728789521268842</v>
      </c>
      <c r="AY165" s="39">
        <f t="shared" si="55"/>
        <v>0.43796083308932016</v>
      </c>
      <c r="AZ165" s="39">
        <f t="shared" si="56"/>
        <v>0.65528879328804424</v>
      </c>
      <c r="BA165" s="18">
        <v>4.0189320145237399E-2</v>
      </c>
      <c r="BB165" s="20">
        <v>3.8005437173531803E-2</v>
      </c>
      <c r="BC165" s="17">
        <f t="shared" si="57"/>
        <v>-1182732.8577481396</v>
      </c>
      <c r="BD165" s="17">
        <f t="shared" si="57"/>
        <v>-828939.46217577998</v>
      </c>
      <c r="BE165" s="6">
        <f t="shared" si="58"/>
        <v>3536774.6948361504</v>
      </c>
      <c r="BF165" s="27">
        <f t="shared" si="59"/>
        <v>3.1010703025746388E-2</v>
      </c>
    </row>
    <row r="166" spans="1:58" ht="14.25" customHeight="1" x14ac:dyDescent="0.35">
      <c r="A166" s="16">
        <v>45821</v>
      </c>
      <c r="B166" s="17">
        <v>48087656</v>
      </c>
      <c r="C166" s="17">
        <f t="shared" si="45"/>
        <v>2794859.3793103448</v>
      </c>
      <c r="D166" s="18">
        <f>+Tabla22[[#This Row],[Share diario]]</f>
        <v>3.3484946395090399E-2</v>
      </c>
      <c r="E166" s="17">
        <f>+Tabla22[[#This Row],[Global 2026]]</f>
        <v>38806927</v>
      </c>
      <c r="F166" s="19">
        <v>46185</v>
      </c>
      <c r="G166" s="17">
        <f t="shared" si="46"/>
        <v>5045229.5474619195</v>
      </c>
      <c r="H166" s="17">
        <f>+Tabla22[[#This Row],[Meta Digital]]</f>
        <v>3587371.5437153699</v>
      </c>
      <c r="I166" s="17">
        <f>+Tabla22[[#This Row],[Meta MKPlace]]</f>
        <v>1457858.0037465501</v>
      </c>
      <c r="J166" s="17">
        <v>1667347</v>
      </c>
      <c r="K166" s="17">
        <f>+Tabla22[[#This Row],[Web + APP 2026]]</f>
        <v>2651227</v>
      </c>
      <c r="L166" s="17">
        <v>28341.379310344801</v>
      </c>
      <c r="M166" s="17">
        <f>+Tabla22[[#This Row],[Afiliados 2026]]</f>
        <v>30709</v>
      </c>
      <c r="N166" s="17">
        <v>42888</v>
      </c>
      <c r="O166" s="17">
        <f>+Tabla22[[#This Row],[TMK 2026]]</f>
        <v>11629</v>
      </c>
      <c r="P166" s="17">
        <v>9320</v>
      </c>
      <c r="Q166" s="17">
        <f>+Tabla22[[#This Row],[WA 2026]]</f>
        <v>3889</v>
      </c>
      <c r="R166" s="17">
        <v>114759</v>
      </c>
      <c r="S166" s="17">
        <f>+Tabla22[[#This Row],[Ent. en Tienda 2026]]</f>
        <v>97304</v>
      </c>
      <c r="T166" s="17">
        <v>766146</v>
      </c>
      <c r="U166" s="17">
        <f>+Tabla22[[#This Row],[Meli Drop 2026]]</f>
        <v>566709</v>
      </c>
      <c r="V166" s="17">
        <v>144596</v>
      </c>
      <c r="W166" s="17">
        <f>+Tabla22[[#This Row],[Meli Full 2026]]</f>
        <v>221811</v>
      </c>
      <c r="X166" s="17">
        <v>10631</v>
      </c>
      <c r="Y166" s="17">
        <f>+Tabla22[[#This Row],[Amazon Drop 2026]]</f>
        <v>20101</v>
      </c>
      <c r="Z166" s="17">
        <v>10831</v>
      </c>
      <c r="AA166" s="17">
        <f>+Tabla22[[#This Row],[Amazon Full 2026]]</f>
        <v>2802</v>
      </c>
      <c r="AB166" s="17">
        <v>0</v>
      </c>
      <c r="AC166" s="17">
        <f>+Tabla22[[#This Row],[TikTok 2026]]</f>
        <v>6123</v>
      </c>
      <c r="AD166" s="17">
        <v>0</v>
      </c>
      <c r="AE166" s="17">
        <f>+Tabla22[[#This Row],[Shein 2026]]</f>
        <v>2627</v>
      </c>
      <c r="AF166" s="17">
        <f t="shared" si="47"/>
        <v>3614931</v>
      </c>
      <c r="AG166" s="18">
        <f t="shared" si="48"/>
        <v>0.71650476276516428</v>
      </c>
      <c r="AH166" s="17">
        <f t="shared" si="49"/>
        <v>-1430298.5474619195</v>
      </c>
      <c r="AI166" s="20">
        <f t="shared" si="50"/>
        <v>0.29342142461994447</v>
      </c>
      <c r="AJ166" s="20">
        <f t="shared" si="42"/>
        <v>5.8120100079536934E-2</v>
      </c>
      <c r="AK166" s="21">
        <f t="shared" si="51"/>
        <v>9.3151694283858139E-2</v>
      </c>
      <c r="AL166" s="21">
        <f t="shared" si="43"/>
        <v>-0.19299607782920425</v>
      </c>
      <c r="AO166" s="38">
        <f t="shared" si="52"/>
        <v>46185</v>
      </c>
      <c r="AP166" s="17">
        <f>Tabla2[[#This Row],[Web + APP 2025]]+Tabla2[[#This Row],[Afiliados 2025]]+Tabla2[[#This Row],[TMK 2025]]+Tabla2[[#This Row],[WA 2025]]+Tabla2[[#This Row],[Ent. en Tienda 2025]]</f>
        <v>1862655.3793103448</v>
      </c>
      <c r="AQ166" s="17">
        <f>Tabla2[[#This Row],[Meli Drop 2025]]+Tabla2[[#This Row],[Meli Full 2025]]+Tabla2[[#This Row],[Amazon Drop 2025]]+Tabla2[[#This Row],[Amazon Full 2025]]+Tabla2[[#This Row],[TikTok 2025]]+Tabla2[[#This Row],[Shein 2025]]</f>
        <v>932204</v>
      </c>
      <c r="AR166" s="17">
        <f>Tabla2[[#This Row],[Web + APP 2026]]+Tabla2[[#This Row],[Afiliados 2026]]+Tabla2[[#This Row],[TMK 2026]]+Tabla2[[#This Row],[WA 2026]]+Tabla2[[#This Row],[Ent. en Tienda 2026]]</f>
        <v>2794758</v>
      </c>
      <c r="AS166" s="17">
        <f>Tabla2[[#This Row],[Meli Drop 2026]]+Tabla2[[#This Row],[Meli Full 2026]]+Tabla2[[#This Row],[Amazon Drop 2026]]+Tabla2[[#This Row],[Amazon Full 2026]]+Tabla2[[#This Row],[TikTok 2026]]+Tabla2[[#This Row],[Shein 2026]]</f>
        <v>820173</v>
      </c>
      <c r="AT166" s="18">
        <f t="shared" si="53"/>
        <v>0.50041603564625547</v>
      </c>
      <c r="AU166" s="18">
        <f t="shared" si="53"/>
        <v>-0.12017863042853283</v>
      </c>
      <c r="AV166" s="49">
        <f t="shared" si="54"/>
        <v>3587371.5437153699</v>
      </c>
      <c r="AW166" s="49">
        <f t="shared" si="54"/>
        <v>1457858.0037465501</v>
      </c>
      <c r="AX166" s="39">
        <f t="shared" si="55"/>
        <v>0.77905451552573901</v>
      </c>
      <c r="AY166" s="39">
        <f t="shared" si="55"/>
        <v>0.56258771285834219</v>
      </c>
      <c r="AZ166" s="39">
        <f t="shared" si="56"/>
        <v>0.71650476276516428</v>
      </c>
      <c r="BA166" s="18">
        <v>3.9725525554446597E-2</v>
      </c>
      <c r="BB166" s="20">
        <v>3.1372475287727297E-2</v>
      </c>
      <c r="BC166" s="17">
        <f t="shared" si="57"/>
        <v>-792613.54371536989</v>
      </c>
      <c r="BD166" s="17">
        <f t="shared" si="57"/>
        <v>-637685.00374655006</v>
      </c>
      <c r="BE166" s="6">
        <f t="shared" si="58"/>
        <v>2392529.4293462741</v>
      </c>
      <c r="BF166" s="27">
        <f t="shared" si="59"/>
        <v>2.097787561139882E-2</v>
      </c>
    </row>
    <row r="167" spans="1:58" ht="14.25" customHeight="1" x14ac:dyDescent="0.35">
      <c r="A167" s="19">
        <v>45822</v>
      </c>
      <c r="B167" s="17">
        <v>63504580</v>
      </c>
      <c r="C167" s="17">
        <f t="shared" si="45"/>
        <v>2466126.1034482755</v>
      </c>
      <c r="D167" s="18">
        <f>+Tabla22[[#This Row],[Share diario]]</f>
        <v>2.4122060335077859E-2</v>
      </c>
      <c r="E167" s="17">
        <f>+Tabla22[[#This Row],[Global 2026]]</f>
        <v>50061401</v>
      </c>
      <c r="F167" s="19">
        <v>46186</v>
      </c>
      <c r="G167" s="17">
        <f t="shared" si="46"/>
        <v>3633800.0556295104</v>
      </c>
      <c r="H167" s="17">
        <f>+Tabla22[[#This Row],[Meta Digital]]</f>
        <v>2412639.4745812402</v>
      </c>
      <c r="I167" s="17">
        <f>+Tabla22[[#This Row],[Meta MKPlace]]</f>
        <v>1221160.58104827</v>
      </c>
      <c r="J167" s="17">
        <v>1488514</v>
      </c>
      <c r="K167" s="17">
        <f>+Tabla22[[#This Row],[Web + APP 2026]]</f>
        <v>2172069</v>
      </c>
      <c r="L167" s="17">
        <v>33468.103448275797</v>
      </c>
      <c r="M167" s="17">
        <f>+Tabla22[[#This Row],[Afiliados 2026]]</f>
        <v>41533</v>
      </c>
      <c r="N167" s="17">
        <v>14384</v>
      </c>
      <c r="O167" s="17">
        <f>+Tabla22[[#This Row],[TMK 2026]]</f>
        <v>29771</v>
      </c>
      <c r="P167" s="17">
        <v>6930</v>
      </c>
      <c r="Q167" s="17">
        <f>+Tabla22[[#This Row],[WA 2026]]</f>
        <v>2610</v>
      </c>
      <c r="R167" s="17">
        <v>78828</v>
      </c>
      <c r="S167" s="17">
        <f>+Tabla22[[#This Row],[Ent. en Tienda 2026]]</f>
        <v>43950</v>
      </c>
      <c r="T167" s="17">
        <v>672212</v>
      </c>
      <c r="U167" s="17">
        <f>+Tabla22[[#This Row],[Meli Drop 2026]]</f>
        <v>427855</v>
      </c>
      <c r="V167" s="17">
        <v>147847</v>
      </c>
      <c r="W167" s="17">
        <f>+Tabla22[[#This Row],[Meli Full 2026]]</f>
        <v>215157</v>
      </c>
      <c r="X167" s="17">
        <v>11663</v>
      </c>
      <c r="Y167" s="17">
        <f>+Tabla22[[#This Row],[Amazon Drop 2026]]</f>
        <v>16395</v>
      </c>
      <c r="Z167" s="17">
        <v>12280</v>
      </c>
      <c r="AA167" s="17">
        <f>+Tabla22[[#This Row],[Amazon Full 2026]]</f>
        <v>3162</v>
      </c>
      <c r="AB167" s="17">
        <v>0</v>
      </c>
      <c r="AC167" s="17">
        <f>+Tabla22[[#This Row],[TikTok 2026]]</f>
        <v>-34</v>
      </c>
      <c r="AD167" s="17">
        <v>0</v>
      </c>
      <c r="AE167" s="17">
        <f>+Tabla22[[#This Row],[Shein 2026]]</f>
        <v>3272</v>
      </c>
      <c r="AF167" s="17">
        <f t="shared" si="47"/>
        <v>2955740</v>
      </c>
      <c r="AG167" s="18">
        <f t="shared" si="48"/>
        <v>0.81340193592130783</v>
      </c>
      <c r="AH167" s="17">
        <f t="shared" si="49"/>
        <v>-678060.05562951043</v>
      </c>
      <c r="AI167" s="20">
        <f t="shared" si="50"/>
        <v>0.19853562876088082</v>
      </c>
      <c r="AJ167" s="20">
        <f t="shared" si="42"/>
        <v>3.8833830622110647E-2</v>
      </c>
      <c r="AK167" s="21">
        <f t="shared" si="51"/>
        <v>5.9042294881040187E-2</v>
      </c>
      <c r="AL167" s="21">
        <f t="shared" si="43"/>
        <v>-0.21168833806947462</v>
      </c>
      <c r="AO167" s="38">
        <f t="shared" si="52"/>
        <v>46186</v>
      </c>
      <c r="AP167" s="17">
        <f>Tabla2[[#This Row],[Web + APP 2025]]+Tabla2[[#This Row],[Afiliados 2025]]+Tabla2[[#This Row],[TMK 2025]]+Tabla2[[#This Row],[WA 2025]]+Tabla2[[#This Row],[Ent. en Tienda 2025]]</f>
        <v>1622124.1034482757</v>
      </c>
      <c r="AQ167" s="17">
        <f>Tabla2[[#This Row],[Meli Drop 2025]]+Tabla2[[#This Row],[Meli Full 2025]]+Tabla2[[#This Row],[Amazon Drop 2025]]+Tabla2[[#This Row],[Amazon Full 2025]]+Tabla2[[#This Row],[TikTok 2025]]+Tabla2[[#This Row],[Shein 2025]]</f>
        <v>844002</v>
      </c>
      <c r="AR167" s="17">
        <f>Tabla2[[#This Row],[Web + APP 2026]]+Tabla2[[#This Row],[Afiliados 2026]]+Tabla2[[#This Row],[TMK 2026]]+Tabla2[[#This Row],[WA 2026]]+Tabla2[[#This Row],[Ent. en Tienda 2026]]</f>
        <v>2289933</v>
      </c>
      <c r="AS167" s="17">
        <f>Tabla2[[#This Row],[Meli Drop 2026]]+Tabla2[[#This Row],[Meli Full 2026]]+Tabla2[[#This Row],[Amazon Drop 2026]]+Tabla2[[#This Row],[Amazon Full 2026]]+Tabla2[[#This Row],[TikTok 2026]]+Tabla2[[#This Row],[Shein 2026]]</f>
        <v>665807</v>
      </c>
      <c r="AT167" s="18">
        <f t="shared" si="53"/>
        <v>0.41168791902673219</v>
      </c>
      <c r="AU167" s="18">
        <f t="shared" si="53"/>
        <v>-0.21113101627721265</v>
      </c>
      <c r="AV167" s="49">
        <f t="shared" si="54"/>
        <v>2412639.4745812402</v>
      </c>
      <c r="AW167" s="49">
        <f t="shared" si="54"/>
        <v>1221160.58104827</v>
      </c>
      <c r="AX167" s="39">
        <f t="shared" si="55"/>
        <v>0.94914015298430021</v>
      </c>
      <c r="AY167" s="39">
        <f t="shared" si="55"/>
        <v>0.54522477250981782</v>
      </c>
      <c r="AZ167" s="39">
        <f t="shared" si="56"/>
        <v>0.81340193592130783</v>
      </c>
      <c r="BA167" s="18">
        <v>3.3275700201148999E-2</v>
      </c>
      <c r="BB167" s="20">
        <v>2.12226044556688E-2</v>
      </c>
      <c r="BC167" s="17">
        <f t="shared" si="57"/>
        <v>-122706.47458124021</v>
      </c>
      <c r="BD167" s="17">
        <f t="shared" si="57"/>
        <v>-555353.58104826999</v>
      </c>
      <c r="BE167" s="6">
        <f t="shared" si="58"/>
        <v>2083573.6436596699</v>
      </c>
      <c r="BF167" s="27">
        <f t="shared" si="59"/>
        <v>1.8268928351625097E-2</v>
      </c>
    </row>
    <row r="168" spans="1:58" ht="14.25" customHeight="1" x14ac:dyDescent="0.35">
      <c r="A168" s="16">
        <v>45823</v>
      </c>
      <c r="B168" s="17">
        <v>45983368</v>
      </c>
      <c r="C168" s="17">
        <f t="shared" si="45"/>
        <v>2738998.7586206896</v>
      </c>
      <c r="D168" s="18">
        <f>+Tabla22[[#This Row],[Share diario]]</f>
        <v>2.1208496756861019E-2</v>
      </c>
      <c r="E168" s="17">
        <f>+Tabla22[[#This Row],[Global 2026]]</f>
        <v>53829581</v>
      </c>
      <c r="F168" s="19">
        <v>46187</v>
      </c>
      <c r="G168" s="17">
        <f t="shared" si="46"/>
        <v>3194761.9660381302</v>
      </c>
      <c r="H168" s="17">
        <f>+Tabla22[[#This Row],[Meta Digital]]</f>
        <v>2089143.48260971</v>
      </c>
      <c r="I168" s="17">
        <f>+Tabla22[[#This Row],[Meta MKPlace]]</f>
        <v>1105618.48342842</v>
      </c>
      <c r="J168" s="17">
        <v>1664679</v>
      </c>
      <c r="K168" s="17">
        <f>+Tabla22[[#This Row],[Web + APP 2026]]</f>
        <v>2966244</v>
      </c>
      <c r="L168" s="17">
        <v>25457.758620689601</v>
      </c>
      <c r="M168" s="17">
        <f>+Tabla22[[#This Row],[Afiliados 2026]]</f>
        <v>39097</v>
      </c>
      <c r="N168" s="17">
        <v>15670</v>
      </c>
      <c r="O168" s="17">
        <f>+Tabla22[[#This Row],[TMK 2026]]</f>
        <v>-880</v>
      </c>
      <c r="P168" s="17">
        <v>5332</v>
      </c>
      <c r="Q168" s="17">
        <f>+Tabla22[[#This Row],[WA 2026]]</f>
        <v>939</v>
      </c>
      <c r="R168" s="17">
        <v>91206</v>
      </c>
      <c r="S168" s="17">
        <f>+Tabla22[[#This Row],[Ent. en Tienda 2026]]</f>
        <v>55568</v>
      </c>
      <c r="T168" s="17">
        <v>746589</v>
      </c>
      <c r="U168" s="17">
        <f>+Tabla22[[#This Row],[Meli Drop 2026]]</f>
        <v>506926</v>
      </c>
      <c r="V168" s="17">
        <v>161202</v>
      </c>
      <c r="W168" s="17">
        <f>+Tabla22[[#This Row],[Meli Full 2026]]</f>
        <v>228812</v>
      </c>
      <c r="X168" s="17">
        <v>18560</v>
      </c>
      <c r="Y168" s="17">
        <f>+Tabla22[[#This Row],[Amazon Drop 2026]]</f>
        <v>16003</v>
      </c>
      <c r="Z168" s="17">
        <v>10303</v>
      </c>
      <c r="AA168" s="17">
        <f>+Tabla22[[#This Row],[Amazon Full 2026]]</f>
        <v>2578</v>
      </c>
      <c r="AB168" s="17">
        <v>0</v>
      </c>
      <c r="AC168" s="17">
        <f>+Tabla22[[#This Row],[TikTok 2026]]</f>
        <v>3300</v>
      </c>
      <c r="AD168" s="17">
        <v>0</v>
      </c>
      <c r="AE168" s="17">
        <f>+Tabla22[[#This Row],[Shein 2026]]</f>
        <v>3617</v>
      </c>
      <c r="AF168" s="17">
        <f t="shared" si="47"/>
        <v>3822204</v>
      </c>
      <c r="AG168" s="18">
        <f t="shared" si="48"/>
        <v>1.196397115225448</v>
      </c>
      <c r="AH168" s="17">
        <f t="shared" si="49"/>
        <v>627442.03396186978</v>
      </c>
      <c r="AI168" s="20">
        <f t="shared" si="50"/>
        <v>0.39547489314116846</v>
      </c>
      <c r="AJ168" s="20">
        <f t="shared" si="42"/>
        <v>5.9564987902162574E-2</v>
      </c>
      <c r="AK168" s="21">
        <f t="shared" si="51"/>
        <v>7.1005642789602988E-2</v>
      </c>
      <c r="AL168" s="21">
        <f t="shared" si="43"/>
        <v>0.17063154225675681</v>
      </c>
      <c r="AO168" s="38">
        <f t="shared" si="52"/>
        <v>46187</v>
      </c>
      <c r="AP168" s="17">
        <f>Tabla2[[#This Row],[Web + APP 2025]]+Tabla2[[#This Row],[Afiliados 2025]]+Tabla2[[#This Row],[TMK 2025]]+Tabla2[[#This Row],[WA 2025]]+Tabla2[[#This Row],[Ent. en Tienda 2025]]</f>
        <v>1802344.7586206896</v>
      </c>
      <c r="AQ168" s="17">
        <f>Tabla2[[#This Row],[Meli Drop 2025]]+Tabla2[[#This Row],[Meli Full 2025]]+Tabla2[[#This Row],[Amazon Drop 2025]]+Tabla2[[#This Row],[Amazon Full 2025]]+Tabla2[[#This Row],[TikTok 2025]]+Tabla2[[#This Row],[Shein 2025]]</f>
        <v>936654</v>
      </c>
      <c r="AR168" s="17">
        <f>Tabla2[[#This Row],[Web + APP 2026]]+Tabla2[[#This Row],[Afiliados 2026]]+Tabla2[[#This Row],[TMK 2026]]+Tabla2[[#This Row],[WA 2026]]+Tabla2[[#This Row],[Ent. en Tienda 2026]]</f>
        <v>3060968</v>
      </c>
      <c r="AS168" s="17">
        <f>Tabla2[[#This Row],[Meli Drop 2026]]+Tabla2[[#This Row],[Meli Full 2026]]+Tabla2[[#This Row],[Amazon Drop 2026]]+Tabla2[[#This Row],[Amazon Full 2026]]+Tabla2[[#This Row],[TikTok 2026]]+Tabla2[[#This Row],[Shein 2026]]</f>
        <v>761236</v>
      </c>
      <c r="AT168" s="18">
        <f t="shared" si="53"/>
        <v>0.69832546484753455</v>
      </c>
      <c r="AU168" s="18">
        <f t="shared" si="53"/>
        <v>-0.1872815361915926</v>
      </c>
      <c r="AV168" s="49">
        <f t="shared" si="54"/>
        <v>2089143.48260971</v>
      </c>
      <c r="AW168" s="49">
        <f t="shared" si="54"/>
        <v>1105618.48342842</v>
      </c>
      <c r="AX168" s="39">
        <f t="shared" si="55"/>
        <v>1.4651784453676246</v>
      </c>
      <c r="AY168" s="39">
        <f t="shared" si="55"/>
        <v>0.68851598576705952</v>
      </c>
      <c r="AZ168" s="39">
        <f t="shared" si="56"/>
        <v>1.196397115225448</v>
      </c>
      <c r="BA168" s="18">
        <v>3.01272656212269E-2</v>
      </c>
      <c r="BB168" s="20">
        <v>1.8482054494823E-2</v>
      </c>
      <c r="BC168" s="17">
        <f t="shared" si="57"/>
        <v>971824.51739029004</v>
      </c>
      <c r="BD168" s="17">
        <f t="shared" si="57"/>
        <v>-344382.48342842003</v>
      </c>
      <c r="BE168" s="6">
        <f t="shared" si="58"/>
        <v>2315062.101516922</v>
      </c>
      <c r="BF168" s="27">
        <f t="shared" si="59"/>
        <v>2.0298636331322069E-2</v>
      </c>
    </row>
    <row r="169" spans="1:58" ht="14.25" customHeight="1" x14ac:dyDescent="0.35">
      <c r="A169" s="19">
        <v>45824</v>
      </c>
      <c r="B169" s="17">
        <v>24591091</v>
      </c>
      <c r="C169" s="17">
        <f t="shared" si="45"/>
        <v>3924745.068965517</v>
      </c>
      <c r="D169" s="18">
        <f>+Tabla22[[#This Row],[Share diario]]</f>
        <v>2.3661578826843464E-2</v>
      </c>
      <c r="E169" s="17">
        <f>+Tabla22[[#This Row],[Global 2026]]</f>
        <v>31869082</v>
      </c>
      <c r="F169" s="19">
        <v>46188</v>
      </c>
      <c r="G169" s="17">
        <f t="shared" si="46"/>
        <v>3564311.2937797699</v>
      </c>
      <c r="H169" s="17">
        <f>+Tabla22[[#This Row],[Meta Digital]]</f>
        <v>2337321.3399915602</v>
      </c>
      <c r="I169" s="17">
        <f>+Tabla22[[#This Row],[Meta MKPlace]]</f>
        <v>1226989.9537882099</v>
      </c>
      <c r="J169" s="17">
        <v>2846654</v>
      </c>
      <c r="K169" s="17">
        <f>+Tabla22[[#This Row],[Web + APP 2026]]</f>
        <v>4649825</v>
      </c>
      <c r="L169" s="17">
        <v>25462.068965517199</v>
      </c>
      <c r="M169" s="17">
        <f>+Tabla22[[#This Row],[Afiliados 2026]]</f>
        <v>37739</v>
      </c>
      <c r="N169" s="17">
        <v>27617</v>
      </c>
      <c r="O169" s="17">
        <f>+Tabla22[[#This Row],[TMK 2026]]</f>
        <v>23981</v>
      </c>
      <c r="P169" s="17">
        <v>9575</v>
      </c>
      <c r="Q169" s="17">
        <f>+Tabla22[[#This Row],[WA 2026]]</f>
        <v>1678</v>
      </c>
      <c r="R169" s="17">
        <v>85369</v>
      </c>
      <c r="S169" s="17">
        <f>+Tabla22[[#This Row],[Ent. en Tienda 2026]]</f>
        <v>112677</v>
      </c>
      <c r="T169" s="17">
        <v>742785</v>
      </c>
      <c r="U169" s="17">
        <f>+Tabla22[[#This Row],[Meli Drop 2026]]</f>
        <v>633681</v>
      </c>
      <c r="V169" s="17">
        <v>138760</v>
      </c>
      <c r="W169" s="17">
        <f>+Tabla22[[#This Row],[Meli Full 2026]]</f>
        <v>215869</v>
      </c>
      <c r="X169" s="17">
        <v>37149</v>
      </c>
      <c r="Y169" s="17">
        <f>+Tabla22[[#This Row],[Amazon Drop 2026]]</f>
        <v>20071</v>
      </c>
      <c r="Z169" s="17">
        <v>11374</v>
      </c>
      <c r="AA169" s="17">
        <f>+Tabla22[[#This Row],[Amazon Full 2026]]</f>
        <v>5767</v>
      </c>
      <c r="AB169" s="17">
        <v>0</v>
      </c>
      <c r="AC169" s="17">
        <f>+Tabla22[[#This Row],[TikTok 2026]]</f>
        <v>8348</v>
      </c>
      <c r="AD169" s="17">
        <v>0</v>
      </c>
      <c r="AE169" s="17">
        <f>+Tabla22[[#This Row],[Shein 2026]]</f>
        <v>1550</v>
      </c>
      <c r="AF169" s="17">
        <f t="shared" si="47"/>
        <v>5711186</v>
      </c>
      <c r="AG169" s="18">
        <f t="shared" si="48"/>
        <v>1.6023252542410737</v>
      </c>
      <c r="AH169" s="17">
        <f t="shared" si="49"/>
        <v>2146874.7062202301</v>
      </c>
      <c r="AI169" s="20">
        <f t="shared" si="50"/>
        <v>0.45517375005081595</v>
      </c>
      <c r="AJ169" s="20">
        <f t="shared" si="42"/>
        <v>0.1596002824342164</v>
      </c>
      <c r="AK169" s="21">
        <f t="shared" si="51"/>
        <v>0.17920773494511075</v>
      </c>
      <c r="AL169" s="21">
        <f t="shared" si="43"/>
        <v>0.29596047609274434</v>
      </c>
      <c r="AO169" s="38">
        <f t="shared" si="52"/>
        <v>46188</v>
      </c>
      <c r="AP169" s="17">
        <f>Tabla2[[#This Row],[Web + APP 2025]]+Tabla2[[#This Row],[Afiliados 2025]]+Tabla2[[#This Row],[TMK 2025]]+Tabla2[[#This Row],[WA 2025]]+Tabla2[[#This Row],[Ent. en Tienda 2025]]</f>
        <v>2994677.068965517</v>
      </c>
      <c r="AQ169" s="17">
        <f>Tabla2[[#This Row],[Meli Drop 2025]]+Tabla2[[#This Row],[Meli Full 2025]]+Tabla2[[#This Row],[Amazon Drop 2025]]+Tabla2[[#This Row],[Amazon Full 2025]]+Tabla2[[#This Row],[TikTok 2025]]+Tabla2[[#This Row],[Shein 2025]]</f>
        <v>930068</v>
      </c>
      <c r="AR169" s="17">
        <f>Tabla2[[#This Row],[Web + APP 2026]]+Tabla2[[#This Row],[Afiliados 2026]]+Tabla2[[#This Row],[TMK 2026]]+Tabla2[[#This Row],[WA 2026]]+Tabla2[[#This Row],[Ent. en Tienda 2026]]</f>
        <v>4825900</v>
      </c>
      <c r="AS169" s="17">
        <f>Tabla2[[#This Row],[Meli Drop 2026]]+Tabla2[[#This Row],[Meli Full 2026]]+Tabla2[[#This Row],[Amazon Drop 2026]]+Tabla2[[#This Row],[Amazon Full 2026]]+Tabla2[[#This Row],[TikTok 2026]]+Tabla2[[#This Row],[Shein 2026]]</f>
        <v>885286</v>
      </c>
      <c r="AT169" s="18">
        <f t="shared" si="53"/>
        <v>0.61149262136202953</v>
      </c>
      <c r="AU169" s="18">
        <f t="shared" si="53"/>
        <v>-4.8149167587746233E-2</v>
      </c>
      <c r="AV169" s="49">
        <f t="shared" si="54"/>
        <v>2337321.3399915602</v>
      </c>
      <c r="AW169" s="49">
        <f t="shared" si="54"/>
        <v>1226989.9537882099</v>
      </c>
      <c r="AX169" s="39">
        <f t="shared" si="55"/>
        <v>2.064713960134136</v>
      </c>
      <c r="AY169" s="39">
        <f t="shared" si="55"/>
        <v>0.72151038993169192</v>
      </c>
      <c r="AZ169" s="39">
        <f t="shared" si="56"/>
        <v>1.6023252542410737</v>
      </c>
      <c r="BA169" s="18">
        <v>3.3434546189682703E-2</v>
      </c>
      <c r="BB169" s="20">
        <v>2.0535441139475301E-2</v>
      </c>
      <c r="BC169" s="17">
        <f t="shared" si="57"/>
        <v>2488578.6600084398</v>
      </c>
      <c r="BD169" s="17">
        <f t="shared" si="57"/>
        <v>-341703.95378820994</v>
      </c>
      <c r="BE169" s="6">
        <f t="shared" si="58"/>
        <v>3846580.0482863639</v>
      </c>
      <c r="BF169" s="27">
        <f t="shared" si="59"/>
        <v>3.3727099358726836E-2</v>
      </c>
    </row>
    <row r="170" spans="1:58" ht="14.25" customHeight="1" x14ac:dyDescent="0.35">
      <c r="A170" s="16">
        <v>45825</v>
      </c>
      <c r="B170" s="17">
        <v>30070957</v>
      </c>
      <c r="C170" s="17">
        <f t="shared" si="45"/>
        <v>4516915.2413793104</v>
      </c>
      <c r="D170" s="18">
        <f>+Tabla22[[#This Row],[Share diario]]</f>
        <v>3.3998593228917177E-2</v>
      </c>
      <c r="E170" s="17">
        <f>+Tabla22[[#This Row],[Global 2026]]</f>
        <v>36969775</v>
      </c>
      <c r="F170" s="19">
        <v>46189</v>
      </c>
      <c r="G170" s="17">
        <f t="shared" si="46"/>
        <v>5123707.1868958799</v>
      </c>
      <c r="H170" s="17">
        <f>+Tabla22[[#This Row],[Meta Digital]]</f>
        <v>3905344.7047627801</v>
      </c>
      <c r="I170" s="17">
        <f>+Tabla22[[#This Row],[Meta MKPlace]]</f>
        <v>1218362.4821331</v>
      </c>
      <c r="J170" s="17">
        <v>3368273</v>
      </c>
      <c r="K170" s="17">
        <f>+Tabla22[[#This Row],[Web + APP 2026]]</f>
        <v>5160916</v>
      </c>
      <c r="L170" s="17">
        <v>37267.241379310297</v>
      </c>
      <c r="M170" s="17">
        <f>+Tabla22[[#This Row],[Afiliados 2026]]</f>
        <v>18791</v>
      </c>
      <c r="N170" s="17">
        <v>45603</v>
      </c>
      <c r="O170" s="17">
        <f>+Tabla22[[#This Row],[TMK 2026]]</f>
        <v>35886</v>
      </c>
      <c r="P170" s="17">
        <v>6054</v>
      </c>
      <c r="Q170" s="17">
        <f>+Tabla22[[#This Row],[WA 2026]]</f>
        <v>3238</v>
      </c>
      <c r="R170" s="17">
        <v>78737</v>
      </c>
      <c r="S170" s="17">
        <f>+Tabla22[[#This Row],[Ent. en Tienda 2026]]</f>
        <v>89042</v>
      </c>
      <c r="T170" s="17">
        <v>770093</v>
      </c>
      <c r="U170" s="17">
        <f>+Tabla22[[#This Row],[Meli Drop 2026]]</f>
        <v>748300</v>
      </c>
      <c r="V170" s="17">
        <v>153147</v>
      </c>
      <c r="W170" s="17">
        <f>+Tabla22[[#This Row],[Meli Full 2026]]</f>
        <v>179203</v>
      </c>
      <c r="X170" s="17">
        <v>41755</v>
      </c>
      <c r="Y170" s="17">
        <f>+Tabla22[[#This Row],[Amazon Drop 2026]]</f>
        <v>14440</v>
      </c>
      <c r="Z170" s="17">
        <v>15986</v>
      </c>
      <c r="AA170" s="17">
        <f>+Tabla22[[#This Row],[Amazon Full 2026]]</f>
        <v>6266</v>
      </c>
      <c r="AB170" s="17">
        <v>0</v>
      </c>
      <c r="AC170" s="17">
        <f>+Tabla22[[#This Row],[TikTok 2026]]</f>
        <v>8389</v>
      </c>
      <c r="AD170" s="17">
        <v>0</v>
      </c>
      <c r="AE170" s="17">
        <f>+Tabla22[[#This Row],[Shein 2026]]</f>
        <v>2884</v>
      </c>
      <c r="AF170" s="17">
        <f t="shared" si="47"/>
        <v>6267355</v>
      </c>
      <c r="AG170" s="18">
        <f t="shared" si="48"/>
        <v>1.2232070981786494</v>
      </c>
      <c r="AH170" s="17">
        <f t="shared" si="49"/>
        <v>1143647.8131041201</v>
      </c>
      <c r="AI170" s="20">
        <f t="shared" si="50"/>
        <v>0.38752991036558959</v>
      </c>
      <c r="AJ170" s="20">
        <f t="shared" si="42"/>
        <v>0.15020856307896388</v>
      </c>
      <c r="AK170" s="21">
        <f t="shared" si="51"/>
        <v>0.16952645776177971</v>
      </c>
      <c r="AL170" s="21">
        <f t="shared" si="43"/>
        <v>0.22941797296308186</v>
      </c>
      <c r="AO170" s="38">
        <f t="shared" si="52"/>
        <v>46189</v>
      </c>
      <c r="AP170" s="17">
        <f>Tabla2[[#This Row],[Web + APP 2025]]+Tabla2[[#This Row],[Afiliados 2025]]+Tabla2[[#This Row],[TMK 2025]]+Tabla2[[#This Row],[WA 2025]]+Tabla2[[#This Row],[Ent. en Tienda 2025]]</f>
        <v>3535934.2413793104</v>
      </c>
      <c r="AQ170" s="17">
        <f>Tabla2[[#This Row],[Meli Drop 2025]]+Tabla2[[#This Row],[Meli Full 2025]]+Tabla2[[#This Row],[Amazon Drop 2025]]+Tabla2[[#This Row],[Amazon Full 2025]]+Tabla2[[#This Row],[TikTok 2025]]+Tabla2[[#This Row],[Shein 2025]]</f>
        <v>980981</v>
      </c>
      <c r="AR170" s="17">
        <f>Tabla2[[#This Row],[Web + APP 2026]]+Tabla2[[#This Row],[Afiliados 2026]]+Tabla2[[#This Row],[TMK 2026]]+Tabla2[[#This Row],[WA 2026]]+Tabla2[[#This Row],[Ent. en Tienda 2026]]</f>
        <v>5307873</v>
      </c>
      <c r="AS170" s="17">
        <f>Tabla2[[#This Row],[Meli Drop 2026]]+Tabla2[[#This Row],[Meli Full 2026]]+Tabla2[[#This Row],[Amazon Drop 2026]]+Tabla2[[#This Row],[Amazon Full 2026]]+Tabla2[[#This Row],[TikTok 2026]]+Tabla2[[#This Row],[Shein 2026]]</f>
        <v>959482</v>
      </c>
      <c r="AT170" s="18">
        <f t="shared" si="53"/>
        <v>0.5011232216607866</v>
      </c>
      <c r="AU170" s="18">
        <f t="shared" si="53"/>
        <v>-2.1915816922040254E-2</v>
      </c>
      <c r="AV170" s="49">
        <f t="shared" si="54"/>
        <v>3905344.7047627801</v>
      </c>
      <c r="AW170" s="49">
        <f t="shared" si="54"/>
        <v>1218362.4821331</v>
      </c>
      <c r="AX170" s="39">
        <f t="shared" si="55"/>
        <v>1.3591304740723043</v>
      </c>
      <c r="AY170" s="39">
        <f t="shared" si="55"/>
        <v>0.78751768383424448</v>
      </c>
      <c r="AZ170" s="39">
        <f t="shared" si="56"/>
        <v>1.2232070981786494</v>
      </c>
      <c r="BA170" s="18">
        <v>3.3199454126652803E-2</v>
      </c>
      <c r="BB170" s="20">
        <v>3.4120561223004102E-2</v>
      </c>
      <c r="BC170" s="17">
        <f t="shared" si="57"/>
        <v>1402528.2952372199</v>
      </c>
      <c r="BD170" s="17">
        <f t="shared" si="57"/>
        <v>-258880.48213310004</v>
      </c>
      <c r="BE170" s="6">
        <f t="shared" si="58"/>
        <v>4541809.9486902812</v>
      </c>
      <c r="BF170" s="27">
        <f t="shared" si="59"/>
        <v>3.9822926725825748E-2</v>
      </c>
    </row>
    <row r="171" spans="1:58" ht="14.25" customHeight="1" x14ac:dyDescent="0.35">
      <c r="A171" s="19">
        <v>45826</v>
      </c>
      <c r="B171" s="17">
        <v>33374116</v>
      </c>
      <c r="C171" s="17">
        <f t="shared" si="45"/>
        <v>4064742.8620689656</v>
      </c>
      <c r="D171" s="18">
        <f>+Tabla22[[#This Row],[Share diario]]</f>
        <v>3.9069970538775284E-2</v>
      </c>
      <c r="E171" s="17">
        <f>+Tabla22[[#This Row],[Global 2026]]</f>
        <v>42471497</v>
      </c>
      <c r="F171" s="19">
        <v>46190</v>
      </c>
      <c r="G171" s="17">
        <f t="shared" si="46"/>
        <v>5888458.4875598401</v>
      </c>
      <c r="H171" s="17">
        <f>+Tabla22[[#This Row],[Meta Digital]]</f>
        <v>4603401.4314247901</v>
      </c>
      <c r="I171" s="17">
        <f>+Tabla22[[#This Row],[Meta MKPlace]]</f>
        <v>1285057.05613505</v>
      </c>
      <c r="J171" s="17">
        <v>3013055</v>
      </c>
      <c r="K171" s="17">
        <f>+Tabla22[[#This Row],[Web + APP 2026]]</f>
        <v>4780003</v>
      </c>
      <c r="L171" s="17">
        <v>40300.8620689655</v>
      </c>
      <c r="M171" s="17">
        <f>+Tabla22[[#This Row],[Afiliados 2026]]</f>
        <v>32856</v>
      </c>
      <c r="N171" s="17">
        <v>43913</v>
      </c>
      <c r="O171" s="17">
        <f>+Tabla22[[#This Row],[TMK 2026]]</f>
        <v>23592</v>
      </c>
      <c r="P171" s="17">
        <v>7553</v>
      </c>
      <c r="Q171" s="17">
        <f>+Tabla22[[#This Row],[WA 2026]]</f>
        <v>4187</v>
      </c>
      <c r="R171" s="17">
        <v>114170</v>
      </c>
      <c r="S171" s="17">
        <f>+Tabla22[[#This Row],[Ent. en Tienda 2026]]</f>
        <v>135945</v>
      </c>
      <c r="T171" s="17">
        <v>667867</v>
      </c>
      <c r="U171" s="17">
        <f>+Tabla22[[#This Row],[Meli Drop 2026]]</f>
        <v>805827</v>
      </c>
      <c r="V171" s="17">
        <v>125568</v>
      </c>
      <c r="W171" s="17">
        <f>+Tabla22[[#This Row],[Meli Full 2026]]</f>
        <v>161698</v>
      </c>
      <c r="X171" s="17">
        <v>34974</v>
      </c>
      <c r="Y171" s="17">
        <f>+Tabla22[[#This Row],[Amazon Drop 2026]]</f>
        <v>17717</v>
      </c>
      <c r="Z171" s="17">
        <v>17342</v>
      </c>
      <c r="AA171" s="17">
        <f>+Tabla22[[#This Row],[Amazon Full 2026]]</f>
        <v>6926</v>
      </c>
      <c r="AB171" s="17">
        <v>0</v>
      </c>
      <c r="AC171" s="17">
        <f>+Tabla22[[#This Row],[TikTok 2026]]</f>
        <v>7283</v>
      </c>
      <c r="AD171" s="17">
        <v>0</v>
      </c>
      <c r="AE171" s="17">
        <f>+Tabla22[[#This Row],[Shein 2026]]</f>
        <v>2368</v>
      </c>
      <c r="AF171" s="17">
        <f t="shared" si="47"/>
        <v>5978402</v>
      </c>
      <c r="AG171" s="18">
        <f t="shared" si="48"/>
        <v>1.0152745430115842</v>
      </c>
      <c r="AH171" s="17">
        <f t="shared" si="49"/>
        <v>89943.512440159917</v>
      </c>
      <c r="AI171" s="20">
        <f t="shared" si="50"/>
        <v>0.47079463643045227</v>
      </c>
      <c r="AJ171" s="20">
        <f t="shared" si="42"/>
        <v>0.12179327422691781</v>
      </c>
      <c r="AK171" s="21">
        <f t="shared" si="51"/>
        <v>0.14076268609039139</v>
      </c>
      <c r="AL171" s="21">
        <f t="shared" si="43"/>
        <v>0.27258792412658961</v>
      </c>
      <c r="AO171" s="38">
        <f t="shared" si="52"/>
        <v>46190</v>
      </c>
      <c r="AP171" s="17">
        <f>Tabla2[[#This Row],[Web + APP 2025]]+Tabla2[[#This Row],[Afiliados 2025]]+Tabla2[[#This Row],[TMK 2025]]+Tabla2[[#This Row],[WA 2025]]+Tabla2[[#This Row],[Ent. en Tienda 2025]]</f>
        <v>3218991.8620689656</v>
      </c>
      <c r="AQ171" s="17">
        <f>Tabla2[[#This Row],[Meli Drop 2025]]+Tabla2[[#This Row],[Meli Full 2025]]+Tabla2[[#This Row],[Amazon Drop 2025]]+Tabla2[[#This Row],[Amazon Full 2025]]+Tabla2[[#This Row],[TikTok 2025]]+Tabla2[[#This Row],[Shein 2025]]</f>
        <v>845751</v>
      </c>
      <c r="AR171" s="17">
        <f>Tabla2[[#This Row],[Web + APP 2026]]+Tabla2[[#This Row],[Afiliados 2026]]+Tabla2[[#This Row],[TMK 2026]]+Tabla2[[#This Row],[WA 2026]]+Tabla2[[#This Row],[Ent. en Tienda 2026]]</f>
        <v>4976583</v>
      </c>
      <c r="AS171" s="17">
        <f>Tabla2[[#This Row],[Meli Drop 2026]]+Tabla2[[#This Row],[Meli Full 2026]]+Tabla2[[#This Row],[Amazon Drop 2026]]+Tabla2[[#This Row],[Amazon Full 2026]]+Tabla2[[#This Row],[TikTok 2026]]+Tabla2[[#This Row],[Shein 2026]]</f>
        <v>1001819</v>
      </c>
      <c r="AT171" s="18">
        <f t="shared" si="53"/>
        <v>0.54600670434791509</v>
      </c>
      <c r="AU171" s="18">
        <f t="shared" si="53"/>
        <v>0.18453185393809757</v>
      </c>
      <c r="AV171" s="49">
        <f t="shared" si="54"/>
        <v>4603401.4314247901</v>
      </c>
      <c r="AW171" s="49">
        <f t="shared" si="54"/>
        <v>1285057.05613505</v>
      </c>
      <c r="AX171" s="39">
        <f t="shared" si="55"/>
        <v>1.0810664840193411</v>
      </c>
      <c r="AY171" s="39">
        <f t="shared" si="55"/>
        <v>0.77959106579522663</v>
      </c>
      <c r="AZ171" s="39">
        <f t="shared" si="56"/>
        <v>1.0152745430115842</v>
      </c>
      <c r="BA171" s="18">
        <v>3.5016830714117701E-2</v>
      </c>
      <c r="BB171" s="20">
        <v>4.0287502787462903E-2</v>
      </c>
      <c r="BC171" s="17">
        <f t="shared" si="57"/>
        <v>373181.56857520994</v>
      </c>
      <c r="BD171" s="17">
        <f t="shared" si="57"/>
        <v>-283238.05613505002</v>
      </c>
      <c r="BE171" s="6">
        <f t="shared" si="58"/>
        <v>4134706.2094103978</v>
      </c>
      <c r="BF171" s="27">
        <f t="shared" si="59"/>
        <v>3.6253410924349395E-2</v>
      </c>
    </row>
    <row r="172" spans="1:58" ht="14.25" customHeight="1" x14ac:dyDescent="0.35">
      <c r="A172" s="16">
        <v>45827</v>
      </c>
      <c r="B172" s="17">
        <v>36317478</v>
      </c>
      <c r="C172" s="17">
        <f t="shared" si="45"/>
        <v>3468062.9310344825</v>
      </c>
      <c r="D172" s="18">
        <f>+Tabla22[[#This Row],[Share diario]]</f>
        <v>3.5100122306859348E-2</v>
      </c>
      <c r="E172" s="17">
        <f>+Tabla22[[#This Row],[Global 2026]]</f>
        <v>46880396</v>
      </c>
      <c r="F172" s="19">
        <v>46191</v>
      </c>
      <c r="G172" s="17">
        <f t="shared" si="46"/>
        <v>5290333.0760039603</v>
      </c>
      <c r="H172" s="17">
        <f>+Tabla22[[#This Row],[Meta Digital]]</f>
        <v>4182423.4525930402</v>
      </c>
      <c r="I172" s="17">
        <f>+Tabla22[[#This Row],[Meta MKPlace]]</f>
        <v>1107909.6234109199</v>
      </c>
      <c r="J172" s="17">
        <v>2710805</v>
      </c>
      <c r="K172" s="17">
        <f>+Tabla22[[#This Row],[Web + APP 2026]]</f>
        <v>3694508</v>
      </c>
      <c r="L172" s="17">
        <v>40587.931034482703</v>
      </c>
      <c r="M172" s="17">
        <f>+Tabla22[[#This Row],[Afiliados 2026]]</f>
        <v>30523</v>
      </c>
      <c r="N172" s="17">
        <v>31678</v>
      </c>
      <c r="O172" s="17">
        <f>+Tabla22[[#This Row],[TMK 2026]]</f>
        <v>39366</v>
      </c>
      <c r="P172" s="17">
        <v>8489</v>
      </c>
      <c r="Q172" s="17">
        <f>+Tabla22[[#This Row],[WA 2026]]</f>
        <v>4372</v>
      </c>
      <c r="R172" s="17">
        <v>61076</v>
      </c>
      <c r="S172" s="17">
        <f>+Tabla22[[#This Row],[Ent. en Tienda 2026]]</f>
        <v>104558</v>
      </c>
      <c r="T172" s="17">
        <v>455015</v>
      </c>
      <c r="U172" s="17">
        <f>+Tabla22[[#This Row],[Meli Drop 2026]]</f>
        <v>564730</v>
      </c>
      <c r="V172" s="17">
        <v>126044</v>
      </c>
      <c r="W172" s="17">
        <f>+Tabla22[[#This Row],[Meli Full 2026]]</f>
        <v>163685</v>
      </c>
      <c r="X172" s="17">
        <v>24483</v>
      </c>
      <c r="Y172" s="17">
        <f>+Tabla22[[#This Row],[Amazon Drop 2026]]</f>
        <v>12267</v>
      </c>
      <c r="Z172" s="17">
        <v>9885</v>
      </c>
      <c r="AA172" s="17">
        <f>+Tabla22[[#This Row],[Amazon Full 2026]]</f>
        <v>5509</v>
      </c>
      <c r="AB172" s="17">
        <v>0</v>
      </c>
      <c r="AC172" s="17">
        <f>+Tabla22[[#This Row],[TikTok 2026]]</f>
        <v>8214</v>
      </c>
      <c r="AD172" s="17">
        <v>0</v>
      </c>
      <c r="AE172" s="17">
        <f>+Tabla22[[#This Row],[Shein 2026]]</f>
        <v>5684</v>
      </c>
      <c r="AF172" s="17">
        <f t="shared" si="47"/>
        <v>4633416</v>
      </c>
      <c r="AG172" s="18">
        <f t="shared" si="48"/>
        <v>0.87582689661193114</v>
      </c>
      <c r="AH172" s="17">
        <f t="shared" si="49"/>
        <v>-656917.07600396033</v>
      </c>
      <c r="AI172" s="20">
        <f t="shared" si="50"/>
        <v>0.33602419913928916</v>
      </c>
      <c r="AJ172" s="20">
        <f t="shared" si="42"/>
        <v>9.5492945050713124E-2</v>
      </c>
      <c r="AK172" s="21">
        <f t="shared" si="51"/>
        <v>9.8834830661413353E-2</v>
      </c>
      <c r="AL172" s="21">
        <f t="shared" si="43"/>
        <v>0.29084943618607006</v>
      </c>
      <c r="AO172" s="38">
        <f t="shared" si="52"/>
        <v>46191</v>
      </c>
      <c r="AP172" s="17">
        <f>Tabla2[[#This Row],[Web + APP 2025]]+Tabla2[[#This Row],[Afiliados 2025]]+Tabla2[[#This Row],[TMK 2025]]+Tabla2[[#This Row],[WA 2025]]+Tabla2[[#This Row],[Ent. en Tienda 2025]]</f>
        <v>2852635.9310344825</v>
      </c>
      <c r="AQ172" s="17">
        <f>Tabla2[[#This Row],[Meli Drop 2025]]+Tabla2[[#This Row],[Meli Full 2025]]+Tabla2[[#This Row],[Amazon Drop 2025]]+Tabla2[[#This Row],[Amazon Full 2025]]+Tabla2[[#This Row],[TikTok 2025]]+Tabla2[[#This Row],[Shein 2025]]</f>
        <v>615427</v>
      </c>
      <c r="AR172" s="17">
        <f>Tabla2[[#This Row],[Web + APP 2026]]+Tabla2[[#This Row],[Afiliados 2026]]+Tabla2[[#This Row],[TMK 2026]]+Tabla2[[#This Row],[WA 2026]]+Tabla2[[#This Row],[Ent. en Tienda 2026]]</f>
        <v>3873327</v>
      </c>
      <c r="AS172" s="17">
        <f>Tabla2[[#This Row],[Meli Drop 2026]]+Tabla2[[#This Row],[Meli Full 2026]]+Tabla2[[#This Row],[Amazon Drop 2026]]+Tabla2[[#This Row],[Amazon Full 2026]]+Tabla2[[#This Row],[TikTok 2026]]+Tabla2[[#This Row],[Shein 2026]]</f>
        <v>760089</v>
      </c>
      <c r="AT172" s="18">
        <f t="shared" si="53"/>
        <v>0.35780628641081913</v>
      </c>
      <c r="AU172" s="18">
        <f t="shared" si="53"/>
        <v>0.23505956027278629</v>
      </c>
      <c r="AV172" s="49">
        <f t="shared" si="54"/>
        <v>4182423.4525930402</v>
      </c>
      <c r="AW172" s="49">
        <f t="shared" si="54"/>
        <v>1107909.6234109199</v>
      </c>
      <c r="AX172" s="39">
        <f t="shared" si="55"/>
        <v>0.92609632762043614</v>
      </c>
      <c r="AY172" s="39">
        <f t="shared" si="55"/>
        <v>0.68605686234578867</v>
      </c>
      <c r="AZ172" s="39">
        <f t="shared" si="56"/>
        <v>0.87582689661193114</v>
      </c>
      <c r="BA172" s="18">
        <v>3.0189697449079799E-2</v>
      </c>
      <c r="BB172" s="20">
        <v>3.6676344853442698E-2</v>
      </c>
      <c r="BC172" s="17">
        <f t="shared" si="57"/>
        <v>-309096.45259304019</v>
      </c>
      <c r="BD172" s="17">
        <f t="shared" si="57"/>
        <v>-347820.62341091991</v>
      </c>
      <c r="BE172" s="6">
        <f t="shared" si="58"/>
        <v>3664132.1266511441</v>
      </c>
      <c r="BF172" s="27">
        <f t="shared" si="59"/>
        <v>3.2127382440441048E-2</v>
      </c>
    </row>
    <row r="173" spans="1:58" ht="14.25" customHeight="1" x14ac:dyDescent="0.35">
      <c r="A173" s="19">
        <v>45828</v>
      </c>
      <c r="B173" s="17">
        <v>38092110</v>
      </c>
      <c r="C173" s="17">
        <f t="shared" si="45"/>
        <v>3303719.7241379311</v>
      </c>
      <c r="D173" s="18">
        <f>+Tabla22[[#This Row],[Share diario]]</f>
        <v>2.988335287319038E-2</v>
      </c>
      <c r="E173" s="17">
        <f>+Tabla22[[#This Row],[Global 2026]]</f>
        <v>49964426</v>
      </c>
      <c r="F173" s="19">
        <v>46192</v>
      </c>
      <c r="G173" s="17">
        <f t="shared" si="46"/>
        <v>4504623.475328858</v>
      </c>
      <c r="H173" s="17">
        <f>+Tabla22[[#This Row],[Meta Digital]]</f>
        <v>3698431.7051661098</v>
      </c>
      <c r="I173" s="17">
        <f>+Tabla22[[#This Row],[Meta MKPlace]]</f>
        <v>806191.77016274806</v>
      </c>
      <c r="J173" s="17">
        <v>2155416</v>
      </c>
      <c r="K173" s="17">
        <f>+Tabla22[[#This Row],[Web + APP 2026]]</f>
        <v>2520466</v>
      </c>
      <c r="L173" s="17">
        <v>37026.724137931</v>
      </c>
      <c r="M173" s="17">
        <f>+Tabla22[[#This Row],[Afiliados 2026]]</f>
        <v>27134</v>
      </c>
      <c r="N173" s="17">
        <v>33900</v>
      </c>
      <c r="O173" s="17">
        <f>+Tabla22[[#This Row],[TMK 2026]]</f>
        <v>6920</v>
      </c>
      <c r="P173" s="17">
        <v>3527</v>
      </c>
      <c r="Q173" s="17">
        <f>+Tabla22[[#This Row],[WA 2026]]</f>
        <v>610</v>
      </c>
      <c r="R173" s="17">
        <v>110621</v>
      </c>
      <c r="S173" s="17">
        <f>+Tabla22[[#This Row],[Ent. en Tienda 2026]]</f>
        <v>82905</v>
      </c>
      <c r="T173" s="17">
        <v>822254</v>
      </c>
      <c r="U173" s="17">
        <f>+Tabla22[[#This Row],[Meli Drop 2026]]</f>
        <v>507387</v>
      </c>
      <c r="V173" s="17">
        <v>98107</v>
      </c>
      <c r="W173" s="17">
        <f>+Tabla22[[#This Row],[Meli Full 2026]]</f>
        <v>155281</v>
      </c>
      <c r="X173" s="17">
        <v>33075</v>
      </c>
      <c r="Y173" s="17">
        <f>+Tabla22[[#This Row],[Amazon Drop 2026]]</f>
        <v>7714</v>
      </c>
      <c r="Z173" s="17">
        <v>9793</v>
      </c>
      <c r="AA173" s="17">
        <f>+Tabla22[[#This Row],[Amazon Full 2026]]</f>
        <v>7124</v>
      </c>
      <c r="AB173" s="17">
        <v>0</v>
      </c>
      <c r="AC173" s="17">
        <f>+Tabla22[[#This Row],[TikTok 2026]]</f>
        <v>10528</v>
      </c>
      <c r="AD173" s="17">
        <v>0</v>
      </c>
      <c r="AE173" s="17">
        <f>+Tabla22[[#This Row],[Shein 2026]]</f>
        <v>5426</v>
      </c>
      <c r="AF173" s="17">
        <f t="shared" si="47"/>
        <v>3331495</v>
      </c>
      <c r="AG173" s="18">
        <f t="shared" si="48"/>
        <v>0.73957235676768429</v>
      </c>
      <c r="AH173" s="17">
        <f t="shared" si="49"/>
        <v>-1173128.475328858</v>
      </c>
      <c r="AI173" s="20">
        <f t="shared" si="50"/>
        <v>8.40727367371219E-3</v>
      </c>
      <c r="AJ173" s="20">
        <f t="shared" si="42"/>
        <v>8.6729764356396413E-2</v>
      </c>
      <c r="AK173" s="21">
        <f t="shared" si="51"/>
        <v>6.6677339593574039E-2</v>
      </c>
      <c r="AL173" s="21">
        <f t="shared" si="43"/>
        <v>0.3116738873220728</v>
      </c>
      <c r="AO173" s="38">
        <f t="shared" si="52"/>
        <v>46192</v>
      </c>
      <c r="AP173" s="17">
        <f>Tabla2[[#This Row],[Web + APP 2025]]+Tabla2[[#This Row],[Afiliados 2025]]+Tabla2[[#This Row],[TMK 2025]]+Tabla2[[#This Row],[WA 2025]]+Tabla2[[#This Row],[Ent. en Tienda 2025]]</f>
        <v>2340490.7241379311</v>
      </c>
      <c r="AQ173" s="17">
        <f>Tabla2[[#This Row],[Meli Drop 2025]]+Tabla2[[#This Row],[Meli Full 2025]]+Tabla2[[#This Row],[Amazon Drop 2025]]+Tabla2[[#This Row],[Amazon Full 2025]]+Tabla2[[#This Row],[TikTok 2025]]+Tabla2[[#This Row],[Shein 2025]]</f>
        <v>963229</v>
      </c>
      <c r="AR173" s="17">
        <f>Tabla2[[#This Row],[Web + APP 2026]]+Tabla2[[#This Row],[Afiliados 2026]]+Tabla2[[#This Row],[TMK 2026]]+Tabla2[[#This Row],[WA 2026]]+Tabla2[[#This Row],[Ent. en Tienda 2026]]</f>
        <v>2638035</v>
      </c>
      <c r="AS173" s="17">
        <f>Tabla2[[#This Row],[Meli Drop 2026]]+Tabla2[[#This Row],[Meli Full 2026]]+Tabla2[[#This Row],[Amazon Drop 2026]]+Tabla2[[#This Row],[Amazon Full 2026]]+Tabla2[[#This Row],[TikTok 2026]]+Tabla2[[#This Row],[Shein 2026]]</f>
        <v>693460</v>
      </c>
      <c r="AT173" s="18">
        <f t="shared" si="53"/>
        <v>0.12712901307124924</v>
      </c>
      <c r="AU173" s="18">
        <f t="shared" si="53"/>
        <v>-0.28006735677601069</v>
      </c>
      <c r="AV173" s="49">
        <f t="shared" si="54"/>
        <v>3698431.7051661098</v>
      </c>
      <c r="AW173" s="49">
        <f t="shared" si="54"/>
        <v>806191.77016274806</v>
      </c>
      <c r="AX173" s="39">
        <f t="shared" si="55"/>
        <v>0.71328476778822025</v>
      </c>
      <c r="AY173" s="39">
        <f t="shared" si="55"/>
        <v>0.86016755028398439</v>
      </c>
      <c r="AZ173" s="39">
        <f t="shared" si="56"/>
        <v>0.73957235676768429</v>
      </c>
      <c r="BA173" s="18">
        <v>2.1968114648395098E-2</v>
      </c>
      <c r="BB173" s="20">
        <v>3.2502181934904402E-2</v>
      </c>
      <c r="BC173" s="17">
        <f t="shared" si="57"/>
        <v>-1060396.7051661098</v>
      </c>
      <c r="BD173" s="17">
        <f t="shared" si="57"/>
        <v>-112731.77016274806</v>
      </c>
      <c r="BE173" s="6">
        <f t="shared" si="58"/>
        <v>3006295.7425249969</v>
      </c>
      <c r="BF173" s="27">
        <f t="shared" si="59"/>
        <v>2.6359424199433597E-2</v>
      </c>
    </row>
    <row r="174" spans="1:58" ht="14.25" customHeight="1" x14ac:dyDescent="0.35">
      <c r="A174" s="16">
        <v>45829</v>
      </c>
      <c r="B174" s="17">
        <v>50963433</v>
      </c>
      <c r="C174" s="17">
        <f t="shared" si="45"/>
        <v>2900614.7931034481</v>
      </c>
      <c r="D174" s="18">
        <f>+Tabla22[[#This Row],[Share diario]]</f>
        <v>2.8479181498561719E-2</v>
      </c>
      <c r="E174" s="17">
        <f>+Tabla22[[#This Row],[Global 2026]]</f>
        <v>63050656</v>
      </c>
      <c r="F174" s="19">
        <v>46193</v>
      </c>
      <c r="G174" s="17">
        <f t="shared" si="46"/>
        <v>4290912.3452426102</v>
      </c>
      <c r="H174" s="17">
        <f>+Tabla22[[#This Row],[Meta Digital]]</f>
        <v>3029109.90144003</v>
      </c>
      <c r="I174" s="17">
        <f>+Tabla22[[#This Row],[Meta MKPlace]]</f>
        <v>1261802.44380258</v>
      </c>
      <c r="J174" s="17">
        <v>2319435</v>
      </c>
      <c r="K174" s="17">
        <f>+Tabla22[[#This Row],[Web + APP 2026]]</f>
        <v>1707778</v>
      </c>
      <c r="L174" s="17">
        <v>39113.793103448297</v>
      </c>
      <c r="M174" s="17">
        <f>+Tabla22[[#This Row],[Afiliados 2026]]</f>
        <v>37861</v>
      </c>
      <c r="N174" s="17">
        <v>21973</v>
      </c>
      <c r="O174" s="17">
        <f>+Tabla22[[#This Row],[TMK 2026]]</f>
        <v>195</v>
      </c>
      <c r="P174" s="17">
        <v>5556</v>
      </c>
      <c r="Q174" s="17">
        <f>+Tabla22[[#This Row],[WA 2026]]</f>
        <v>4940</v>
      </c>
      <c r="R174" s="17">
        <v>84521</v>
      </c>
      <c r="S174" s="17">
        <f>+Tabla22[[#This Row],[Ent. en Tienda 2026]]</f>
        <v>125997</v>
      </c>
      <c r="T174" s="17">
        <v>311488</v>
      </c>
      <c r="U174" s="17">
        <f>+Tabla22[[#This Row],[Meli Drop 2026]]</f>
        <v>378080</v>
      </c>
      <c r="V174" s="17">
        <v>82471</v>
      </c>
      <c r="W174" s="17">
        <f>+Tabla22[[#This Row],[Meli Full 2026]]</f>
        <v>153733</v>
      </c>
      <c r="X174" s="17">
        <v>25122</v>
      </c>
      <c r="Y174" s="17">
        <f>+Tabla22[[#This Row],[Amazon Drop 2026]]</f>
        <v>14491</v>
      </c>
      <c r="Z174" s="17">
        <v>10935</v>
      </c>
      <c r="AA174" s="17">
        <f>+Tabla22[[#This Row],[Amazon Full 2026]]</f>
        <v>5329</v>
      </c>
      <c r="AB174" s="17">
        <v>0</v>
      </c>
      <c r="AC174" s="17">
        <f>+Tabla22[[#This Row],[TikTok 2026]]</f>
        <v>5725</v>
      </c>
      <c r="AD174" s="17">
        <v>0</v>
      </c>
      <c r="AE174" s="17">
        <f>+Tabla22[[#This Row],[Shein 2026]]</f>
        <v>603</v>
      </c>
      <c r="AF174" s="17">
        <f t="shared" si="47"/>
        <v>2434732</v>
      </c>
      <c r="AG174" s="18">
        <f t="shared" si="48"/>
        <v>0.56741592558967524</v>
      </c>
      <c r="AH174" s="17">
        <f t="shared" si="49"/>
        <v>-1856180.3452426102</v>
      </c>
      <c r="AI174" s="20">
        <f t="shared" si="50"/>
        <v>-0.16061518896309124</v>
      </c>
      <c r="AJ174" s="20">
        <f t="shared" si="42"/>
        <v>5.6915608355964722E-2</v>
      </c>
      <c r="AK174" s="21">
        <f t="shared" si="51"/>
        <v>3.8615490376499813E-2</v>
      </c>
      <c r="AL174" s="21">
        <f t="shared" si="43"/>
        <v>0.237174426612901</v>
      </c>
      <c r="AO174" s="38">
        <f t="shared" si="52"/>
        <v>46193</v>
      </c>
      <c r="AP174" s="17">
        <f>Tabla2[[#This Row],[Web + APP 2025]]+Tabla2[[#This Row],[Afiliados 2025]]+Tabla2[[#This Row],[TMK 2025]]+Tabla2[[#This Row],[WA 2025]]+Tabla2[[#This Row],[Ent. en Tienda 2025]]</f>
        <v>2470598.7931034481</v>
      </c>
      <c r="AQ174" s="17">
        <f>Tabla2[[#This Row],[Meli Drop 2025]]+Tabla2[[#This Row],[Meli Full 2025]]+Tabla2[[#This Row],[Amazon Drop 2025]]+Tabla2[[#This Row],[Amazon Full 2025]]+Tabla2[[#This Row],[TikTok 2025]]+Tabla2[[#This Row],[Shein 2025]]</f>
        <v>430016</v>
      </c>
      <c r="AR174" s="17">
        <f>Tabla2[[#This Row],[Web + APP 2026]]+Tabla2[[#This Row],[Afiliados 2026]]+Tabla2[[#This Row],[TMK 2026]]+Tabla2[[#This Row],[WA 2026]]+Tabla2[[#This Row],[Ent. en Tienda 2026]]</f>
        <v>1876771</v>
      </c>
      <c r="AS174" s="17">
        <f>Tabla2[[#This Row],[Meli Drop 2026]]+Tabla2[[#This Row],[Meli Full 2026]]+Tabla2[[#This Row],[Amazon Drop 2026]]+Tabla2[[#This Row],[Amazon Full 2026]]+Tabla2[[#This Row],[TikTok 2026]]+Tabla2[[#This Row],[Shein 2026]]</f>
        <v>557961</v>
      </c>
      <c r="AT174" s="18">
        <f t="shared" si="53"/>
        <v>-0.2403578414921469</v>
      </c>
      <c r="AU174" s="18">
        <f t="shared" si="53"/>
        <v>0.29753544054174719</v>
      </c>
      <c r="AV174" s="49">
        <f t="shared" si="54"/>
        <v>3029109.90144003</v>
      </c>
      <c r="AW174" s="49">
        <f t="shared" si="54"/>
        <v>1261802.44380258</v>
      </c>
      <c r="AX174" s="39">
        <f t="shared" si="55"/>
        <v>0.61957837815913797</v>
      </c>
      <c r="AY174" s="39">
        <f t="shared" si="55"/>
        <v>0.44219362764786169</v>
      </c>
      <c r="AZ174" s="39">
        <f t="shared" si="56"/>
        <v>0.56741592558967524</v>
      </c>
      <c r="BA174" s="18">
        <v>3.4383160154915202E-2</v>
      </c>
      <c r="BB174" s="20">
        <v>2.6666934432569098E-2</v>
      </c>
      <c r="BC174" s="17">
        <f t="shared" si="57"/>
        <v>-1152338.90144003</v>
      </c>
      <c r="BD174" s="17">
        <f t="shared" si="57"/>
        <v>-703841.44380258</v>
      </c>
      <c r="BE174" s="6">
        <f t="shared" si="58"/>
        <v>3173415.966401659</v>
      </c>
      <c r="BF174" s="27">
        <f t="shared" si="59"/>
        <v>2.7824746726141936E-2</v>
      </c>
    </row>
    <row r="175" spans="1:58" ht="14.25" customHeight="1" x14ac:dyDescent="0.35">
      <c r="A175" s="19">
        <v>45830</v>
      </c>
      <c r="B175" s="17">
        <v>48992029</v>
      </c>
      <c r="C175" s="17">
        <f t="shared" si="45"/>
        <v>3347668.5172413792</v>
      </c>
      <c r="D175" s="18">
        <f>+Tabla22[[#This Row],[Share diario]]</f>
        <v>2.4951771970098357E-2</v>
      </c>
      <c r="E175" s="17">
        <f>+Tabla22[[#This Row],[Global 2026]]</f>
        <v>44356663</v>
      </c>
      <c r="F175" s="19">
        <v>46194</v>
      </c>
      <c r="G175" s="17">
        <f t="shared" si="46"/>
        <v>3761691.2293913742</v>
      </c>
      <c r="H175" s="17">
        <f>+Tabla22[[#This Row],[Meta Digital]]</f>
        <v>3198382.5668882602</v>
      </c>
      <c r="I175" s="17">
        <f>+Tabla22[[#This Row],[Meta MKPlace]]</f>
        <v>563308.66250311397</v>
      </c>
      <c r="J175" s="17">
        <v>2913089</v>
      </c>
      <c r="K175" s="17">
        <f>+Tabla22[[#This Row],[Web + APP 2026]]</f>
        <v>2286106</v>
      </c>
      <c r="L175" s="17">
        <v>49765.517241379297</v>
      </c>
      <c r="M175" s="17">
        <f>+Tabla22[[#This Row],[Afiliados 2026]]</f>
        <v>30081</v>
      </c>
      <c r="N175" s="17">
        <v>3999</v>
      </c>
      <c r="O175" s="17">
        <f>+Tabla22[[#This Row],[TMK 2026]]</f>
        <v>-4507</v>
      </c>
      <c r="P175" s="17">
        <v>5169</v>
      </c>
      <c r="Q175" s="17">
        <f>+Tabla22[[#This Row],[WA 2026]]</f>
        <v>-62</v>
      </c>
      <c r="R175" s="17">
        <v>91234</v>
      </c>
      <c r="S175" s="17">
        <f>+Tabla22[[#This Row],[Ent. en Tienda 2026]]</f>
        <v>66122</v>
      </c>
      <c r="T175" s="17">
        <v>100157</v>
      </c>
      <c r="U175" s="17">
        <f>+Tabla22[[#This Row],[Meli Drop 2026]]</f>
        <v>434484</v>
      </c>
      <c r="V175" s="17">
        <v>134523</v>
      </c>
      <c r="W175" s="17">
        <f>+Tabla22[[#This Row],[Meli Full 2026]]</f>
        <v>171572</v>
      </c>
      <c r="X175" s="17">
        <v>40627</v>
      </c>
      <c r="Y175" s="17">
        <f>+Tabla22[[#This Row],[Amazon Drop 2026]]</f>
        <v>16085</v>
      </c>
      <c r="Z175" s="17">
        <v>9105</v>
      </c>
      <c r="AA175" s="17">
        <f>+Tabla22[[#This Row],[Amazon Full 2026]]</f>
        <v>6203</v>
      </c>
      <c r="AB175" s="17">
        <v>0</v>
      </c>
      <c r="AC175" s="17">
        <f>+Tabla22[[#This Row],[TikTok 2026]]</f>
        <v>5780</v>
      </c>
      <c r="AD175" s="17">
        <v>0</v>
      </c>
      <c r="AE175" s="17">
        <f>+Tabla22[[#This Row],[Shein 2026]]</f>
        <v>2584</v>
      </c>
      <c r="AF175" s="17">
        <f t="shared" si="47"/>
        <v>3014448</v>
      </c>
      <c r="AG175" s="18">
        <f t="shared" si="48"/>
        <v>0.80135444835213787</v>
      </c>
      <c r="AH175" s="17">
        <f t="shared" si="49"/>
        <v>-747243.22939137416</v>
      </c>
      <c r="AI175" s="20">
        <f t="shared" si="50"/>
        <v>-9.9538086141207072E-2</v>
      </c>
      <c r="AJ175" s="20">
        <f t="shared" si="42"/>
        <v>6.8330881279511396E-2</v>
      </c>
      <c r="AK175" s="21">
        <f t="shared" si="51"/>
        <v>6.795930523448078E-2</v>
      </c>
      <c r="AL175" s="21">
        <f t="shared" si="43"/>
        <v>-9.46146974235339E-2</v>
      </c>
      <c r="AO175" s="38">
        <f t="shared" si="52"/>
        <v>46194</v>
      </c>
      <c r="AP175" s="17">
        <f>Tabla2[[#This Row],[Web + APP 2025]]+Tabla2[[#This Row],[Afiliados 2025]]+Tabla2[[#This Row],[TMK 2025]]+Tabla2[[#This Row],[WA 2025]]+Tabla2[[#This Row],[Ent. en Tienda 2025]]</f>
        <v>3063256.5172413792</v>
      </c>
      <c r="AQ175" s="17">
        <f>Tabla2[[#This Row],[Meli Drop 2025]]+Tabla2[[#This Row],[Meli Full 2025]]+Tabla2[[#This Row],[Amazon Drop 2025]]+Tabla2[[#This Row],[Amazon Full 2025]]+Tabla2[[#This Row],[TikTok 2025]]+Tabla2[[#This Row],[Shein 2025]]</f>
        <v>284412</v>
      </c>
      <c r="AR175" s="17">
        <f>Tabla2[[#This Row],[Web + APP 2026]]+Tabla2[[#This Row],[Afiliados 2026]]+Tabla2[[#This Row],[TMK 2026]]+Tabla2[[#This Row],[WA 2026]]+Tabla2[[#This Row],[Ent. en Tienda 2026]]</f>
        <v>2377740</v>
      </c>
      <c r="AS175" s="17">
        <f>Tabla2[[#This Row],[Meli Drop 2026]]+Tabla2[[#This Row],[Meli Full 2026]]+Tabla2[[#This Row],[Amazon Drop 2026]]+Tabla2[[#This Row],[Amazon Full 2026]]+Tabla2[[#This Row],[TikTok 2026]]+Tabla2[[#This Row],[Shein 2026]]</f>
        <v>636708</v>
      </c>
      <c r="AT175" s="18">
        <f t="shared" si="53"/>
        <v>-0.22378684690067097</v>
      </c>
      <c r="AU175" s="18">
        <f t="shared" si="53"/>
        <v>1.2386819121556054</v>
      </c>
      <c r="AV175" s="49">
        <f t="shared" si="54"/>
        <v>3198382.5668882602</v>
      </c>
      <c r="AW175" s="49">
        <f t="shared" si="54"/>
        <v>563308.66250311397</v>
      </c>
      <c r="AX175" s="39">
        <f t="shared" si="55"/>
        <v>0.74341950979095295</v>
      </c>
      <c r="AY175" s="39">
        <f t="shared" si="55"/>
        <v>1.1303003883709675</v>
      </c>
      <c r="AZ175" s="39">
        <f t="shared" si="56"/>
        <v>0.80135444835213787</v>
      </c>
      <c r="BA175" s="18">
        <v>1.5349734068612999E-2</v>
      </c>
      <c r="BB175" s="20">
        <v>2.8149351478049801E-2</v>
      </c>
      <c r="BC175" s="17">
        <f t="shared" si="57"/>
        <v>-820642.56688826019</v>
      </c>
      <c r="BD175" s="17">
        <f t="shared" si="57"/>
        <v>73399.33749688603</v>
      </c>
      <c r="BE175" s="6">
        <f t="shared" si="58"/>
        <v>3934668.4569479176</v>
      </c>
      <c r="BF175" s="27">
        <f t="shared" si="59"/>
        <v>3.4499465063842973E-2</v>
      </c>
    </row>
    <row r="176" spans="1:58" ht="14.25" customHeight="1" x14ac:dyDescent="0.35">
      <c r="A176" s="16">
        <v>45831</v>
      </c>
      <c r="B176" s="17">
        <v>31644110</v>
      </c>
      <c r="C176" s="17">
        <f t="shared" si="45"/>
        <v>5288599.1034482755</v>
      </c>
      <c r="D176" s="18">
        <f>+Tabla22[[#This Row],[Share diario]]</f>
        <v>2.8754856708795826E-2</v>
      </c>
      <c r="E176" s="17">
        <f>+Tabla22[[#This Row],[Global 2026]]</f>
        <v>26759670</v>
      </c>
      <c r="F176" s="19">
        <v>46195</v>
      </c>
      <c r="G176" s="17">
        <f t="shared" si="46"/>
        <v>4336185.2668039147</v>
      </c>
      <c r="H176" s="17">
        <f>+Tabla22[[#This Row],[Meta Digital]]</f>
        <v>3963613.6803517002</v>
      </c>
      <c r="I176" s="17">
        <f>+Tabla22[[#This Row],[Meta MKPlace]]</f>
        <v>372571.58645221498</v>
      </c>
      <c r="J176" s="17">
        <v>3567197</v>
      </c>
      <c r="K176" s="17">
        <f>+Tabla22[[#This Row],[Web + APP 2026]]</f>
        <v>3449372</v>
      </c>
      <c r="L176" s="17">
        <v>48518.103448275797</v>
      </c>
      <c r="M176" s="17">
        <f>+Tabla22[[#This Row],[Afiliados 2026]]</f>
        <v>32572</v>
      </c>
      <c r="N176" s="17">
        <v>41503</v>
      </c>
      <c r="O176" s="17">
        <f>+Tabla22[[#This Row],[TMK 2026]]</f>
        <v>60642</v>
      </c>
      <c r="P176" s="17">
        <v>11366</v>
      </c>
      <c r="Q176" s="17">
        <f>+Tabla22[[#This Row],[WA 2026]]</f>
        <v>0</v>
      </c>
      <c r="R176" s="17">
        <v>144879</v>
      </c>
      <c r="S176" s="17">
        <f>+Tabla22[[#This Row],[Ent. en Tienda 2026]]</f>
        <v>81822</v>
      </c>
      <c r="T176" s="17">
        <v>1270698</v>
      </c>
      <c r="U176" s="17">
        <f>+Tabla22[[#This Row],[Meli Drop 2026]]</f>
        <v>607813</v>
      </c>
      <c r="V176" s="17">
        <v>117470</v>
      </c>
      <c r="W176" s="17">
        <f>+Tabla22[[#This Row],[Meli Full 2026]]</f>
        <v>170679</v>
      </c>
      <c r="X176" s="17">
        <v>71619</v>
      </c>
      <c r="Y176" s="17">
        <f>+Tabla22[[#This Row],[Amazon Drop 2026]]</f>
        <v>25030</v>
      </c>
      <c r="Z176" s="17">
        <v>15349</v>
      </c>
      <c r="AA176" s="17">
        <f>+Tabla22[[#This Row],[Amazon Full 2026]]</f>
        <v>4734</v>
      </c>
      <c r="AB176" s="17">
        <v>0</v>
      </c>
      <c r="AC176" s="17">
        <f>+Tabla22[[#This Row],[TikTok 2026]]</f>
        <v>5983</v>
      </c>
      <c r="AD176" s="17">
        <v>0</v>
      </c>
      <c r="AE176" s="17">
        <f>+Tabla22[[#This Row],[Shein 2026]]</f>
        <v>1464</v>
      </c>
      <c r="AF176" s="17">
        <f t="shared" si="47"/>
        <v>4440111</v>
      </c>
      <c r="AG176" s="18">
        <f t="shared" si="48"/>
        <v>1.0239670878437088</v>
      </c>
      <c r="AH176" s="17">
        <f t="shared" si="49"/>
        <v>103925.73319608532</v>
      </c>
      <c r="AI176" s="20">
        <f t="shared" si="50"/>
        <v>-0.16043721349478801</v>
      </c>
      <c r="AJ176" s="20">
        <f t="shared" si="42"/>
        <v>0.16712744025501983</v>
      </c>
      <c r="AK176" s="21">
        <f t="shared" si="51"/>
        <v>0.16592547665946553</v>
      </c>
      <c r="AL176" s="21">
        <f t="shared" si="43"/>
        <v>-0.154355423489553</v>
      </c>
      <c r="AO176" s="38">
        <f t="shared" si="52"/>
        <v>46195</v>
      </c>
      <c r="AP176" s="17">
        <f>Tabla2[[#This Row],[Web + APP 2025]]+Tabla2[[#This Row],[Afiliados 2025]]+Tabla2[[#This Row],[TMK 2025]]+Tabla2[[#This Row],[WA 2025]]+Tabla2[[#This Row],[Ent. en Tienda 2025]]</f>
        <v>3813463.1034482759</v>
      </c>
      <c r="AQ176" s="17">
        <f>Tabla2[[#This Row],[Meli Drop 2025]]+Tabla2[[#This Row],[Meli Full 2025]]+Tabla2[[#This Row],[Amazon Drop 2025]]+Tabla2[[#This Row],[Amazon Full 2025]]+Tabla2[[#This Row],[TikTok 2025]]+Tabla2[[#This Row],[Shein 2025]]</f>
        <v>1475136</v>
      </c>
      <c r="AR176" s="17">
        <f>Tabla2[[#This Row],[Web + APP 2026]]+Tabla2[[#This Row],[Afiliados 2026]]+Tabla2[[#This Row],[TMK 2026]]+Tabla2[[#This Row],[WA 2026]]+Tabla2[[#This Row],[Ent. en Tienda 2026]]</f>
        <v>3624408</v>
      </c>
      <c r="AS176" s="17">
        <f>Tabla2[[#This Row],[Meli Drop 2026]]+Tabla2[[#This Row],[Meli Full 2026]]+Tabla2[[#This Row],[Amazon Drop 2026]]+Tabla2[[#This Row],[Amazon Full 2026]]+Tabla2[[#This Row],[TikTok 2026]]+Tabla2[[#This Row],[Shein 2026]]</f>
        <v>815703</v>
      </c>
      <c r="AT176" s="18">
        <f t="shared" si="53"/>
        <v>-4.9575700175865101E-2</v>
      </c>
      <c r="AU176" s="18">
        <f t="shared" si="53"/>
        <v>-0.44703200247299235</v>
      </c>
      <c r="AV176" s="49">
        <f t="shared" si="54"/>
        <v>3963613.6803517002</v>
      </c>
      <c r="AW176" s="49">
        <f t="shared" si="54"/>
        <v>372571.58645221498</v>
      </c>
      <c r="AX176" s="39">
        <f t="shared" si="55"/>
        <v>0.91442009547166525</v>
      </c>
      <c r="AY176" s="39">
        <f t="shared" si="55"/>
        <v>2.1893859587293565</v>
      </c>
      <c r="AZ176" s="39">
        <f t="shared" si="56"/>
        <v>1.0239670878437088</v>
      </c>
      <c r="BA176" s="18">
        <v>1.0152293323788799E-2</v>
      </c>
      <c r="BB176" s="20">
        <v>3.4901937381317201E-2</v>
      </c>
      <c r="BC176" s="17">
        <f t="shared" si="57"/>
        <v>-339205.68035170017</v>
      </c>
      <c r="BD176" s="17">
        <f t="shared" si="57"/>
        <v>443131.41354778502</v>
      </c>
      <c r="BE176" s="6">
        <f t="shared" si="58"/>
        <v>4898288.1128039388</v>
      </c>
      <c r="BF176" s="27">
        <f t="shared" si="59"/>
        <v>4.294855372678575E-2</v>
      </c>
    </row>
    <row r="177" spans="1:58" ht="14.25" customHeight="1" x14ac:dyDescent="0.35">
      <c r="A177" s="19">
        <v>45832</v>
      </c>
      <c r="B177" s="17">
        <v>32757630</v>
      </c>
      <c r="C177" s="17">
        <f t="shared" si="45"/>
        <v>4406506.931034483</v>
      </c>
      <c r="D177" s="18">
        <f>+Tabla22[[#This Row],[Share diario]]</f>
        <v>4.5694196312613712E-2</v>
      </c>
      <c r="E177" s="17">
        <f>+Tabla22[[#This Row],[Global 2026]]</f>
        <v>28828276</v>
      </c>
      <c r="F177" s="19">
        <v>46196</v>
      </c>
      <c r="G177" s="17">
        <f t="shared" si="46"/>
        <v>6885052.9044871293</v>
      </c>
      <c r="H177" s="17">
        <f>+Tabla22[[#This Row],[Meta Digital]]</f>
        <v>4952666.9300810797</v>
      </c>
      <c r="I177" s="17">
        <f>+Tabla22[[#This Row],[Meta MKPlace]]</f>
        <v>1932385.9744060501</v>
      </c>
      <c r="J177" s="17">
        <v>3442550</v>
      </c>
      <c r="K177" s="17">
        <f>+Tabla22[[#This Row],[Web + APP 2026]]</f>
        <v>3607578</v>
      </c>
      <c r="L177" s="17">
        <v>48212.931034482703</v>
      </c>
      <c r="M177" s="17">
        <f>+Tabla22[[#This Row],[Afiliados 2026]]</f>
        <v>31603</v>
      </c>
      <c r="N177" s="17">
        <v>85752</v>
      </c>
      <c r="O177" s="17">
        <f>+Tabla22[[#This Row],[TMK 2026]]</f>
        <v>41336</v>
      </c>
      <c r="P177" s="17">
        <v>8426</v>
      </c>
      <c r="Q177" s="17">
        <f>+Tabla22[[#This Row],[WA 2026]]</f>
        <v>0</v>
      </c>
      <c r="R177" s="17">
        <v>104213</v>
      </c>
      <c r="S177" s="17">
        <f>+Tabla22[[#This Row],[Ent. en Tienda 2026]]</f>
        <v>47149</v>
      </c>
      <c r="T177" s="17">
        <v>504323</v>
      </c>
      <c r="U177" s="17">
        <f>+Tabla22[[#This Row],[Meli Drop 2026]]</f>
        <v>522266</v>
      </c>
      <c r="V177" s="17">
        <v>137554</v>
      </c>
      <c r="W177" s="17">
        <f>+Tabla22[[#This Row],[Meli Full 2026]]</f>
        <v>166620</v>
      </c>
      <c r="X177" s="17">
        <v>60128</v>
      </c>
      <c r="Y177" s="17">
        <f>+Tabla22[[#This Row],[Amazon Drop 2026]]</f>
        <v>35881</v>
      </c>
      <c r="Z177" s="17">
        <v>15348</v>
      </c>
      <c r="AA177" s="17">
        <f>+Tabla22[[#This Row],[Amazon Full 2026]]</f>
        <v>14026</v>
      </c>
      <c r="AB177" s="17">
        <v>0</v>
      </c>
      <c r="AC177" s="17">
        <f>+Tabla22[[#This Row],[TikTok 2026]]</f>
        <v>6322</v>
      </c>
      <c r="AD177" s="17">
        <v>0</v>
      </c>
      <c r="AE177" s="17">
        <f>+Tabla22[[#This Row],[Shein 2026]]</f>
        <v>5038</v>
      </c>
      <c r="AF177" s="17">
        <f t="shared" si="47"/>
        <v>4477819</v>
      </c>
      <c r="AG177" s="18">
        <f t="shared" si="48"/>
        <v>0.65036813255010928</v>
      </c>
      <c r="AH177" s="17">
        <f t="shared" si="49"/>
        <v>-2407233.9044871293</v>
      </c>
      <c r="AI177" s="20">
        <f t="shared" si="50"/>
        <v>1.6183355678683897E-2</v>
      </c>
      <c r="AJ177" s="20">
        <f t="shared" si="42"/>
        <v>0.13451849022760448</v>
      </c>
      <c r="AK177" s="21">
        <f t="shared" si="51"/>
        <v>0.15532732515811906</v>
      </c>
      <c r="AL177" s="21">
        <f t="shared" si="43"/>
        <v>-0.11995232866358163</v>
      </c>
      <c r="AO177" s="38">
        <f t="shared" si="52"/>
        <v>46196</v>
      </c>
      <c r="AP177" s="17">
        <f>Tabla2[[#This Row],[Web + APP 2025]]+Tabla2[[#This Row],[Afiliados 2025]]+Tabla2[[#This Row],[TMK 2025]]+Tabla2[[#This Row],[WA 2025]]+Tabla2[[#This Row],[Ent. en Tienda 2025]]</f>
        <v>3689153.9310344825</v>
      </c>
      <c r="AQ177" s="17">
        <f>Tabla2[[#This Row],[Meli Drop 2025]]+Tabla2[[#This Row],[Meli Full 2025]]+Tabla2[[#This Row],[Amazon Drop 2025]]+Tabla2[[#This Row],[Amazon Full 2025]]+Tabla2[[#This Row],[TikTok 2025]]+Tabla2[[#This Row],[Shein 2025]]</f>
        <v>717353</v>
      </c>
      <c r="AR177" s="17">
        <f>Tabla2[[#This Row],[Web + APP 2026]]+Tabla2[[#This Row],[Afiliados 2026]]+Tabla2[[#This Row],[TMK 2026]]+Tabla2[[#This Row],[WA 2026]]+Tabla2[[#This Row],[Ent. en Tienda 2026]]</f>
        <v>3727666</v>
      </c>
      <c r="AS177" s="17">
        <f>Tabla2[[#This Row],[Meli Drop 2026]]+Tabla2[[#This Row],[Meli Full 2026]]+Tabla2[[#This Row],[Amazon Drop 2026]]+Tabla2[[#This Row],[Amazon Full 2026]]+Tabla2[[#This Row],[TikTok 2026]]+Tabla2[[#This Row],[Shein 2026]]</f>
        <v>750153</v>
      </c>
      <c r="AT177" s="18">
        <f t="shared" si="53"/>
        <v>1.0439268646813549E-2</v>
      </c>
      <c r="AU177" s="18">
        <f t="shared" si="53"/>
        <v>4.5723653487195204E-2</v>
      </c>
      <c r="AV177" s="49">
        <f t="shared" si="54"/>
        <v>4952666.9300810797</v>
      </c>
      <c r="AW177" s="49">
        <f t="shared" si="54"/>
        <v>1932385.9744060501</v>
      </c>
      <c r="AX177" s="39">
        <f t="shared" si="55"/>
        <v>0.75265832583233594</v>
      </c>
      <c r="AY177" s="39">
        <f t="shared" si="55"/>
        <v>0.38820039574680293</v>
      </c>
      <c r="AZ177" s="39">
        <f t="shared" si="56"/>
        <v>0.65036813255010928</v>
      </c>
      <c r="BA177" s="18">
        <v>5.2656053065554501E-2</v>
      </c>
      <c r="BB177" s="20">
        <v>4.3449593494173398E-2</v>
      </c>
      <c r="BC177" s="17">
        <f t="shared" si="57"/>
        <v>-1225000.9300810797</v>
      </c>
      <c r="BD177" s="17">
        <f t="shared" si="57"/>
        <v>-1182232.9744060501</v>
      </c>
      <c r="BE177" s="6">
        <f t="shared" si="58"/>
        <v>4738616.4115105961</v>
      </c>
      <c r="BF177" s="27">
        <f t="shared" si="59"/>
        <v>4.1548540398921523E-2</v>
      </c>
    </row>
    <row r="178" spans="1:58" ht="14.25" customHeight="1" x14ac:dyDescent="0.35">
      <c r="A178" s="16">
        <v>45833</v>
      </c>
      <c r="B178" s="17">
        <v>36673425</v>
      </c>
      <c r="C178" s="17">
        <f t="shared" si="45"/>
        <v>4415501.3793103453</v>
      </c>
      <c r="D178" s="18">
        <f>+Tabla22[[#This Row],[Share diario]]</f>
        <v>3.8003525494175572E-2</v>
      </c>
      <c r="E178" s="17">
        <f>+Tabla22[[#This Row],[Global 2026]]</f>
        <v>28911259</v>
      </c>
      <c r="F178" s="19">
        <v>46197</v>
      </c>
      <c r="G178" s="17">
        <f t="shared" si="46"/>
        <v>5729014.832033854</v>
      </c>
      <c r="H178" s="17">
        <f>+Tabla22[[#This Row],[Meta Digital]]</f>
        <v>4789302.9167269897</v>
      </c>
      <c r="I178" s="17">
        <f>+Tabla22[[#This Row],[Meta MKPlace]]</f>
        <v>939711.91530686396</v>
      </c>
      <c r="J178" s="17">
        <v>3181484</v>
      </c>
      <c r="K178" s="17">
        <f>+Tabla22[[#This Row],[Web + APP 2026]]</f>
        <v>3156183</v>
      </c>
      <c r="L178" s="17">
        <v>41541.379310344797</v>
      </c>
      <c r="M178" s="17">
        <f>+Tabla22[[#This Row],[Afiliados 2026]]</f>
        <v>27167</v>
      </c>
      <c r="N178" s="17">
        <v>19984</v>
      </c>
      <c r="O178" s="17">
        <f>+Tabla22[[#This Row],[TMK 2026]]</f>
        <v>47227</v>
      </c>
      <c r="P178" s="17">
        <v>5166</v>
      </c>
      <c r="Q178" s="17">
        <f>+Tabla22[[#This Row],[WA 2026]]</f>
        <v>1614</v>
      </c>
      <c r="R178" s="17">
        <v>119359</v>
      </c>
      <c r="S178" s="17">
        <f>+Tabla22[[#This Row],[Ent. en Tienda 2026]]</f>
        <v>62691</v>
      </c>
      <c r="T178" s="17">
        <v>869828</v>
      </c>
      <c r="U178" s="17">
        <f>+Tabla22[[#This Row],[Meli Drop 2026]]</f>
        <v>486332</v>
      </c>
      <c r="V178" s="17">
        <v>125724</v>
      </c>
      <c r="W178" s="17">
        <f>+Tabla22[[#This Row],[Meli Full 2026]]</f>
        <v>165559</v>
      </c>
      <c r="X178" s="17">
        <v>44086</v>
      </c>
      <c r="Y178" s="17">
        <f>+Tabla22[[#This Row],[Amazon Drop 2026]]</f>
        <v>26707</v>
      </c>
      <c r="Z178" s="17">
        <v>8329</v>
      </c>
      <c r="AA178" s="17">
        <f>+Tabla22[[#This Row],[Amazon Full 2026]]</f>
        <v>18093</v>
      </c>
      <c r="AB178" s="17">
        <v>0</v>
      </c>
      <c r="AC178" s="17">
        <f>+Tabla22[[#This Row],[TikTok 2026]]</f>
        <v>15844</v>
      </c>
      <c r="AD178" s="17">
        <v>0</v>
      </c>
      <c r="AE178" s="17">
        <f>+Tabla22[[#This Row],[Shein 2026]]</f>
        <v>5384</v>
      </c>
      <c r="AF178" s="17">
        <f t="shared" si="47"/>
        <v>4012801</v>
      </c>
      <c r="AG178" s="18">
        <f t="shared" si="48"/>
        <v>0.70043473749838736</v>
      </c>
      <c r="AH178" s="17">
        <f t="shared" si="49"/>
        <v>-1716213.832033854</v>
      </c>
      <c r="AI178" s="20">
        <f t="shared" si="50"/>
        <v>-9.1201506854300396E-2</v>
      </c>
      <c r="AJ178" s="20">
        <f t="shared" si="42"/>
        <v>0.12040057287559984</v>
      </c>
      <c r="AK178" s="21">
        <f t="shared" si="51"/>
        <v>0.13879717240954467</v>
      </c>
      <c r="AL178" s="21">
        <f t="shared" si="43"/>
        <v>-0.211656424236351</v>
      </c>
      <c r="AO178" s="38">
        <f t="shared" si="52"/>
        <v>46197</v>
      </c>
      <c r="AP178" s="17">
        <f>Tabla2[[#This Row],[Web + APP 2025]]+Tabla2[[#This Row],[Afiliados 2025]]+Tabla2[[#This Row],[TMK 2025]]+Tabla2[[#This Row],[WA 2025]]+Tabla2[[#This Row],[Ent. en Tienda 2025]]</f>
        <v>3367534.3793103448</v>
      </c>
      <c r="AQ178" s="17">
        <f>Tabla2[[#This Row],[Meli Drop 2025]]+Tabla2[[#This Row],[Meli Full 2025]]+Tabla2[[#This Row],[Amazon Drop 2025]]+Tabla2[[#This Row],[Amazon Full 2025]]+Tabla2[[#This Row],[TikTok 2025]]+Tabla2[[#This Row],[Shein 2025]]</f>
        <v>1047967</v>
      </c>
      <c r="AR178" s="17">
        <f>Tabla2[[#This Row],[Web + APP 2026]]+Tabla2[[#This Row],[Afiliados 2026]]+Tabla2[[#This Row],[TMK 2026]]+Tabla2[[#This Row],[WA 2026]]+Tabla2[[#This Row],[Ent. en Tienda 2026]]</f>
        <v>3294882</v>
      </c>
      <c r="AS178" s="17">
        <f>Tabla2[[#This Row],[Meli Drop 2026]]+Tabla2[[#This Row],[Meli Full 2026]]+Tabla2[[#This Row],[Amazon Drop 2026]]+Tabla2[[#This Row],[Amazon Full 2026]]+Tabla2[[#This Row],[TikTok 2026]]+Tabla2[[#This Row],[Shein 2026]]</f>
        <v>717919</v>
      </c>
      <c r="AT178" s="18">
        <f t="shared" si="53"/>
        <v>-2.1574354149644592E-2</v>
      </c>
      <c r="AU178" s="18">
        <f t="shared" si="53"/>
        <v>-0.31494121475199122</v>
      </c>
      <c r="AV178" s="49">
        <f t="shared" si="54"/>
        <v>4789302.9167269897</v>
      </c>
      <c r="AW178" s="49">
        <f t="shared" si="54"/>
        <v>939711.91530686396</v>
      </c>
      <c r="AX178" s="39">
        <f t="shared" si="55"/>
        <v>0.68796692489263611</v>
      </c>
      <c r="AY178" s="39">
        <f t="shared" si="55"/>
        <v>0.76397775563542025</v>
      </c>
      <c r="AZ178" s="39">
        <f t="shared" si="56"/>
        <v>0.70043473749838736</v>
      </c>
      <c r="BA178" s="18">
        <v>2.5606437396100901E-2</v>
      </c>
      <c r="BB178" s="20">
        <v>4.2033247547599899E-2</v>
      </c>
      <c r="BC178" s="17">
        <f t="shared" si="57"/>
        <v>-1494420.9167269897</v>
      </c>
      <c r="BD178" s="17">
        <f t="shared" si="57"/>
        <v>-221792.91530686396</v>
      </c>
      <c r="BE178" s="6">
        <f t="shared" si="58"/>
        <v>4325504.9733453356</v>
      </c>
      <c r="BF178" s="27">
        <f t="shared" si="59"/>
        <v>3.792634864772336E-2</v>
      </c>
    </row>
    <row r="179" spans="1:58" ht="14.25" customHeight="1" x14ac:dyDescent="0.35">
      <c r="A179" s="19">
        <v>45834</v>
      </c>
      <c r="B179" s="17">
        <v>40294476</v>
      </c>
      <c r="C179" s="17">
        <f t="shared" si="45"/>
        <v>3543329.4137931033</v>
      </c>
      <c r="D179" s="18">
        <f>+Tabla22[[#This Row],[Share diario]]</f>
        <v>3.8140134056121183E-2</v>
      </c>
      <c r="E179" s="17">
        <f>+Tabla22[[#This Row],[Global 2026]]</f>
        <v>32990386</v>
      </c>
      <c r="F179" s="19">
        <v>46198</v>
      </c>
      <c r="G179" s="17">
        <f t="shared" si="46"/>
        <v>5747826.9104707399</v>
      </c>
      <c r="H179" s="17">
        <f>+Tabla22[[#This Row],[Meta Digital]]</f>
        <v>4375020.1099856403</v>
      </c>
      <c r="I179" s="17">
        <f>+Tabla22[[#This Row],[Meta MKPlace]]</f>
        <v>1372806.8004850999</v>
      </c>
      <c r="J179" s="17">
        <v>2646749</v>
      </c>
      <c r="K179" s="17">
        <f>+Tabla22[[#This Row],[Web + APP 2026]]</f>
        <v>2694753</v>
      </c>
      <c r="L179" s="17">
        <v>43047.413793103398</v>
      </c>
      <c r="M179" s="17">
        <f>+Tabla22[[#This Row],[Afiliados 2026]]</f>
        <v>29216</v>
      </c>
      <c r="N179" s="17">
        <v>27161</v>
      </c>
      <c r="O179" s="17">
        <f>+Tabla22[[#This Row],[TMK 2026]]</f>
        <v>16753</v>
      </c>
      <c r="P179" s="17">
        <v>7060</v>
      </c>
      <c r="Q179" s="17">
        <f>+Tabla22[[#This Row],[WA 2026]]</f>
        <v>1713</v>
      </c>
      <c r="R179" s="17">
        <v>96473</v>
      </c>
      <c r="S179" s="17">
        <f>+Tabla22[[#This Row],[Ent. en Tienda 2026]]</f>
        <v>63932</v>
      </c>
      <c r="T179" s="17">
        <v>505360</v>
      </c>
      <c r="U179" s="17">
        <f>+Tabla22[[#This Row],[Meli Drop 2026]]</f>
        <v>505290</v>
      </c>
      <c r="V179" s="17">
        <v>154811</v>
      </c>
      <c r="W179" s="17">
        <f>+Tabla22[[#This Row],[Meli Full 2026]]</f>
        <v>132920</v>
      </c>
      <c r="X179" s="17">
        <v>46738</v>
      </c>
      <c r="Y179" s="17">
        <f>+Tabla22[[#This Row],[Amazon Drop 2026]]</f>
        <v>47371</v>
      </c>
      <c r="Z179" s="17">
        <v>15930</v>
      </c>
      <c r="AA179" s="17">
        <f>+Tabla22[[#This Row],[Amazon Full 2026]]</f>
        <v>14247</v>
      </c>
      <c r="AB179" s="17">
        <v>0</v>
      </c>
      <c r="AC179" s="17">
        <f>+Tabla22[[#This Row],[TikTok 2026]]</f>
        <v>19034</v>
      </c>
      <c r="AD179" s="17">
        <v>0</v>
      </c>
      <c r="AE179" s="17">
        <f>+Tabla22[[#This Row],[Shein 2026]]</f>
        <v>861</v>
      </c>
      <c r="AF179" s="17">
        <f t="shared" si="47"/>
        <v>3526090</v>
      </c>
      <c r="AG179" s="18">
        <f t="shared" si="48"/>
        <v>0.61346488941352229</v>
      </c>
      <c r="AH179" s="17">
        <f t="shared" si="49"/>
        <v>-2221736.9104707399</v>
      </c>
      <c r="AI179" s="20">
        <f t="shared" si="50"/>
        <v>-4.8653150130483214E-3</v>
      </c>
      <c r="AJ179" s="20">
        <f t="shared" si="42"/>
        <v>8.7935860334630064E-2</v>
      </c>
      <c r="AK179" s="21">
        <f t="shared" si="51"/>
        <v>0.10688235051266147</v>
      </c>
      <c r="AL179" s="21">
        <f t="shared" si="43"/>
        <v>-0.18126777476892864</v>
      </c>
      <c r="AO179" s="38">
        <f t="shared" si="52"/>
        <v>46198</v>
      </c>
      <c r="AP179" s="17">
        <f>Tabla2[[#This Row],[Web + APP 2025]]+Tabla2[[#This Row],[Afiliados 2025]]+Tabla2[[#This Row],[TMK 2025]]+Tabla2[[#This Row],[WA 2025]]+Tabla2[[#This Row],[Ent. en Tienda 2025]]</f>
        <v>2820490.4137931033</v>
      </c>
      <c r="AQ179" s="17">
        <f>Tabla2[[#This Row],[Meli Drop 2025]]+Tabla2[[#This Row],[Meli Full 2025]]+Tabla2[[#This Row],[Amazon Drop 2025]]+Tabla2[[#This Row],[Amazon Full 2025]]+Tabla2[[#This Row],[TikTok 2025]]+Tabla2[[#This Row],[Shein 2025]]</f>
        <v>722839</v>
      </c>
      <c r="AR179" s="17">
        <f>Tabla2[[#This Row],[Web + APP 2026]]+Tabla2[[#This Row],[Afiliados 2026]]+Tabla2[[#This Row],[TMK 2026]]+Tabla2[[#This Row],[WA 2026]]+Tabla2[[#This Row],[Ent. en Tienda 2026]]</f>
        <v>2806367</v>
      </c>
      <c r="AS179" s="17">
        <f>Tabla2[[#This Row],[Meli Drop 2026]]+Tabla2[[#This Row],[Meli Full 2026]]+Tabla2[[#This Row],[Amazon Drop 2026]]+Tabla2[[#This Row],[Amazon Full 2026]]+Tabla2[[#This Row],[TikTok 2026]]+Tabla2[[#This Row],[Shein 2026]]</f>
        <v>719723</v>
      </c>
      <c r="AT179" s="18">
        <f t="shared" si="53"/>
        <v>-5.0074319430533087E-3</v>
      </c>
      <c r="AU179" s="18">
        <f t="shared" si="53"/>
        <v>-4.310780132228631E-3</v>
      </c>
      <c r="AV179" s="49">
        <f t="shared" si="54"/>
        <v>4375020.1099856403</v>
      </c>
      <c r="AW179" s="49">
        <f t="shared" si="54"/>
        <v>1372806.8004850999</v>
      </c>
      <c r="AX179" s="39">
        <f t="shared" si="55"/>
        <v>0.64145236580620224</v>
      </c>
      <c r="AY179" s="39">
        <f t="shared" si="55"/>
        <v>0.52427114998678337</v>
      </c>
      <c r="AZ179" s="39">
        <f t="shared" si="56"/>
        <v>0.61346488941352229</v>
      </c>
      <c r="BA179" s="18">
        <v>3.7407944733875299E-2</v>
      </c>
      <c r="BB179" s="20">
        <v>3.8368799143849497E-2</v>
      </c>
      <c r="BC179" s="17">
        <f t="shared" si="57"/>
        <v>-1568653.1099856403</v>
      </c>
      <c r="BD179" s="17">
        <f t="shared" si="57"/>
        <v>-653083.8004850999</v>
      </c>
      <c r="BE179" s="6">
        <f t="shared" si="58"/>
        <v>3622842.09690338</v>
      </c>
      <c r="BF179" s="27">
        <f t="shared" si="59"/>
        <v>3.1765348395043233E-2</v>
      </c>
    </row>
    <row r="180" spans="1:58" ht="14.25" customHeight="1" x14ac:dyDescent="0.35">
      <c r="A180" s="16">
        <v>45835</v>
      </c>
      <c r="B180" s="17">
        <v>45550137</v>
      </c>
      <c r="C180" s="17">
        <f t="shared" si="45"/>
        <v>3003218.9655172415</v>
      </c>
      <c r="D180" s="18">
        <f>+Tabla22[[#This Row],[Share diario]]</f>
        <v>3.0527899795663723E-2</v>
      </c>
      <c r="E180" s="17">
        <f>+Tabla22[[#This Row],[Global 2026]]</f>
        <v>37473775</v>
      </c>
      <c r="F180" s="19">
        <v>46199</v>
      </c>
      <c r="G180" s="17">
        <f t="shared" si="46"/>
        <v>4601271.3508241205</v>
      </c>
      <c r="H180" s="17">
        <f>+Tabla22[[#This Row],[Meta Digital]]</f>
        <v>3654372.9324046001</v>
      </c>
      <c r="I180" s="17">
        <f>+Tabla22[[#This Row],[Meta MKPlace]]</f>
        <v>946898.41841952002</v>
      </c>
      <c r="J180" s="17">
        <v>2155899</v>
      </c>
      <c r="K180" s="17">
        <f>+Tabla22[[#This Row],[Web + APP 2026]]</f>
        <v>2205478</v>
      </c>
      <c r="L180" s="17">
        <v>39018.965517241399</v>
      </c>
      <c r="M180" s="17">
        <f>+Tabla22[[#This Row],[Afiliados 2026]]</f>
        <v>28000</v>
      </c>
      <c r="N180" s="17">
        <v>39894</v>
      </c>
      <c r="O180" s="17">
        <f>+Tabla22[[#This Row],[TMK 2026]]</f>
        <v>16158</v>
      </c>
      <c r="P180" s="17">
        <v>8661</v>
      </c>
      <c r="Q180" s="17">
        <f>+Tabla22[[#This Row],[WA 2026]]</f>
        <v>1136</v>
      </c>
      <c r="R180" s="17">
        <v>57827</v>
      </c>
      <c r="S180" s="17">
        <f>+Tabla22[[#This Row],[Ent. en Tienda 2026]]</f>
        <v>81003</v>
      </c>
      <c r="T180" s="17">
        <v>506732</v>
      </c>
      <c r="U180" s="17">
        <f>+Tabla22[[#This Row],[Meli Drop 2026]]</f>
        <v>416030</v>
      </c>
      <c r="V180" s="17">
        <v>154811</v>
      </c>
      <c r="W180" s="17">
        <f>+Tabla22[[#This Row],[Meli Full 2026]]</f>
        <v>171947</v>
      </c>
      <c r="X180" s="17">
        <v>29295</v>
      </c>
      <c r="Y180" s="17">
        <f>+Tabla22[[#This Row],[Amazon Drop 2026]]</f>
        <v>42864</v>
      </c>
      <c r="Z180" s="17">
        <v>11081</v>
      </c>
      <c r="AA180" s="17">
        <f>+Tabla22[[#This Row],[Amazon Full 2026]]</f>
        <v>12244</v>
      </c>
      <c r="AB180" s="17">
        <v>0</v>
      </c>
      <c r="AC180" s="17">
        <f>+Tabla22[[#This Row],[TikTok 2026]]</f>
        <v>7750</v>
      </c>
      <c r="AD180" s="17">
        <v>0</v>
      </c>
      <c r="AE180" s="17">
        <f>+Tabla22[[#This Row],[Shein 2026]]</f>
        <v>689</v>
      </c>
      <c r="AF180" s="17">
        <f t="shared" si="47"/>
        <v>2983299</v>
      </c>
      <c r="AG180" s="18">
        <f t="shared" si="48"/>
        <v>0.64836406561105553</v>
      </c>
      <c r="AH180" s="17">
        <f t="shared" si="49"/>
        <v>-1617972.3508241205</v>
      </c>
      <c r="AI180" s="20">
        <f t="shared" si="50"/>
        <v>-6.6328715108558978E-3</v>
      </c>
      <c r="AJ180" s="20">
        <f t="shared" si="42"/>
        <v>6.5932160983780172E-2</v>
      </c>
      <c r="AK180" s="21">
        <f t="shared" si="51"/>
        <v>7.961031414635969E-2</v>
      </c>
      <c r="AL180" s="21">
        <f t="shared" si="43"/>
        <v>-0.17730708471853773</v>
      </c>
      <c r="AO180" s="38">
        <f t="shared" si="52"/>
        <v>46199</v>
      </c>
      <c r="AP180" s="17">
        <f>Tabla2[[#This Row],[Web + APP 2025]]+Tabla2[[#This Row],[Afiliados 2025]]+Tabla2[[#This Row],[TMK 2025]]+Tabla2[[#This Row],[WA 2025]]+Tabla2[[#This Row],[Ent. en Tienda 2025]]</f>
        <v>2301299.9655172415</v>
      </c>
      <c r="AQ180" s="17">
        <f>Tabla2[[#This Row],[Meli Drop 2025]]+Tabla2[[#This Row],[Meli Full 2025]]+Tabla2[[#This Row],[Amazon Drop 2025]]+Tabla2[[#This Row],[Amazon Full 2025]]+Tabla2[[#This Row],[TikTok 2025]]+Tabla2[[#This Row],[Shein 2025]]</f>
        <v>701919</v>
      </c>
      <c r="AR180" s="17">
        <f>Tabla2[[#This Row],[Web + APP 2026]]+Tabla2[[#This Row],[Afiliados 2026]]+Tabla2[[#This Row],[TMK 2026]]+Tabla2[[#This Row],[WA 2026]]+Tabla2[[#This Row],[Ent. en Tienda 2026]]</f>
        <v>2331775</v>
      </c>
      <c r="AS180" s="17">
        <f>Tabla2[[#This Row],[Meli Drop 2026]]+Tabla2[[#This Row],[Meli Full 2026]]+Tabla2[[#This Row],[Amazon Drop 2026]]+Tabla2[[#This Row],[Amazon Full 2026]]+Tabla2[[#This Row],[TikTok 2026]]+Tabla2[[#This Row],[Shein 2026]]</f>
        <v>651524</v>
      </c>
      <c r="AT180" s="18">
        <f t="shared" si="53"/>
        <v>1.3242530282621789E-2</v>
      </c>
      <c r="AU180" s="18">
        <f t="shared" si="53"/>
        <v>-7.1796033445454488E-2</v>
      </c>
      <c r="AV180" s="49">
        <f t="shared" si="54"/>
        <v>3654372.9324046001</v>
      </c>
      <c r="AW180" s="49">
        <f t="shared" si="54"/>
        <v>946898.41841952002</v>
      </c>
      <c r="AX180" s="39">
        <f t="shared" si="55"/>
        <v>0.63807800767221579</v>
      </c>
      <c r="AY180" s="39">
        <f t="shared" si="55"/>
        <v>0.68806113446410322</v>
      </c>
      <c r="AZ180" s="39">
        <f t="shared" si="56"/>
        <v>0.64836406561105553</v>
      </c>
      <c r="BA180" s="18">
        <v>2.58022641585944E-2</v>
      </c>
      <c r="BB180" s="20">
        <v>3.2135924383983099E-2</v>
      </c>
      <c r="BC180" s="17">
        <f t="shared" si="57"/>
        <v>-1322597.9324046001</v>
      </c>
      <c r="BD180" s="17">
        <f t="shared" si="57"/>
        <v>-295374.41841952002</v>
      </c>
      <c r="BE180" s="6">
        <f t="shared" si="58"/>
        <v>2955956.2946593785</v>
      </c>
      <c r="BF180" s="27">
        <f t="shared" si="59"/>
        <v>2.5918044184325497E-2</v>
      </c>
    </row>
    <row r="181" spans="1:58" ht="14.25" customHeight="1" x14ac:dyDescent="0.35">
      <c r="A181" s="19">
        <v>45836</v>
      </c>
      <c r="B181" s="17">
        <v>52421787</v>
      </c>
      <c r="C181" s="17">
        <f t="shared" si="45"/>
        <v>2541734.4137931033</v>
      </c>
      <c r="D181" s="18">
        <f>+Tabla22[[#This Row],[Share diario]]</f>
        <v>2.5673774320798655E-2</v>
      </c>
      <c r="E181" s="17">
        <f>+Tabla22[[#This Row],[Global 2026]]</f>
        <v>42913204</v>
      </c>
      <c r="F181" s="19">
        <v>46200</v>
      </c>
      <c r="G181" s="17">
        <f t="shared" si="46"/>
        <v>3869238.1141088381</v>
      </c>
      <c r="H181" s="17">
        <f>+Tabla22[[#This Row],[Meta Digital]]</f>
        <v>2975810.10838571</v>
      </c>
      <c r="I181" s="17">
        <f>+Tabla22[[#This Row],[Meta MKPlace]]</f>
        <v>893428.00572312798</v>
      </c>
      <c r="J181" s="17">
        <v>1738073</v>
      </c>
      <c r="K181" s="17">
        <f>+Tabla22[[#This Row],[Web + APP 2026]]</f>
        <v>1773131</v>
      </c>
      <c r="L181" s="17">
        <v>45922.413793103398</v>
      </c>
      <c r="M181" s="17">
        <f>+Tabla22[[#This Row],[Afiliados 2026]]</f>
        <v>37159</v>
      </c>
      <c r="N181" s="17">
        <v>20153</v>
      </c>
      <c r="O181" s="17">
        <f>+Tabla22[[#This Row],[TMK 2026]]</f>
        <v>7338</v>
      </c>
      <c r="P181" s="17">
        <v>5603</v>
      </c>
      <c r="Q181" s="17">
        <f>+Tabla22[[#This Row],[WA 2026]]</f>
        <v>0</v>
      </c>
      <c r="R181" s="17">
        <v>54501</v>
      </c>
      <c r="S181" s="17">
        <f>+Tabla22[[#This Row],[Ent. en Tienda 2026]]</f>
        <v>67734</v>
      </c>
      <c r="T181" s="17">
        <v>502302</v>
      </c>
      <c r="U181" s="17">
        <f>+Tabla22[[#This Row],[Meli Drop 2026]]</f>
        <v>419596</v>
      </c>
      <c r="V181" s="17">
        <v>134913</v>
      </c>
      <c r="W181" s="17">
        <f>+Tabla22[[#This Row],[Meli Full 2026]]</f>
        <v>154349</v>
      </c>
      <c r="X181" s="17">
        <v>29728</v>
      </c>
      <c r="Y181" s="17">
        <f>+Tabla22[[#This Row],[Amazon Drop 2026]]</f>
        <v>36632</v>
      </c>
      <c r="Z181" s="17">
        <v>10539</v>
      </c>
      <c r="AA181" s="17">
        <f>+Tabla22[[#This Row],[Amazon Full 2026]]</f>
        <v>11823</v>
      </c>
      <c r="AB181" s="17">
        <v>0</v>
      </c>
      <c r="AC181" s="17">
        <f>+Tabla22[[#This Row],[TikTok 2026]]</f>
        <v>4627</v>
      </c>
      <c r="AD181" s="17">
        <v>0</v>
      </c>
      <c r="AE181" s="17">
        <f>+Tabla22[[#This Row],[Shein 2026]]</f>
        <v>1463</v>
      </c>
      <c r="AF181" s="17">
        <f t="shared" si="47"/>
        <v>2513852</v>
      </c>
      <c r="AG181" s="18">
        <f t="shared" si="48"/>
        <v>0.64970206688326027</v>
      </c>
      <c r="AH181" s="17">
        <f t="shared" si="49"/>
        <v>-1355386.1141088381</v>
      </c>
      <c r="AI181" s="20">
        <f t="shared" si="50"/>
        <v>-1.0969837620246725E-2</v>
      </c>
      <c r="AJ181" s="20">
        <f t="shared" si="42"/>
        <v>4.8486222222701096E-2</v>
      </c>
      <c r="AK181" s="21">
        <f t="shared" si="51"/>
        <v>5.8579918665592999E-2</v>
      </c>
      <c r="AL181" s="21">
        <f t="shared" si="43"/>
        <v>-0.18138609048180676</v>
      </c>
      <c r="AO181" s="38">
        <f t="shared" si="52"/>
        <v>46200</v>
      </c>
      <c r="AP181" s="17">
        <f>Tabla2[[#This Row],[Web + APP 2025]]+Tabla2[[#This Row],[Afiliados 2025]]+Tabla2[[#This Row],[TMK 2025]]+Tabla2[[#This Row],[WA 2025]]+Tabla2[[#This Row],[Ent. en Tienda 2025]]</f>
        <v>1864252.4137931033</v>
      </c>
      <c r="AQ181" s="17">
        <f>Tabla2[[#This Row],[Meli Drop 2025]]+Tabla2[[#This Row],[Meli Full 2025]]+Tabla2[[#This Row],[Amazon Drop 2025]]+Tabla2[[#This Row],[Amazon Full 2025]]+Tabla2[[#This Row],[TikTok 2025]]+Tabla2[[#This Row],[Shein 2025]]</f>
        <v>677482</v>
      </c>
      <c r="AR181" s="17">
        <f>Tabla2[[#This Row],[Web + APP 2026]]+Tabla2[[#This Row],[Afiliados 2026]]+Tabla2[[#This Row],[TMK 2026]]+Tabla2[[#This Row],[WA 2026]]+Tabla2[[#This Row],[Ent. en Tienda 2026]]</f>
        <v>1885362</v>
      </c>
      <c r="AS181" s="17">
        <f>Tabla2[[#This Row],[Meli Drop 2026]]+Tabla2[[#This Row],[Meli Full 2026]]+Tabla2[[#This Row],[Amazon Drop 2026]]+Tabla2[[#This Row],[Amazon Full 2026]]+Tabla2[[#This Row],[TikTok 2026]]+Tabla2[[#This Row],[Shein 2026]]</f>
        <v>628490</v>
      </c>
      <c r="AT181" s="18">
        <f t="shared" si="53"/>
        <v>1.1323351951008531E-2</v>
      </c>
      <c r="AU181" s="18">
        <f t="shared" si="53"/>
        <v>-7.2314836408937766E-2</v>
      </c>
      <c r="AV181" s="49">
        <f t="shared" si="54"/>
        <v>2975810.10838571</v>
      </c>
      <c r="AW181" s="49">
        <f t="shared" si="54"/>
        <v>893428.00572312798</v>
      </c>
      <c r="AX181" s="39">
        <f t="shared" si="55"/>
        <v>0.63356260357041183</v>
      </c>
      <c r="AY181" s="39">
        <f t="shared" si="55"/>
        <v>0.70345903192424453</v>
      </c>
      <c r="AZ181" s="39">
        <f t="shared" si="56"/>
        <v>0.64970206688326027</v>
      </c>
      <c r="BA181" s="18">
        <v>2.5055509533847001E-2</v>
      </c>
      <c r="BB181" s="20">
        <v>2.62204052582714E-2</v>
      </c>
      <c r="BC181" s="17">
        <f t="shared" si="57"/>
        <v>-1090448.10838571</v>
      </c>
      <c r="BD181" s="17">
        <f t="shared" si="57"/>
        <v>-264938.00572312798</v>
      </c>
      <c r="BE181" s="6">
        <f t="shared" si="58"/>
        <v>2394580.7760645784</v>
      </c>
      <c r="BF181" s="27">
        <f t="shared" si="59"/>
        <v>2.0995861971677028E-2</v>
      </c>
    </row>
    <row r="182" spans="1:58" ht="14.25" customHeight="1" x14ac:dyDescent="0.35">
      <c r="A182" s="16">
        <v>45837</v>
      </c>
      <c r="B182" s="17">
        <v>53869935</v>
      </c>
      <c r="C182" s="17">
        <f t="shared" si="45"/>
        <v>2780664.7586206896</v>
      </c>
      <c r="D182" s="18">
        <f>+Tabla22[[#This Row],[Share diario]]</f>
        <v>2.1725192219119671E-2</v>
      </c>
      <c r="E182" s="17">
        <f>+Tabla22[[#This Row],[Global 2026]]</f>
        <v>44748131</v>
      </c>
      <c r="F182" s="19">
        <v>46201</v>
      </c>
      <c r="G182" s="17">
        <f t="shared" si="46"/>
        <v>3273634.5030915751</v>
      </c>
      <c r="H182" s="17">
        <f>+Tabla22[[#This Row],[Meta Digital]]</f>
        <v>2391835.1135060801</v>
      </c>
      <c r="I182" s="17">
        <f>+Tabla22[[#This Row],[Meta MKPlace]]</f>
        <v>881799.389585495</v>
      </c>
      <c r="J182" s="17">
        <v>2175842</v>
      </c>
      <c r="K182" s="17">
        <f>+Tabla22[[#This Row],[Web + APP 2026]]</f>
        <v>2401141</v>
      </c>
      <c r="L182" s="17">
        <v>46807.758620689601</v>
      </c>
      <c r="M182" s="17">
        <f>+Tabla22[[#This Row],[Afiliados 2026]]</f>
        <v>36721</v>
      </c>
      <c r="N182" s="17">
        <v>7774</v>
      </c>
      <c r="O182" s="17">
        <f>+Tabla22[[#This Row],[TMK 2026]]</f>
        <v>0</v>
      </c>
      <c r="P182" s="17">
        <v>4942</v>
      </c>
      <c r="Q182" s="17">
        <f>+Tabla22[[#This Row],[WA 2026]]</f>
        <v>3416</v>
      </c>
      <c r="R182" s="17">
        <v>107553</v>
      </c>
      <c r="S182" s="17">
        <f>+Tabla22[[#This Row],[Ent. en Tienda 2026]]</f>
        <v>51033</v>
      </c>
      <c r="T182" s="17">
        <v>253751</v>
      </c>
      <c r="U182" s="17">
        <f>+Tabla22[[#This Row],[Meli Drop 2026]]</f>
        <v>338340</v>
      </c>
      <c r="V182" s="17">
        <v>130575</v>
      </c>
      <c r="W182" s="17">
        <f>+Tabla22[[#This Row],[Meli Full 2026]]</f>
        <v>156455</v>
      </c>
      <c r="X182" s="17">
        <v>43414</v>
      </c>
      <c r="Y182" s="17">
        <f>+Tabla22[[#This Row],[Amazon Drop 2026]]</f>
        <v>51224</v>
      </c>
      <c r="Z182" s="17">
        <v>10006</v>
      </c>
      <c r="AA182" s="17">
        <f>+Tabla22[[#This Row],[Amazon Full 2026]]</f>
        <v>16905</v>
      </c>
      <c r="AB182" s="17">
        <v>0</v>
      </c>
      <c r="AC182" s="17">
        <f>+Tabla22[[#This Row],[TikTok 2026]]</f>
        <v>2570</v>
      </c>
      <c r="AD182" s="17">
        <v>0</v>
      </c>
      <c r="AE182" s="17">
        <f>+Tabla22[[#This Row],[Shein 2026]]</f>
        <v>5469</v>
      </c>
      <c r="AF182" s="17">
        <f t="shared" si="47"/>
        <v>3063274</v>
      </c>
      <c r="AG182" s="18">
        <f t="shared" si="48"/>
        <v>0.93574099280389622</v>
      </c>
      <c r="AH182" s="17">
        <f t="shared" si="49"/>
        <v>-210360.50309157511</v>
      </c>
      <c r="AI182" s="20">
        <f t="shared" si="50"/>
        <v>0.10163369766281893</v>
      </c>
      <c r="AJ182" s="20">
        <f t="shared" si="42"/>
        <v>5.1618119803201724E-2</v>
      </c>
      <c r="AK182" s="21">
        <f t="shared" si="51"/>
        <v>6.845590936524254E-2</v>
      </c>
      <c r="AL182" s="21">
        <f t="shared" si="43"/>
        <v>-0.16933014676925084</v>
      </c>
      <c r="AO182" s="38">
        <f t="shared" si="52"/>
        <v>46201</v>
      </c>
      <c r="AP182" s="17">
        <f>Tabla2[[#This Row],[Web + APP 2025]]+Tabla2[[#This Row],[Afiliados 2025]]+Tabla2[[#This Row],[TMK 2025]]+Tabla2[[#This Row],[WA 2025]]+Tabla2[[#This Row],[Ent. en Tienda 2025]]</f>
        <v>2342918.7586206896</v>
      </c>
      <c r="AQ182" s="17">
        <f>Tabla2[[#This Row],[Meli Drop 2025]]+Tabla2[[#This Row],[Meli Full 2025]]+Tabla2[[#This Row],[Amazon Drop 2025]]+Tabla2[[#This Row],[Amazon Full 2025]]+Tabla2[[#This Row],[TikTok 2025]]+Tabla2[[#This Row],[Shein 2025]]</f>
        <v>437746</v>
      </c>
      <c r="AR182" s="17">
        <f>Tabla2[[#This Row],[Web + APP 2026]]+Tabla2[[#This Row],[Afiliados 2026]]+Tabla2[[#This Row],[TMK 2026]]+Tabla2[[#This Row],[WA 2026]]+Tabla2[[#This Row],[Ent. en Tienda 2026]]</f>
        <v>2492311</v>
      </c>
      <c r="AS182" s="17">
        <f>Tabla2[[#This Row],[Meli Drop 2026]]+Tabla2[[#This Row],[Meli Full 2026]]+Tabla2[[#This Row],[Amazon Drop 2026]]+Tabla2[[#This Row],[Amazon Full 2026]]+Tabla2[[#This Row],[TikTok 2026]]+Tabla2[[#This Row],[Shein 2026]]</f>
        <v>570963</v>
      </c>
      <c r="AT182" s="18">
        <f t="shared" si="53"/>
        <v>6.3763304139175414E-2</v>
      </c>
      <c r="AU182" s="18">
        <f t="shared" si="53"/>
        <v>0.30432488246608758</v>
      </c>
      <c r="AV182" s="49">
        <f t="shared" si="54"/>
        <v>2391835.1135060801</v>
      </c>
      <c r="AW182" s="49">
        <f t="shared" si="54"/>
        <v>881799.389585495</v>
      </c>
      <c r="AX182" s="39">
        <f t="shared" si="55"/>
        <v>1.0420078649763767</v>
      </c>
      <c r="AY182" s="39">
        <f t="shared" si="55"/>
        <v>0.64749761311174303</v>
      </c>
      <c r="AZ182" s="39">
        <f t="shared" si="56"/>
        <v>0.93574099280389622</v>
      </c>
      <c r="BA182" s="18">
        <v>2.41832130345663E-2</v>
      </c>
      <c r="BB182" s="20">
        <v>2.12408006456383E-2</v>
      </c>
      <c r="BC182" s="17">
        <f t="shared" si="57"/>
        <v>100475.88649391988</v>
      </c>
      <c r="BD182" s="17">
        <f t="shared" si="57"/>
        <v>-310836.389585495</v>
      </c>
      <c r="BE182" s="6">
        <f t="shared" si="58"/>
        <v>3009414.4858094458</v>
      </c>
      <c r="BF182" s="27">
        <f t="shared" si="59"/>
        <v>2.6386769572026542E-2</v>
      </c>
    </row>
    <row r="183" spans="1:58" ht="14.25" customHeight="1" x14ac:dyDescent="0.35">
      <c r="A183" s="19">
        <v>45838</v>
      </c>
      <c r="B183" s="17">
        <v>31090588</v>
      </c>
      <c r="C183" s="17">
        <f t="shared" si="45"/>
        <v>4938052.4137931038</v>
      </c>
      <c r="D183" s="18">
        <f>+Tabla22[[#This Row],[Share diario]]</f>
        <v>2.3728765016799019E-2</v>
      </c>
      <c r="E183" s="17">
        <f>+Tabla22[[#This Row],[Global 2026]]</f>
        <v>26885675</v>
      </c>
      <c r="F183" s="19">
        <v>46202</v>
      </c>
      <c r="G183" s="17">
        <f t="shared" si="46"/>
        <v>3577224.5959536387</v>
      </c>
      <c r="H183" s="17">
        <f>+Tabla22[[#This Row],[Meta Digital]]</f>
        <v>3020309.9038648298</v>
      </c>
      <c r="I183" s="17">
        <f>+Tabla22[[#This Row],[Meta MKPlace]]</f>
        <v>556914.69208880898</v>
      </c>
      <c r="J183" s="17">
        <v>3654183</v>
      </c>
      <c r="K183" s="17">
        <f>+Tabla22[[#This Row],[Web + APP 2026]]</f>
        <v>3662040</v>
      </c>
      <c r="L183" s="17">
        <v>47272.413793103398</v>
      </c>
      <c r="M183" s="17">
        <f>+Tabla22[[#This Row],[Afiliados 2026]]</f>
        <v>33444</v>
      </c>
      <c r="N183" s="17">
        <v>48765</v>
      </c>
      <c r="O183" s="17">
        <f>+Tabla22[[#This Row],[TMK 2026]]</f>
        <v>20991</v>
      </c>
      <c r="P183" s="17">
        <v>11584</v>
      </c>
      <c r="Q183" s="17">
        <f>+Tabla22[[#This Row],[WA 2026]]</f>
        <v>963</v>
      </c>
      <c r="R183" s="17">
        <v>80803</v>
      </c>
      <c r="S183" s="17">
        <f>+Tabla22[[#This Row],[Ent. en Tienda 2026]]</f>
        <v>80828</v>
      </c>
      <c r="T183" s="17">
        <v>907574</v>
      </c>
      <c r="U183" s="17">
        <f>+Tabla22[[#This Row],[Meli Drop 2026]]</f>
        <v>498148</v>
      </c>
      <c r="V183" s="17">
        <v>118765</v>
      </c>
      <c r="W183" s="17">
        <f>+Tabla22[[#This Row],[Meli Full 2026]]</f>
        <v>146434</v>
      </c>
      <c r="X183" s="17">
        <v>58578</v>
      </c>
      <c r="Y183" s="17">
        <f>+Tabla22[[#This Row],[Amazon Drop 2026]]</f>
        <v>52303</v>
      </c>
      <c r="Z183" s="17">
        <v>10528</v>
      </c>
      <c r="AA183" s="17">
        <f>+Tabla22[[#This Row],[Amazon Full 2026]]</f>
        <v>17845</v>
      </c>
      <c r="AB183" s="17">
        <v>0</v>
      </c>
      <c r="AC183" s="17">
        <f>+Tabla22[[#This Row],[TikTok 2026]]</f>
        <v>3624</v>
      </c>
      <c r="AD183" s="17">
        <v>0</v>
      </c>
      <c r="AE183" s="17">
        <f>+Tabla22[[#This Row],[Shein 2026]]</f>
        <v>4004</v>
      </c>
      <c r="AF183" s="17">
        <f t="shared" si="47"/>
        <v>4520624</v>
      </c>
      <c r="AG183" s="18">
        <f t="shared" si="48"/>
        <v>1.2637238391778596</v>
      </c>
      <c r="AH183" s="17">
        <f t="shared" si="49"/>
        <v>943399.40404636133</v>
      </c>
      <c r="AI183" s="20">
        <f t="shared" si="50"/>
        <v>-8.4533005892592605E-2</v>
      </c>
      <c r="AJ183" s="20">
        <f t="shared" si="42"/>
        <v>0.15882788751994989</v>
      </c>
      <c r="AK183" s="21">
        <f t="shared" si="51"/>
        <v>0.16814247736015556</v>
      </c>
      <c r="AL183" s="21">
        <f t="shared" si="43"/>
        <v>-0.13524713652890707</v>
      </c>
      <c r="AO183" s="38">
        <f t="shared" si="52"/>
        <v>46202</v>
      </c>
      <c r="AP183" s="17">
        <f>Tabla2[[#This Row],[Web + APP 2025]]+Tabla2[[#This Row],[Afiliados 2025]]+Tabla2[[#This Row],[TMK 2025]]+Tabla2[[#This Row],[WA 2025]]+Tabla2[[#This Row],[Ent. en Tienda 2025]]</f>
        <v>3842607.4137931033</v>
      </c>
      <c r="AQ183" s="17">
        <f>Tabla2[[#This Row],[Meli Drop 2025]]+Tabla2[[#This Row],[Meli Full 2025]]+Tabla2[[#This Row],[Amazon Drop 2025]]+Tabla2[[#This Row],[Amazon Full 2025]]+Tabla2[[#This Row],[TikTok 2025]]+Tabla2[[#This Row],[Shein 2025]]</f>
        <v>1095445</v>
      </c>
      <c r="AR183" s="17">
        <f>Tabla2[[#This Row],[Web + APP 2026]]+Tabla2[[#This Row],[Afiliados 2026]]+Tabla2[[#This Row],[TMK 2026]]+Tabla2[[#This Row],[WA 2026]]+Tabla2[[#This Row],[Ent. en Tienda 2026]]</f>
        <v>3798266</v>
      </c>
      <c r="AS183" s="17">
        <f>Tabla2[[#This Row],[Meli Drop 2026]]+Tabla2[[#This Row],[Meli Full 2026]]+Tabla2[[#This Row],[Amazon Drop 2026]]+Tabla2[[#This Row],[Amazon Full 2026]]+Tabla2[[#This Row],[TikTok 2026]]+Tabla2[[#This Row],[Shein 2026]]</f>
        <v>722358</v>
      </c>
      <c r="AT183" s="18">
        <f t="shared" si="53"/>
        <v>-1.1539407755770004E-2</v>
      </c>
      <c r="AU183" s="18">
        <f t="shared" si="53"/>
        <v>-0.34058031211060347</v>
      </c>
      <c r="AV183" s="49">
        <f t="shared" si="54"/>
        <v>3020309.9038648298</v>
      </c>
      <c r="AW183" s="49">
        <f t="shared" si="54"/>
        <v>556914.69208880898</v>
      </c>
      <c r="AX183" s="39">
        <f t="shared" si="55"/>
        <v>1.2575749247253361</v>
      </c>
      <c r="AY183" s="39">
        <f t="shared" si="55"/>
        <v>1.2970711856975188</v>
      </c>
      <c r="AZ183" s="39">
        <f t="shared" si="56"/>
        <v>1.2637238391778596</v>
      </c>
      <c r="BA183" s="18">
        <v>1.5625662044200801E-2</v>
      </c>
      <c r="BB183" s="20">
        <v>2.6694598817513598E-2</v>
      </c>
      <c r="BC183" s="17">
        <f t="shared" si="57"/>
        <v>777956.0961351702</v>
      </c>
      <c r="BD183" s="17">
        <f t="shared" si="57"/>
        <v>165443.30791119102</v>
      </c>
      <c r="BE183" s="6">
        <f t="shared" si="58"/>
        <v>4935723.1751200929</v>
      </c>
      <c r="BF183" s="27">
        <f t="shared" si="59"/>
        <v>4.3276787131625333E-2</v>
      </c>
    </row>
    <row r="184" spans="1:58" ht="14.25" customHeight="1" x14ac:dyDescent="0.35">
      <c r="A184" s="16">
        <v>45839</v>
      </c>
      <c r="B184" s="17">
        <v>35520249</v>
      </c>
      <c r="C184" s="17">
        <f t="shared" si="45"/>
        <v>4679845.4137931038</v>
      </c>
      <c r="D184" s="18">
        <f>+Tabla22[[#This Row],[Share diario]]</f>
        <v>4.2646701456952443E-2</v>
      </c>
      <c r="E184" s="17">
        <f>+Tabla22[[#This Row],[Global 2026]]</f>
        <v>29153329</v>
      </c>
      <c r="F184" s="19">
        <v>46203</v>
      </c>
      <c r="G184" s="17">
        <f t="shared" si="46"/>
        <v>6427394.1174728405</v>
      </c>
      <c r="H184" s="17">
        <f>+Tabla22[[#This Row],[Meta Digital]]</f>
        <v>4992392.4947524704</v>
      </c>
      <c r="I184" s="17">
        <f>+Tabla22[[#This Row],[Meta MKPlace]]</f>
        <v>1435001.6227203701</v>
      </c>
      <c r="J184" s="17">
        <v>3679795</v>
      </c>
      <c r="K184" s="17">
        <f>+Tabla22[[#This Row],[Web + APP 2026]]</f>
        <v>4003008</v>
      </c>
      <c r="L184" s="17">
        <v>42322.413793103398</v>
      </c>
      <c r="M184" s="17">
        <f>+Tabla22[[#This Row],[Afiliados 2026]]</f>
        <v>33147</v>
      </c>
      <c r="N184" s="17">
        <v>86850</v>
      </c>
      <c r="O184" s="17">
        <f>+Tabla22[[#This Row],[TMK 2026]]</f>
        <v>7770</v>
      </c>
      <c r="P184" s="17">
        <v>9893</v>
      </c>
      <c r="Q184" s="17">
        <f>+Tabla22[[#This Row],[WA 2026]]</f>
        <v>4521</v>
      </c>
      <c r="R184" s="17">
        <v>74174</v>
      </c>
      <c r="S184" s="17">
        <f>+Tabla22[[#This Row],[Ent. en Tienda 2026]]</f>
        <v>83644</v>
      </c>
      <c r="T184" s="17">
        <v>622788</v>
      </c>
      <c r="U184" s="17">
        <f>+Tabla22[[#This Row],[Meli Drop 2026]]</f>
        <v>771777</v>
      </c>
      <c r="V184" s="17">
        <v>102657</v>
      </c>
      <c r="W184" s="17">
        <f>+Tabla22[[#This Row],[Meli Full 2026]]</f>
        <v>155445</v>
      </c>
      <c r="X184" s="17">
        <v>47524</v>
      </c>
      <c r="Y184" s="17">
        <f>+Tabla22[[#This Row],[Amazon Drop 2026]]</f>
        <v>49773</v>
      </c>
      <c r="Z184" s="17">
        <v>13842</v>
      </c>
      <c r="AA184" s="17">
        <f>+Tabla22[[#This Row],[Amazon Full 2026]]</f>
        <v>13299</v>
      </c>
      <c r="AB184" s="17">
        <v>0</v>
      </c>
      <c r="AC184" s="17">
        <f>+Tabla22[[#This Row],[TikTok 2026]]</f>
        <v>4538</v>
      </c>
      <c r="AD184" s="17">
        <v>0</v>
      </c>
      <c r="AE184" s="17">
        <f>+Tabla22[[#This Row],[Shein 2026]]</f>
        <v>1937</v>
      </c>
      <c r="AF184" s="17">
        <f t="shared" si="47"/>
        <v>5128859</v>
      </c>
      <c r="AG184" s="18">
        <f t="shared" si="48"/>
        <v>0.79796864892059771</v>
      </c>
      <c r="AH184" s="17">
        <f t="shared" si="49"/>
        <v>-1298535.1174728405</v>
      </c>
      <c r="AI184" s="20">
        <f t="shared" si="50"/>
        <v>9.5946243199294567E-2</v>
      </c>
      <c r="AJ184" s="20">
        <f t="shared" si="42"/>
        <v>0.13175148107191206</v>
      </c>
      <c r="AK184" s="21">
        <f t="shared" si="51"/>
        <v>0.17592704421508776</v>
      </c>
      <c r="AL184" s="21">
        <f t="shared" si="43"/>
        <v>-0.17924761732385375</v>
      </c>
      <c r="AO184" s="38">
        <f t="shared" si="52"/>
        <v>46203</v>
      </c>
      <c r="AP184" s="17">
        <f>Tabla2[[#This Row],[Web + APP 2025]]+Tabla2[[#This Row],[Afiliados 2025]]+Tabla2[[#This Row],[TMK 2025]]+Tabla2[[#This Row],[WA 2025]]+Tabla2[[#This Row],[Ent. en Tienda 2025]]</f>
        <v>3893034.4137931033</v>
      </c>
      <c r="AQ184" s="17">
        <f>Tabla2[[#This Row],[Meli Drop 2025]]+Tabla2[[#This Row],[Meli Full 2025]]+Tabla2[[#This Row],[Amazon Drop 2025]]+Tabla2[[#This Row],[Amazon Full 2025]]+Tabla2[[#This Row],[TikTok 2025]]+Tabla2[[#This Row],[Shein 2025]]</f>
        <v>786811</v>
      </c>
      <c r="AR184" s="17">
        <f>Tabla2[[#This Row],[Web + APP 2026]]+Tabla2[[#This Row],[Afiliados 2026]]+Tabla2[[#This Row],[TMK 2026]]+Tabla2[[#This Row],[WA 2026]]+Tabla2[[#This Row],[Ent. en Tienda 2026]]</f>
        <v>4132090</v>
      </c>
      <c r="AS184" s="17">
        <f>Tabla2[[#This Row],[Meli Drop 2026]]+Tabla2[[#This Row],[Meli Full 2026]]+Tabla2[[#This Row],[Amazon Drop 2026]]+Tabla2[[#This Row],[Amazon Full 2026]]+Tabla2[[#This Row],[TikTok 2026]]+Tabla2[[#This Row],[Shein 2026]]</f>
        <v>996769</v>
      </c>
      <c r="AT184" s="18">
        <f t="shared" si="53"/>
        <v>6.140597816446669E-2</v>
      </c>
      <c r="AU184" s="18">
        <f t="shared" si="53"/>
        <v>0.2668468031077349</v>
      </c>
      <c r="AV184" s="49">
        <f t="shared" si="54"/>
        <v>4992392.4947524704</v>
      </c>
      <c r="AW184" s="49">
        <f t="shared" si="54"/>
        <v>1435001.6227203701</v>
      </c>
      <c r="AX184" s="39">
        <f t="shared" si="55"/>
        <v>0.82767731189870608</v>
      </c>
      <c r="AY184" s="39">
        <f t="shared" si="55"/>
        <v>0.69461175807620268</v>
      </c>
      <c r="AZ184" s="39">
        <f t="shared" si="56"/>
        <v>0.79796864892059771</v>
      </c>
      <c r="BA184" s="18">
        <v>3.9102706496483203E-2</v>
      </c>
      <c r="BB184" s="20">
        <v>4.3781656084737199E-2</v>
      </c>
      <c r="BC184" s="17">
        <f t="shared" si="57"/>
        <v>-860302.4947524704</v>
      </c>
      <c r="BD184" s="17">
        <f t="shared" si="57"/>
        <v>-438232.62272037007</v>
      </c>
      <c r="BE184" s="6">
        <f t="shared" si="58"/>
        <v>5000495.2649407629</v>
      </c>
      <c r="BF184" s="27">
        <f t="shared" si="59"/>
        <v>4.3844713622594199E-2</v>
      </c>
    </row>
    <row r="185" spans="1:58" ht="14.25" customHeight="1" x14ac:dyDescent="0.35">
      <c r="A185" s="19">
        <v>45840</v>
      </c>
      <c r="B185" s="17">
        <v>37199061</v>
      </c>
      <c r="C185" s="17">
        <f t="shared" si="45"/>
        <v>4524076.3103448283</v>
      </c>
      <c r="D185" s="18">
        <f>+Tabla22[[#This Row],[Share diario]]</f>
        <v>4.0246683754001533E-2</v>
      </c>
      <c r="E185" s="17">
        <f>+Tabla22[[#This Row],[Global 2026]]</f>
        <v>31749859</v>
      </c>
      <c r="F185" s="19">
        <v>46204</v>
      </c>
      <c r="G185" s="17">
        <f t="shared" si="46"/>
        <v>6098844.9034075299</v>
      </c>
      <c r="H185" s="17">
        <v>5047249.3107280601</v>
      </c>
      <c r="I185" s="17">
        <v>1051595.5926794701</v>
      </c>
      <c r="J185" s="17">
        <v>3685044</v>
      </c>
      <c r="K185" s="17">
        <f>+Tabla22[[#This Row],[Web + APP 2026]]</f>
        <v>3854991</v>
      </c>
      <c r="L185" s="17">
        <v>36679.310344827602</v>
      </c>
      <c r="M185" s="17">
        <f>+Tabla22[[#This Row],[Afiliados 2026]]</f>
        <v>33555</v>
      </c>
      <c r="N185" s="17">
        <v>54428</v>
      </c>
      <c r="O185" s="17">
        <f>+Tabla22[[#This Row],[TMK 2026]]</f>
        <v>37725</v>
      </c>
      <c r="P185" s="17">
        <v>10227</v>
      </c>
      <c r="Q185" s="17">
        <f>+Tabla22[[#This Row],[WA 2026]]</f>
        <v>3591</v>
      </c>
      <c r="R185" s="17">
        <v>69019</v>
      </c>
      <c r="S185" s="17">
        <f>+Tabla22[[#This Row],[Ent. en Tienda 2026]]</f>
        <v>72458</v>
      </c>
      <c r="T185" s="17">
        <v>520885</v>
      </c>
      <c r="U185" s="17">
        <f>+Tabla22[[#This Row],[Meli Drop 2026]]</f>
        <v>625555</v>
      </c>
      <c r="V185" s="17">
        <v>97656</v>
      </c>
      <c r="W185" s="17">
        <f>+Tabla22[[#This Row],[Meli Full 2026]]</f>
        <v>147936</v>
      </c>
      <c r="X185" s="17">
        <v>41854</v>
      </c>
      <c r="Y185" s="17">
        <f>+Tabla22[[#This Row],[Amazon Drop 2026]]</f>
        <v>54054</v>
      </c>
      <c r="Z185" s="17">
        <v>8284</v>
      </c>
      <c r="AA185" s="17">
        <f>+Tabla22[[#This Row],[Amazon Full 2026]]</f>
        <v>17511</v>
      </c>
      <c r="AB185" s="17">
        <v>0</v>
      </c>
      <c r="AC185" s="17">
        <f>+Tabla22[[#This Row],[TikTok 2026]]</f>
        <v>6232</v>
      </c>
      <c r="AD185" s="17">
        <v>0</v>
      </c>
      <c r="AE185" s="17">
        <f>+Tabla22[[#This Row],[Shein 2026]]</f>
        <v>1455</v>
      </c>
      <c r="AF185" s="17">
        <f t="shared" si="47"/>
        <v>4855063</v>
      </c>
      <c r="AG185" s="18">
        <f t="shared" si="48"/>
        <v>0.79606270972514692</v>
      </c>
      <c r="AH185" s="17">
        <f t="shared" si="49"/>
        <v>-1243781.9034075299</v>
      </c>
      <c r="AI185" s="20">
        <f t="shared" si="50"/>
        <v>7.3161164169210036E-2</v>
      </c>
      <c r="AJ185" s="20">
        <f t="shared" si="42"/>
        <v>0.12161802445348899</v>
      </c>
      <c r="AK185" s="21">
        <f t="shared" si="51"/>
        <v>0.15291604917048607</v>
      </c>
      <c r="AL185" s="21">
        <f t="shared" si="43"/>
        <v>-0.14648762236229562</v>
      </c>
      <c r="AO185" s="38">
        <f t="shared" si="52"/>
        <v>46204</v>
      </c>
      <c r="AP185" s="17">
        <f>Tabla2[[#This Row],[Web + APP 2025]]+Tabla2[[#This Row],[Afiliados 2025]]+Tabla2[[#This Row],[TMK 2025]]+Tabla2[[#This Row],[WA 2025]]+Tabla2[[#This Row],[Ent. en Tienda 2025]]</f>
        <v>3855397.3103448278</v>
      </c>
      <c r="AQ185" s="17">
        <f>Tabla2[[#This Row],[Meli Drop 2025]]+Tabla2[[#This Row],[Meli Full 2025]]+Tabla2[[#This Row],[Amazon Drop 2025]]+Tabla2[[#This Row],[Amazon Full 2025]]+Tabla2[[#This Row],[TikTok 2025]]+Tabla2[[#This Row],[Shein 2025]]</f>
        <v>668679</v>
      </c>
      <c r="AR185" s="17">
        <f>Tabla2[[#This Row],[Web + APP 2026]]+Tabla2[[#This Row],[Afiliados 2026]]+Tabla2[[#This Row],[TMK 2026]]+Tabla2[[#This Row],[WA 2026]]+Tabla2[[#This Row],[Ent. en Tienda 2026]]</f>
        <v>4002320</v>
      </c>
      <c r="AS185" s="17">
        <f>Tabla2[[#This Row],[Meli Drop 2026]]+Tabla2[[#This Row],[Meli Full 2026]]+Tabla2[[#This Row],[Amazon Drop 2026]]+Tabla2[[#This Row],[Amazon Full 2026]]+Tabla2[[#This Row],[TikTok 2026]]+Tabla2[[#This Row],[Shein 2026]]</f>
        <v>852743</v>
      </c>
      <c r="AT185" s="18">
        <f t="shared" si="53"/>
        <v>3.8108313574050756E-2</v>
      </c>
      <c r="AU185" s="18">
        <f t="shared" si="53"/>
        <v>0.27526511225864736</v>
      </c>
      <c r="AV185" s="49">
        <f t="shared" si="54"/>
        <v>5047249.3107280601</v>
      </c>
      <c r="AW185" s="49">
        <f t="shared" si="54"/>
        <v>1051595.5926794701</v>
      </c>
      <c r="AX185" s="39">
        <f t="shared" si="55"/>
        <v>0.79297053773289239</v>
      </c>
      <c r="AY185" s="39">
        <f t="shared" si="55"/>
        <v>0.810903931070315</v>
      </c>
      <c r="AZ185" s="39">
        <f t="shared" si="56"/>
        <v>0.79606270972514692</v>
      </c>
      <c r="BA185" s="18">
        <v>3.3383987069189602E-2</v>
      </c>
      <c r="BB185" s="20">
        <v>4.2336268167108698E-2</v>
      </c>
      <c r="BC185" s="17">
        <f t="shared" si="57"/>
        <v>-1044929.3107280601</v>
      </c>
      <c r="BD185" s="17">
        <f t="shared" si="57"/>
        <v>-198852.59267947008</v>
      </c>
      <c r="BE185" s="17">
        <f t="shared" ref="BE185:BF214" si="60">AR185-AP185</f>
        <v>146922.68965517217</v>
      </c>
      <c r="BF185" s="17">
        <f t="shared" si="60"/>
        <v>184064</v>
      </c>
    </row>
    <row r="186" spans="1:58" ht="14.25" customHeight="1" x14ac:dyDescent="0.35">
      <c r="A186" s="16">
        <v>45841</v>
      </c>
      <c r="B186" s="17">
        <v>43524406</v>
      </c>
      <c r="C186" s="17">
        <f t="shared" si="45"/>
        <v>3572178.5517241377</v>
      </c>
      <c r="D186" s="18">
        <f>+Tabla22[[#This Row],[Share diario]]</f>
        <v>3.8943824808447103E-2</v>
      </c>
      <c r="E186" s="17">
        <f>+Tabla22[[#This Row],[Global 2026]]</f>
        <v>37296594</v>
      </c>
      <c r="F186" s="19">
        <v>46205</v>
      </c>
      <c r="G186" s="17">
        <f t="shared" si="46"/>
        <v>5892162.2488056887</v>
      </c>
      <c r="H186" s="17">
        <v>4998453.4809855698</v>
      </c>
      <c r="I186" s="17">
        <v>893708.76782011904</v>
      </c>
      <c r="J186" s="17">
        <v>2698039</v>
      </c>
      <c r="K186" s="17">
        <f>+Tabla22[[#This Row],[Web + APP 2026]]</f>
        <v>2923874</v>
      </c>
      <c r="L186" s="17">
        <v>35471.551724137898</v>
      </c>
      <c r="M186" s="17">
        <f>+Tabla22[[#This Row],[Afiliados 2026]]</f>
        <v>33721</v>
      </c>
      <c r="N186" s="17">
        <v>41667</v>
      </c>
      <c r="O186" s="17">
        <f>+Tabla22[[#This Row],[TMK 2026]]</f>
        <v>11767</v>
      </c>
      <c r="P186" s="17">
        <v>9394</v>
      </c>
      <c r="Q186" s="17">
        <f>+Tabla22[[#This Row],[WA 2026]]</f>
        <v>4184</v>
      </c>
      <c r="R186" s="17">
        <v>92502</v>
      </c>
      <c r="S186" s="17">
        <f>+Tabla22[[#This Row],[Ent. en Tienda 2026]]</f>
        <v>86120</v>
      </c>
      <c r="T186" s="17">
        <v>552929</v>
      </c>
      <c r="U186" s="17">
        <f>+Tabla22[[#This Row],[Meli Drop 2026]]</f>
        <v>529374</v>
      </c>
      <c r="V186" s="17">
        <v>93404</v>
      </c>
      <c r="W186" s="17">
        <f>+Tabla22[[#This Row],[Meli Full 2026]]</f>
        <v>154761</v>
      </c>
      <c r="X186" s="17">
        <v>39271</v>
      </c>
      <c r="Y186" s="17">
        <f>+Tabla22[[#This Row],[Amazon Drop 2026]]</f>
        <v>37080</v>
      </c>
      <c r="Z186" s="17">
        <v>9501</v>
      </c>
      <c r="AA186" s="17">
        <f>+Tabla22[[#This Row],[Amazon Full 2026]]</f>
        <v>17915</v>
      </c>
      <c r="AB186" s="17">
        <v>0</v>
      </c>
      <c r="AC186" s="17">
        <f>+Tabla22[[#This Row],[TikTok 2026]]</f>
        <v>9869</v>
      </c>
      <c r="AD186" s="17">
        <v>0</v>
      </c>
      <c r="AE186" s="17">
        <f>+Tabla22[[#This Row],[Shein 2026]]</f>
        <v>6287</v>
      </c>
      <c r="AF186" s="17">
        <f t="shared" si="47"/>
        <v>3814952</v>
      </c>
      <c r="AG186" s="18">
        <f t="shared" si="48"/>
        <v>0.64746214359139065</v>
      </c>
      <c r="AH186" s="17">
        <f t="shared" si="49"/>
        <v>-2077210.2488056887</v>
      </c>
      <c r="AI186" s="20">
        <f t="shared" si="50"/>
        <v>6.7962293810505559E-2</v>
      </c>
      <c r="AJ186" s="20">
        <f t="shared" ref="AJ186:AJ249" si="61">+C186/B186</f>
        <v>8.2072999496515531E-2</v>
      </c>
      <c r="AK186" s="21">
        <f t="shared" si="51"/>
        <v>0.10228687370219383</v>
      </c>
      <c r="AL186" s="21">
        <f t="shared" ref="AL186:AL249" si="62">+E186/B186-1</f>
        <v>-0.14308781146835181</v>
      </c>
      <c r="AO186" s="38">
        <f t="shared" si="52"/>
        <v>46205</v>
      </c>
      <c r="AP186" s="17">
        <f>Tabla2[[#This Row],[Web + APP 2025]]+Tabla2[[#This Row],[Afiliados 2025]]+Tabla2[[#This Row],[TMK 2025]]+Tabla2[[#This Row],[WA 2025]]+Tabla2[[#This Row],[Ent. en Tienda 2025]]</f>
        <v>2877073.5517241377</v>
      </c>
      <c r="AQ186" s="17">
        <f>Tabla2[[#This Row],[Meli Drop 2025]]+Tabla2[[#This Row],[Meli Full 2025]]+Tabla2[[#This Row],[Amazon Drop 2025]]+Tabla2[[#This Row],[Amazon Full 2025]]+Tabla2[[#This Row],[TikTok 2025]]+Tabla2[[#This Row],[Shein 2025]]</f>
        <v>695105</v>
      </c>
      <c r="AR186" s="17">
        <f>Tabla2[[#This Row],[Web + APP 2026]]+Tabla2[[#This Row],[Afiliados 2026]]+Tabla2[[#This Row],[TMK 2026]]+Tabla2[[#This Row],[WA 2026]]+Tabla2[[#This Row],[Ent. en Tienda 2026]]</f>
        <v>3059666</v>
      </c>
      <c r="AS186" s="17">
        <f>Tabla2[[#This Row],[Meli Drop 2026]]+Tabla2[[#This Row],[Meli Full 2026]]+Tabla2[[#This Row],[Amazon Drop 2026]]+Tabla2[[#This Row],[Amazon Full 2026]]+Tabla2[[#This Row],[TikTok 2026]]+Tabla2[[#This Row],[Shein 2026]]</f>
        <v>755286</v>
      </c>
      <c r="AT186" s="18">
        <f t="shared" si="53"/>
        <v>6.3464643844937774E-2</v>
      </c>
      <c r="AU186" s="18">
        <f t="shared" si="53"/>
        <v>8.657828673365886E-2</v>
      </c>
      <c r="AV186" s="49">
        <f t="shared" si="54"/>
        <v>4998453.4809855698</v>
      </c>
      <c r="AW186" s="49">
        <f t="shared" si="54"/>
        <v>893708.76782011904</v>
      </c>
      <c r="AX186" s="39">
        <f t="shared" si="55"/>
        <v>0.61212253182692633</v>
      </c>
      <c r="AY186" s="39">
        <f t="shared" si="55"/>
        <v>0.84511423317715506</v>
      </c>
      <c r="AZ186" s="39">
        <f t="shared" si="56"/>
        <v>0.64746214359139065</v>
      </c>
      <c r="BA186" s="18">
        <v>2.83717069149244E-2</v>
      </c>
      <c r="BB186" s="20">
        <v>4.1926969318125E-2</v>
      </c>
      <c r="BC186" s="17">
        <f t="shared" si="57"/>
        <v>-1938787.4809855698</v>
      </c>
      <c r="BD186" s="17">
        <f t="shared" si="57"/>
        <v>-138422.76782011904</v>
      </c>
      <c r="BE186" s="17">
        <f t="shared" si="60"/>
        <v>182592.44827586226</v>
      </c>
      <c r="BF186" s="17">
        <f t="shared" si="60"/>
        <v>60181</v>
      </c>
    </row>
    <row r="187" spans="1:58" ht="14.25" customHeight="1" x14ac:dyDescent="0.35">
      <c r="A187" s="19">
        <v>45842</v>
      </c>
      <c r="B187" s="17">
        <v>42164351</v>
      </c>
      <c r="C187" s="17">
        <f t="shared" si="45"/>
        <v>2896851.1379310344</v>
      </c>
      <c r="D187" s="18">
        <f>+Tabla22[[#This Row],[Share diario]]</f>
        <v>3.0691174719465582E-2</v>
      </c>
      <c r="E187" s="17">
        <f>+Tabla22[[#This Row],[Global 2026]]</f>
        <v>41201599</v>
      </c>
      <c r="F187" s="19">
        <v>46206</v>
      </c>
      <c r="G187" s="17">
        <f t="shared" si="46"/>
        <v>4659102.1493776534</v>
      </c>
      <c r="H187" s="17">
        <v>3730074.2704468002</v>
      </c>
      <c r="I187" s="17">
        <v>929027.87893085298</v>
      </c>
      <c r="J187" s="17">
        <v>2179555</v>
      </c>
      <c r="K187" s="17">
        <f>+Tabla22[[#This Row],[Web + APP 2026]]</f>
        <v>2705057</v>
      </c>
      <c r="L187" s="17">
        <v>32924.1379310345</v>
      </c>
      <c r="M187" s="17">
        <f>+Tabla22[[#This Row],[Afiliados 2026]]</f>
        <v>43805</v>
      </c>
      <c r="N187" s="17">
        <v>12896</v>
      </c>
      <c r="O187" s="17">
        <f>+Tabla22[[#This Row],[TMK 2026]]</f>
        <v>17931</v>
      </c>
      <c r="P187" s="17">
        <v>-1764</v>
      </c>
      <c r="Q187" s="17">
        <f>+Tabla22[[#This Row],[WA 2026]]</f>
        <v>1013</v>
      </c>
      <c r="R187" s="17">
        <v>107559</v>
      </c>
      <c r="S187" s="17">
        <f>+Tabla22[[#This Row],[Ent. en Tienda 2026]]</f>
        <v>84930</v>
      </c>
      <c r="T187" s="17">
        <v>416715</v>
      </c>
      <c r="U187" s="17">
        <f>+Tabla22[[#This Row],[Meli Drop 2026]]</f>
        <v>337385</v>
      </c>
      <c r="V187" s="17">
        <v>115888</v>
      </c>
      <c r="W187" s="17">
        <f>+Tabla22[[#This Row],[Meli Full 2026]]</f>
        <v>118065</v>
      </c>
      <c r="X187" s="17">
        <v>27713</v>
      </c>
      <c r="Y187" s="17">
        <f>+Tabla22[[#This Row],[Amazon Drop 2026]]</f>
        <v>42831</v>
      </c>
      <c r="Z187" s="17">
        <v>5365</v>
      </c>
      <c r="AA187" s="17">
        <f>+Tabla22[[#This Row],[Amazon Full 2026]]</f>
        <v>10140</v>
      </c>
      <c r="AB187" s="17">
        <v>0</v>
      </c>
      <c r="AC187" s="17">
        <f>+Tabla22[[#This Row],[TikTok 2026]]</f>
        <v>10620</v>
      </c>
      <c r="AD187" s="17">
        <v>0</v>
      </c>
      <c r="AE187" s="17">
        <f>+Tabla22[[#This Row],[Shein 2026]]</f>
        <v>1894</v>
      </c>
      <c r="AF187" s="17">
        <f t="shared" si="47"/>
        <v>3373671</v>
      </c>
      <c r="AG187" s="18">
        <f t="shared" si="48"/>
        <v>0.72410324818713045</v>
      </c>
      <c r="AH187" s="17">
        <f t="shared" si="49"/>
        <v>-1285431.1493776534</v>
      </c>
      <c r="AI187" s="20">
        <f t="shared" si="50"/>
        <v>0.16459936647262996</v>
      </c>
      <c r="AJ187" s="20">
        <f t="shared" si="61"/>
        <v>6.8703799992819392E-2</v>
      </c>
      <c r="AK187" s="21">
        <f t="shared" si="51"/>
        <v>8.1882040548960242E-2</v>
      </c>
      <c r="AL187" s="21">
        <f t="shared" si="62"/>
        <v>-2.2833317178295953E-2</v>
      </c>
      <c r="AO187" s="38">
        <f t="shared" si="52"/>
        <v>46206</v>
      </c>
      <c r="AP187" s="17">
        <f>Tabla2[[#This Row],[Web + APP 2025]]+Tabla2[[#This Row],[Afiliados 2025]]+Tabla2[[#This Row],[TMK 2025]]+Tabla2[[#This Row],[WA 2025]]+Tabla2[[#This Row],[Ent. en Tienda 2025]]</f>
        <v>2331170.1379310344</v>
      </c>
      <c r="AQ187" s="17">
        <f>Tabla2[[#This Row],[Meli Drop 2025]]+Tabla2[[#This Row],[Meli Full 2025]]+Tabla2[[#This Row],[Amazon Drop 2025]]+Tabla2[[#This Row],[Amazon Full 2025]]+Tabla2[[#This Row],[TikTok 2025]]+Tabla2[[#This Row],[Shein 2025]]</f>
        <v>565681</v>
      </c>
      <c r="AR187" s="17">
        <f>Tabla2[[#This Row],[Web + APP 2026]]+Tabla2[[#This Row],[Afiliados 2026]]+Tabla2[[#This Row],[TMK 2026]]+Tabla2[[#This Row],[WA 2026]]+Tabla2[[#This Row],[Ent. en Tienda 2026]]</f>
        <v>2852736</v>
      </c>
      <c r="AS187" s="17">
        <f>Tabla2[[#This Row],[Meli Drop 2026]]+Tabla2[[#This Row],[Meli Full 2026]]+Tabla2[[#This Row],[Amazon Drop 2026]]+Tabla2[[#This Row],[Amazon Full 2026]]+Tabla2[[#This Row],[TikTok 2026]]+Tabla2[[#This Row],[Shein 2026]]</f>
        <v>520935</v>
      </c>
      <c r="AT187" s="18">
        <f t="shared" si="53"/>
        <v>0.22373564828342674</v>
      </c>
      <c r="AU187" s="18">
        <f t="shared" si="53"/>
        <v>-7.9101118828456274E-2</v>
      </c>
      <c r="AV187" s="49">
        <f t="shared" si="54"/>
        <v>3730074.2704468002</v>
      </c>
      <c r="AW187" s="49">
        <f t="shared" si="54"/>
        <v>929027.87893085298</v>
      </c>
      <c r="AX187" s="39">
        <f t="shared" si="55"/>
        <v>0.7647933507925273</v>
      </c>
      <c r="AY187" s="39">
        <f t="shared" si="55"/>
        <v>0.56073128892483204</v>
      </c>
      <c r="AZ187" s="39">
        <f t="shared" si="56"/>
        <v>0.72410324818713045</v>
      </c>
      <c r="BA187" s="18">
        <v>2.94929485374874E-2</v>
      </c>
      <c r="BB187" s="20">
        <v>3.1287819339775903E-2</v>
      </c>
      <c r="BC187" s="17">
        <f t="shared" si="57"/>
        <v>-877338.27044680016</v>
      </c>
      <c r="BD187" s="17">
        <f t="shared" si="57"/>
        <v>-408092.87893085298</v>
      </c>
      <c r="BE187" s="17">
        <f t="shared" si="60"/>
        <v>521565.86206896557</v>
      </c>
      <c r="BF187" s="17">
        <f t="shared" si="60"/>
        <v>-44746</v>
      </c>
    </row>
    <row r="188" spans="1:58" ht="14.25" customHeight="1" x14ac:dyDescent="0.35">
      <c r="A188" s="16">
        <v>45843</v>
      </c>
      <c r="B188" s="17">
        <v>52117301</v>
      </c>
      <c r="C188" s="17">
        <f t="shared" si="45"/>
        <v>2366371.1379310344</v>
      </c>
      <c r="D188" s="18">
        <f>+Tabla22[[#This Row],[Share diario]]</f>
        <v>2.4851997847022678E-2</v>
      </c>
      <c r="E188" s="17">
        <f>+Tabla22[[#This Row],[Global 2026]]</f>
        <v>51574094</v>
      </c>
      <c r="F188" s="19">
        <v>46207</v>
      </c>
      <c r="G188" s="17">
        <f t="shared" si="46"/>
        <v>3778369.2535806466</v>
      </c>
      <c r="H188" s="17">
        <v>3022320.2831639699</v>
      </c>
      <c r="I188" s="17">
        <v>756048.97041667695</v>
      </c>
      <c r="J188" s="17">
        <v>1713969</v>
      </c>
      <c r="K188" s="17">
        <f>+Tabla22[[#This Row],[Web + APP 2026]]</f>
        <v>2175054</v>
      </c>
      <c r="L188" s="17">
        <v>35299.1379310345</v>
      </c>
      <c r="M188" s="17">
        <f>+Tabla22[[#This Row],[Afiliados 2026]]</f>
        <v>41461</v>
      </c>
      <c r="N188" s="17">
        <v>11072</v>
      </c>
      <c r="O188" s="17">
        <f>+Tabla22[[#This Row],[TMK 2026]]</f>
        <v>4234</v>
      </c>
      <c r="P188" s="17">
        <v>8150</v>
      </c>
      <c r="Q188" s="17">
        <f>+Tabla22[[#This Row],[WA 2026]]</f>
        <v>345</v>
      </c>
      <c r="R188" s="17">
        <v>64081</v>
      </c>
      <c r="S188" s="17">
        <f>+Tabla22[[#This Row],[Ent. en Tienda 2026]]</f>
        <v>73695</v>
      </c>
      <c r="T188" s="17">
        <v>404189</v>
      </c>
      <c r="U188" s="17">
        <f>+Tabla22[[#This Row],[Meli Drop 2026]]</f>
        <v>476598</v>
      </c>
      <c r="V188" s="17">
        <v>108332</v>
      </c>
      <c r="W188" s="17">
        <f>+Tabla22[[#This Row],[Meli Full 2026]]</f>
        <v>108307</v>
      </c>
      <c r="X188" s="17">
        <v>16902</v>
      </c>
      <c r="Y188" s="17">
        <f>+Tabla22[[#This Row],[Amazon Drop 2026]]</f>
        <v>37222</v>
      </c>
      <c r="Z188" s="17">
        <v>4377</v>
      </c>
      <c r="AA188" s="17">
        <f>+Tabla22[[#This Row],[Amazon Full 2026]]</f>
        <v>7925</v>
      </c>
      <c r="AB188" s="17">
        <v>0</v>
      </c>
      <c r="AC188" s="17">
        <f>+Tabla22[[#This Row],[TikTok 2026]]</f>
        <v>56771</v>
      </c>
      <c r="AD188" s="17">
        <v>0</v>
      </c>
      <c r="AE188" s="17">
        <f>+Tabla22[[#This Row],[Shein 2026]]</f>
        <v>2583</v>
      </c>
      <c r="AF188" s="17">
        <f t="shared" si="47"/>
        <v>2984195</v>
      </c>
      <c r="AG188" s="18">
        <f t="shared" si="48"/>
        <v>0.7898103122589113</v>
      </c>
      <c r="AH188" s="17">
        <f t="shared" si="49"/>
        <v>-794174.25358064659</v>
      </c>
      <c r="AI188" s="20">
        <f t="shared" si="50"/>
        <v>0.26108493810025979</v>
      </c>
      <c r="AJ188" s="20">
        <f t="shared" si="61"/>
        <v>4.5404713838328552E-2</v>
      </c>
      <c r="AK188" s="21">
        <f t="shared" si="51"/>
        <v>5.786228644171626E-2</v>
      </c>
      <c r="AL188" s="21">
        <f t="shared" si="62"/>
        <v>-1.042277688171156E-2</v>
      </c>
      <c r="AO188" s="38">
        <f t="shared" si="52"/>
        <v>46207</v>
      </c>
      <c r="AP188" s="17">
        <f>Tabla2[[#This Row],[Web + APP 2025]]+Tabla2[[#This Row],[Afiliados 2025]]+Tabla2[[#This Row],[TMK 2025]]+Tabla2[[#This Row],[WA 2025]]+Tabla2[[#This Row],[Ent. en Tienda 2025]]</f>
        <v>1832571.1379310344</v>
      </c>
      <c r="AQ188" s="17">
        <f>Tabla2[[#This Row],[Meli Drop 2025]]+Tabla2[[#This Row],[Meli Full 2025]]+Tabla2[[#This Row],[Amazon Drop 2025]]+Tabla2[[#This Row],[Amazon Full 2025]]+Tabla2[[#This Row],[TikTok 2025]]+Tabla2[[#This Row],[Shein 2025]]</f>
        <v>533800</v>
      </c>
      <c r="AR188" s="17">
        <f>Tabla2[[#This Row],[Web + APP 2026]]+Tabla2[[#This Row],[Afiliados 2026]]+Tabla2[[#This Row],[TMK 2026]]+Tabla2[[#This Row],[WA 2026]]+Tabla2[[#This Row],[Ent. en Tienda 2026]]</f>
        <v>2294789</v>
      </c>
      <c r="AS188" s="17">
        <f>Tabla2[[#This Row],[Meli Drop 2026]]+Tabla2[[#This Row],[Meli Full 2026]]+Tabla2[[#This Row],[Amazon Drop 2026]]+Tabla2[[#This Row],[Amazon Full 2026]]+Tabla2[[#This Row],[TikTok 2026]]+Tabla2[[#This Row],[Shein 2026]]</f>
        <v>689406</v>
      </c>
      <c r="AT188" s="18">
        <f t="shared" si="53"/>
        <v>0.25222369407760503</v>
      </c>
      <c r="AU188" s="18">
        <f t="shared" si="53"/>
        <v>0.29150618209067058</v>
      </c>
      <c r="AV188" s="49">
        <f t="shared" si="54"/>
        <v>3022320.2831639699</v>
      </c>
      <c r="AW188" s="49">
        <f t="shared" si="54"/>
        <v>756048.97041667695</v>
      </c>
      <c r="AX188" s="39">
        <f t="shared" si="55"/>
        <v>0.75928054772463072</v>
      </c>
      <c r="AY188" s="39">
        <f t="shared" si="55"/>
        <v>0.91185363247046236</v>
      </c>
      <c r="AZ188" s="39">
        <f t="shared" si="56"/>
        <v>0.7898103122589113</v>
      </c>
      <c r="BA188" s="18">
        <v>2.4001554616402399E-2</v>
      </c>
      <c r="BB188" s="20">
        <v>2.53511871749534E-2</v>
      </c>
      <c r="BC188" s="17">
        <f t="shared" si="57"/>
        <v>-727531.28316396987</v>
      </c>
      <c r="BD188" s="17">
        <f t="shared" si="57"/>
        <v>-66642.970416676952</v>
      </c>
      <c r="BE188" s="17">
        <f t="shared" si="60"/>
        <v>462217.86206896557</v>
      </c>
      <c r="BF188" s="17">
        <f t="shared" si="60"/>
        <v>155606</v>
      </c>
    </row>
    <row r="189" spans="1:58" ht="14.25" customHeight="1" x14ac:dyDescent="0.35">
      <c r="A189" s="19">
        <v>45844</v>
      </c>
      <c r="B189" s="17">
        <v>52957760</v>
      </c>
      <c r="C189" s="17">
        <f t="shared" si="45"/>
        <v>2778413.5172413792</v>
      </c>
      <c r="D189" s="18">
        <f>+Tabla22[[#This Row],[Share diario]]</f>
        <v>2.0230182147268461E-2</v>
      </c>
      <c r="E189" s="17">
        <f>+Tabla22[[#This Row],[Global 2026]]</f>
        <v>39756355</v>
      </c>
      <c r="F189" s="19">
        <v>46208</v>
      </c>
      <c r="G189" s="17">
        <f t="shared" si="46"/>
        <v>3089334.7146261511</v>
      </c>
      <c r="H189" s="17">
        <v>2375895.6201392901</v>
      </c>
      <c r="I189" s="17">
        <v>713439.09448686102</v>
      </c>
      <c r="J189" s="17">
        <v>2262588</v>
      </c>
      <c r="K189" s="17">
        <f>+Tabla22[[#This Row],[Web + APP 2026]]</f>
        <v>2221020</v>
      </c>
      <c r="L189" s="17">
        <v>39215.517241379297</v>
      </c>
      <c r="M189" s="17">
        <f>+Tabla22[[#This Row],[Afiliados 2026]]</f>
        <v>34456</v>
      </c>
      <c r="N189" s="17">
        <v>24461</v>
      </c>
      <c r="O189" s="17">
        <f>+Tabla22[[#This Row],[TMK 2026]]</f>
        <v>-5691</v>
      </c>
      <c r="P189" s="17">
        <v>3632</v>
      </c>
      <c r="Q189" s="17">
        <f>+Tabla22[[#This Row],[WA 2026]]</f>
        <v>2342</v>
      </c>
      <c r="R189" s="17">
        <v>74909</v>
      </c>
      <c r="S189" s="17">
        <f>+Tabla22[[#This Row],[Ent. en Tienda 2026]]</f>
        <v>40115</v>
      </c>
      <c r="T189" s="17">
        <v>230319</v>
      </c>
      <c r="U189" s="17">
        <f>+Tabla22[[#This Row],[Meli Drop 2026]]</f>
        <v>421919</v>
      </c>
      <c r="V189" s="17">
        <v>105857</v>
      </c>
      <c r="W189" s="17">
        <f>+Tabla22[[#This Row],[Meli Full 2026]]</f>
        <v>88467</v>
      </c>
      <c r="X189" s="17">
        <v>29115</v>
      </c>
      <c r="Y189" s="17">
        <f>+Tabla22[[#This Row],[Amazon Drop 2026]]</f>
        <v>39269</v>
      </c>
      <c r="Z189" s="17">
        <v>8317</v>
      </c>
      <c r="AA189" s="17">
        <f>+Tabla22[[#This Row],[Amazon Full 2026]]</f>
        <v>5114</v>
      </c>
      <c r="AB189" s="17">
        <v>0</v>
      </c>
      <c r="AC189" s="17">
        <f>+Tabla22[[#This Row],[TikTok 2026]]</f>
        <v>13798</v>
      </c>
      <c r="AD189" s="17">
        <v>0</v>
      </c>
      <c r="AE189" s="17">
        <f>+Tabla22[[#This Row],[Shein 2026]]</f>
        <v>3488</v>
      </c>
      <c r="AF189" s="17">
        <f t="shared" si="47"/>
        <v>2864297</v>
      </c>
      <c r="AG189" s="18">
        <f t="shared" si="48"/>
        <v>0.92715657725246403</v>
      </c>
      <c r="AH189" s="17">
        <f t="shared" si="49"/>
        <v>-225037.71462615114</v>
      </c>
      <c r="AI189" s="20">
        <f t="shared" si="50"/>
        <v>3.0910979314516362E-2</v>
      </c>
      <c r="AJ189" s="20">
        <f t="shared" si="61"/>
        <v>5.2464709935642659E-2</v>
      </c>
      <c r="AK189" s="21">
        <f t="shared" si="51"/>
        <v>7.2046267823093937E-2</v>
      </c>
      <c r="AL189" s="21">
        <f t="shared" si="62"/>
        <v>-0.24928178608762908</v>
      </c>
      <c r="AO189" s="38">
        <f t="shared" si="52"/>
        <v>46208</v>
      </c>
      <c r="AP189" s="17">
        <f>Tabla2[[#This Row],[Web + APP 2025]]+Tabla2[[#This Row],[Afiliados 2025]]+Tabla2[[#This Row],[TMK 2025]]+Tabla2[[#This Row],[WA 2025]]+Tabla2[[#This Row],[Ent. en Tienda 2025]]</f>
        <v>2404805.5172413792</v>
      </c>
      <c r="AQ189" s="17">
        <f>Tabla2[[#This Row],[Meli Drop 2025]]+Tabla2[[#This Row],[Meli Full 2025]]+Tabla2[[#This Row],[Amazon Drop 2025]]+Tabla2[[#This Row],[Amazon Full 2025]]+Tabla2[[#This Row],[TikTok 2025]]+Tabla2[[#This Row],[Shein 2025]]</f>
        <v>373608</v>
      </c>
      <c r="AR189" s="17">
        <f>Tabla2[[#This Row],[Web + APP 2026]]+Tabla2[[#This Row],[Afiliados 2026]]+Tabla2[[#This Row],[TMK 2026]]+Tabla2[[#This Row],[WA 2026]]+Tabla2[[#This Row],[Ent. en Tienda 2026]]</f>
        <v>2292242</v>
      </c>
      <c r="AS189" s="17">
        <f>Tabla2[[#This Row],[Meli Drop 2026]]+Tabla2[[#This Row],[Meli Full 2026]]+Tabla2[[#This Row],[Amazon Drop 2026]]+Tabla2[[#This Row],[Amazon Full 2026]]+Tabla2[[#This Row],[TikTok 2026]]+Tabla2[[#This Row],[Shein 2026]]</f>
        <v>572055</v>
      </c>
      <c r="AT189" s="18">
        <f t="shared" si="53"/>
        <v>-4.680774242837904E-2</v>
      </c>
      <c r="AU189" s="18">
        <f t="shared" si="53"/>
        <v>0.53116367957859567</v>
      </c>
      <c r="AV189" s="49">
        <f t="shared" si="54"/>
        <v>2375895.6201392901</v>
      </c>
      <c r="AW189" s="49">
        <f t="shared" si="54"/>
        <v>713439.09448686102</v>
      </c>
      <c r="AX189" s="39">
        <f t="shared" si="55"/>
        <v>0.9647907006392874</v>
      </c>
      <c r="AY189" s="39">
        <f t="shared" si="55"/>
        <v>0.80182738010936849</v>
      </c>
      <c r="AZ189" s="39">
        <f t="shared" si="56"/>
        <v>0.92715657725246403</v>
      </c>
      <c r="BA189" s="18">
        <v>2.2648860142440001E-2</v>
      </c>
      <c r="BB189" s="20">
        <v>1.99289846644739E-2</v>
      </c>
      <c r="BC189" s="17">
        <f t="shared" si="57"/>
        <v>-83653.620139290113</v>
      </c>
      <c r="BD189" s="17">
        <f t="shared" si="57"/>
        <v>-141384.09448686102</v>
      </c>
      <c r="BE189" s="17">
        <f t="shared" si="60"/>
        <v>-112563.51724137925</v>
      </c>
      <c r="BF189" s="17">
        <f t="shared" si="60"/>
        <v>198447</v>
      </c>
    </row>
    <row r="190" spans="1:58" ht="14.25" customHeight="1" x14ac:dyDescent="0.35">
      <c r="A190" s="16">
        <v>45845</v>
      </c>
      <c r="B190" s="17">
        <v>31819363</v>
      </c>
      <c r="C190" s="17">
        <f t="shared" si="45"/>
        <v>4749834.4482758623</v>
      </c>
      <c r="D190" s="18">
        <f>+Tabla22[[#This Row],[Share diario]]</f>
        <v>2.3772102132585415E-2</v>
      </c>
      <c r="E190" s="17">
        <f>+Tabla22[[#This Row],[Global 2026]]</f>
        <v>28541400</v>
      </c>
      <c r="F190" s="19">
        <v>46209</v>
      </c>
      <c r="G190" s="17">
        <f t="shared" si="46"/>
        <v>3617125.0987107223</v>
      </c>
      <c r="H190" s="17">
        <v>3117787.2320695701</v>
      </c>
      <c r="I190" s="17">
        <v>499337.86664115201</v>
      </c>
      <c r="J190" s="17">
        <v>3483892</v>
      </c>
      <c r="K190" s="17">
        <f>+Tabla22[[#This Row],[Web + APP 2026]]</f>
        <v>3592240</v>
      </c>
      <c r="L190" s="17">
        <v>35553.448275862102</v>
      </c>
      <c r="M190" s="17">
        <f>+Tabla22[[#This Row],[Afiliados 2026]]</f>
        <v>37084</v>
      </c>
      <c r="N190" s="17">
        <v>63151</v>
      </c>
      <c r="O190" s="17">
        <f>+Tabla22[[#This Row],[TMK 2026]]</f>
        <v>13165</v>
      </c>
      <c r="P190" s="17">
        <v>5117</v>
      </c>
      <c r="Q190" s="17">
        <f>+Tabla22[[#This Row],[WA 2026]]</f>
        <v>3678</v>
      </c>
      <c r="R190" s="17">
        <v>82044</v>
      </c>
      <c r="S190" s="17">
        <f>+Tabla22[[#This Row],[Ent. en Tienda 2026]]</f>
        <v>43263</v>
      </c>
      <c r="T190" s="17">
        <v>867493</v>
      </c>
      <c r="U190" s="17">
        <f>+Tabla22[[#This Row],[Meli Drop 2026]]</f>
        <v>516899</v>
      </c>
      <c r="V190" s="17">
        <v>163273</v>
      </c>
      <c r="W190" s="17">
        <f>+Tabla22[[#This Row],[Meli Full 2026]]</f>
        <v>122255</v>
      </c>
      <c r="X190" s="17">
        <v>43008</v>
      </c>
      <c r="Y190" s="17">
        <f>+Tabla22[[#This Row],[Amazon Drop 2026]]</f>
        <v>22297</v>
      </c>
      <c r="Z190" s="17">
        <v>6303</v>
      </c>
      <c r="AA190" s="17">
        <f>+Tabla22[[#This Row],[Amazon Full 2026]]</f>
        <v>3480</v>
      </c>
      <c r="AB190" s="17">
        <v>0</v>
      </c>
      <c r="AC190" s="17">
        <f>+Tabla22[[#This Row],[TikTok 2026]]</f>
        <v>17060</v>
      </c>
      <c r="AD190" s="17">
        <v>0</v>
      </c>
      <c r="AE190" s="17">
        <f>+Tabla22[[#This Row],[Shein 2026]]</f>
        <v>3660</v>
      </c>
      <c r="AF190" s="17">
        <f t="shared" si="47"/>
        <v>4375081</v>
      </c>
      <c r="AG190" s="18">
        <f t="shared" si="48"/>
        <v>1.2095464991131883</v>
      </c>
      <c r="AH190" s="17">
        <f t="shared" si="49"/>
        <v>757955.90128927771</v>
      </c>
      <c r="AI190" s="20">
        <f t="shared" si="50"/>
        <v>-7.8898212633893738E-2</v>
      </c>
      <c r="AJ190" s="20">
        <f t="shared" si="61"/>
        <v>0.14927496971815124</v>
      </c>
      <c r="AK190" s="21">
        <f t="shared" si="51"/>
        <v>0.15328894167770327</v>
      </c>
      <c r="AL190" s="21">
        <f t="shared" si="62"/>
        <v>-0.1030178699680443</v>
      </c>
      <c r="AO190" s="38">
        <f t="shared" si="52"/>
        <v>46209</v>
      </c>
      <c r="AP190" s="17">
        <f>Tabla2[[#This Row],[Web + APP 2025]]+Tabla2[[#This Row],[Afiliados 2025]]+Tabla2[[#This Row],[TMK 2025]]+Tabla2[[#This Row],[WA 2025]]+Tabla2[[#This Row],[Ent. en Tienda 2025]]</f>
        <v>3669757.4482758623</v>
      </c>
      <c r="AQ190" s="17">
        <f>Tabla2[[#This Row],[Meli Drop 2025]]+Tabla2[[#This Row],[Meli Full 2025]]+Tabla2[[#This Row],[Amazon Drop 2025]]+Tabla2[[#This Row],[Amazon Full 2025]]+Tabla2[[#This Row],[TikTok 2025]]+Tabla2[[#This Row],[Shein 2025]]</f>
        <v>1080077</v>
      </c>
      <c r="AR190" s="17">
        <f>Tabla2[[#This Row],[Web + APP 2026]]+Tabla2[[#This Row],[Afiliados 2026]]+Tabla2[[#This Row],[TMK 2026]]+Tabla2[[#This Row],[WA 2026]]+Tabla2[[#This Row],[Ent. en Tienda 2026]]</f>
        <v>3689430</v>
      </c>
      <c r="AS190" s="17">
        <f>Tabla2[[#This Row],[Meli Drop 2026]]+Tabla2[[#This Row],[Meli Full 2026]]+Tabla2[[#This Row],[Amazon Drop 2026]]+Tabla2[[#This Row],[Amazon Full 2026]]+Tabla2[[#This Row],[TikTok 2026]]+Tabla2[[#This Row],[Shein 2026]]</f>
        <v>685651</v>
      </c>
      <c r="AT190" s="18">
        <f t="shared" si="53"/>
        <v>5.3607226094412042E-3</v>
      </c>
      <c r="AU190" s="18">
        <f t="shared" si="53"/>
        <v>-0.36518322304798634</v>
      </c>
      <c r="AV190" s="49">
        <f t="shared" si="54"/>
        <v>3117787.2320695701</v>
      </c>
      <c r="AW190" s="49">
        <f t="shared" si="54"/>
        <v>499337.86664115201</v>
      </c>
      <c r="AX190" s="39">
        <f t="shared" si="55"/>
        <v>1.1833488706511177</v>
      </c>
      <c r="AY190" s="39">
        <f t="shared" si="55"/>
        <v>1.3731203776154663</v>
      </c>
      <c r="AZ190" s="39">
        <f t="shared" si="56"/>
        <v>1.2095464991131883</v>
      </c>
      <c r="BA190" s="18">
        <v>1.5851995766385799E-2</v>
      </c>
      <c r="BB190" s="20">
        <v>2.6151962825439402E-2</v>
      </c>
      <c r="BC190" s="17">
        <f t="shared" si="57"/>
        <v>571642.76793042989</v>
      </c>
      <c r="BD190" s="17">
        <f t="shared" si="57"/>
        <v>186313.13335884799</v>
      </c>
      <c r="BE190" s="17">
        <f t="shared" si="60"/>
        <v>19672.551724137738</v>
      </c>
      <c r="BF190" s="17">
        <f t="shared" si="60"/>
        <v>-394426</v>
      </c>
    </row>
    <row r="191" spans="1:58" ht="14.25" customHeight="1" x14ac:dyDescent="0.35">
      <c r="A191" s="19">
        <v>45846</v>
      </c>
      <c r="B191" s="17">
        <v>36389509</v>
      </c>
      <c r="C191" s="17">
        <f t="shared" si="45"/>
        <v>4566477.7931034481</v>
      </c>
      <c r="D191" s="18">
        <f>+Tabla22[[#This Row],[Share diario]]</f>
        <v>4.0912827453969028E-2</v>
      </c>
      <c r="E191" s="17">
        <f>+Tabla22[[#This Row],[Global 2026]]</f>
        <v>33738698</v>
      </c>
      <c r="F191" s="19">
        <v>46210</v>
      </c>
      <c r="G191" s="17">
        <f t="shared" si="46"/>
        <v>6201328.78786078</v>
      </c>
      <c r="H191" s="17">
        <v>4757774.7285575103</v>
      </c>
      <c r="I191" s="17">
        <v>1443554.05930327</v>
      </c>
      <c r="J191" s="17">
        <v>3544388</v>
      </c>
      <c r="K191" s="17">
        <f>+Tabla22[[#This Row],[Web + APP 2026]]</f>
        <v>3881350</v>
      </c>
      <c r="L191" s="17">
        <v>38138.793103448297</v>
      </c>
      <c r="M191" s="17">
        <f>+Tabla22[[#This Row],[Afiliados 2026]]</f>
        <v>42546</v>
      </c>
      <c r="N191" s="17">
        <v>75946</v>
      </c>
      <c r="O191" s="17">
        <f>+Tabla22[[#This Row],[TMK 2026]]</f>
        <v>27712</v>
      </c>
      <c r="P191" s="17">
        <v>5502</v>
      </c>
      <c r="Q191" s="17">
        <f>+Tabla22[[#This Row],[WA 2026]]</f>
        <v>2534</v>
      </c>
      <c r="R191" s="17">
        <v>59539</v>
      </c>
      <c r="S191" s="17">
        <f>+Tabla22[[#This Row],[Ent. en Tienda 2026]]</f>
        <v>61051</v>
      </c>
      <c r="T191" s="17">
        <v>634734</v>
      </c>
      <c r="U191" s="17">
        <f>+Tabla22[[#This Row],[Meli Drop 2026]]</f>
        <v>691715</v>
      </c>
      <c r="V191" s="17">
        <v>168311</v>
      </c>
      <c r="W191" s="17">
        <f>+Tabla22[[#This Row],[Meli Full 2026]]</f>
        <v>150430</v>
      </c>
      <c r="X191" s="17">
        <v>34428</v>
      </c>
      <c r="Y191" s="17">
        <f>+Tabla22[[#This Row],[Amazon Drop 2026]]</f>
        <v>17456</v>
      </c>
      <c r="Z191" s="17">
        <v>5491</v>
      </c>
      <c r="AA191" s="17">
        <f>+Tabla22[[#This Row],[Amazon Full 2026]]</f>
        <v>2549</v>
      </c>
      <c r="AB191" s="17">
        <v>0</v>
      </c>
      <c r="AC191" s="17">
        <f>+Tabla22[[#This Row],[TikTok 2026]]</f>
        <v>8033</v>
      </c>
      <c r="AD191" s="17">
        <v>0</v>
      </c>
      <c r="AE191" s="17">
        <f>+Tabla22[[#This Row],[Shein 2026]]</f>
        <v>6201</v>
      </c>
      <c r="AF191" s="17">
        <f t="shared" si="47"/>
        <v>4891577</v>
      </c>
      <c r="AG191" s="18">
        <f t="shared" si="48"/>
        <v>0.78879497722735747</v>
      </c>
      <c r="AH191" s="17">
        <f t="shared" si="49"/>
        <v>-1309751.78786078</v>
      </c>
      <c r="AI191" s="20">
        <f t="shared" si="50"/>
        <v>7.1192551814778238E-2</v>
      </c>
      <c r="AJ191" s="20">
        <f t="shared" si="61"/>
        <v>0.12548885430422951</v>
      </c>
      <c r="AK191" s="21">
        <f t="shared" si="51"/>
        <v>0.14498416625324428</v>
      </c>
      <c r="AL191" s="21">
        <f t="shared" si="62"/>
        <v>-7.2845473127983174E-2</v>
      </c>
      <c r="AO191" s="38">
        <f t="shared" si="52"/>
        <v>46210</v>
      </c>
      <c r="AP191" s="17">
        <f>Tabla2[[#This Row],[Web + APP 2025]]+Tabla2[[#This Row],[Afiliados 2025]]+Tabla2[[#This Row],[TMK 2025]]+Tabla2[[#This Row],[WA 2025]]+Tabla2[[#This Row],[Ent. en Tienda 2025]]</f>
        <v>3723513.7931034481</v>
      </c>
      <c r="AQ191" s="17">
        <f>Tabla2[[#This Row],[Meli Drop 2025]]+Tabla2[[#This Row],[Meli Full 2025]]+Tabla2[[#This Row],[Amazon Drop 2025]]+Tabla2[[#This Row],[Amazon Full 2025]]+Tabla2[[#This Row],[TikTok 2025]]+Tabla2[[#This Row],[Shein 2025]]</f>
        <v>842964</v>
      </c>
      <c r="AR191" s="17">
        <f>Tabla2[[#This Row],[Web + APP 2026]]+Tabla2[[#This Row],[Afiliados 2026]]+Tabla2[[#This Row],[TMK 2026]]+Tabla2[[#This Row],[WA 2026]]+Tabla2[[#This Row],[Ent. en Tienda 2026]]</f>
        <v>4015193</v>
      </c>
      <c r="AS191" s="17">
        <f>Tabla2[[#This Row],[Meli Drop 2026]]+Tabla2[[#This Row],[Meli Full 2026]]+Tabla2[[#This Row],[Amazon Drop 2026]]+Tabla2[[#This Row],[Amazon Full 2026]]+Tabla2[[#This Row],[TikTok 2026]]+Tabla2[[#This Row],[Shein 2026]]</f>
        <v>876384</v>
      </c>
      <c r="AT191" s="18">
        <f t="shared" si="53"/>
        <v>7.8334396783164673E-2</v>
      </c>
      <c r="AU191" s="18">
        <f t="shared" si="53"/>
        <v>3.9645821173857954E-2</v>
      </c>
      <c r="AV191" s="49">
        <f t="shared" si="54"/>
        <v>4757774.7285575103</v>
      </c>
      <c r="AW191" s="49">
        <f t="shared" si="54"/>
        <v>1443554.05930327</v>
      </c>
      <c r="AX191" s="39">
        <f t="shared" si="55"/>
        <v>0.84392246986804054</v>
      </c>
      <c r="AY191" s="39">
        <f t="shared" si="55"/>
        <v>0.6071016144854221</v>
      </c>
      <c r="AZ191" s="39">
        <f t="shared" si="56"/>
        <v>0.78879497722735747</v>
      </c>
      <c r="BA191" s="18">
        <v>4.5827112993754603E-2</v>
      </c>
      <c r="BB191" s="20">
        <v>3.9908158758626501E-2</v>
      </c>
      <c r="BC191" s="17">
        <f t="shared" si="57"/>
        <v>-742581.7285575103</v>
      </c>
      <c r="BD191" s="17">
        <f t="shared" si="57"/>
        <v>-567170.05930326995</v>
      </c>
      <c r="BE191" s="17">
        <f t="shared" si="60"/>
        <v>291679.20689655188</v>
      </c>
      <c r="BF191" s="17">
        <f t="shared" si="60"/>
        <v>33420</v>
      </c>
    </row>
    <row r="192" spans="1:58" ht="14.25" customHeight="1" x14ac:dyDescent="0.35">
      <c r="A192" s="16">
        <v>45847</v>
      </c>
      <c r="B192" s="17">
        <v>38311714</v>
      </c>
      <c r="C192" s="17">
        <f t="shared" si="45"/>
        <v>4237273.6896551717</v>
      </c>
      <c r="D192" s="18">
        <f>+Tabla22[[#This Row],[Share diario]]</f>
        <v>3.9299134985300424E-2</v>
      </c>
      <c r="E192" s="17">
        <f>+Tabla22[[#This Row],[Global 2026]]</f>
        <v>35555231</v>
      </c>
      <c r="F192" s="19">
        <v>46211</v>
      </c>
      <c r="G192" s="17">
        <f t="shared" si="46"/>
        <v>5954114.5623109192</v>
      </c>
      <c r="H192" s="17">
        <v>4827468.8657110296</v>
      </c>
      <c r="I192" s="17">
        <v>1126645.69659989</v>
      </c>
      <c r="J192" s="17">
        <v>3310758</v>
      </c>
      <c r="K192" s="17">
        <f>+Tabla22[[#This Row],[Web + APP 2026]]</f>
        <v>3404528</v>
      </c>
      <c r="L192" s="17">
        <v>33820.689655172398</v>
      </c>
      <c r="M192" s="17">
        <f>+Tabla22[[#This Row],[Afiliados 2026]]</f>
        <v>36707</v>
      </c>
      <c r="N192" s="17">
        <v>39814</v>
      </c>
      <c r="O192" s="17">
        <f>+Tabla22[[#This Row],[TMK 2026]]</f>
        <v>48817</v>
      </c>
      <c r="P192" s="17">
        <v>5684</v>
      </c>
      <c r="Q192" s="17">
        <f>+Tabla22[[#This Row],[WA 2026]]</f>
        <v>4184</v>
      </c>
      <c r="R192" s="17">
        <v>93614</v>
      </c>
      <c r="S192" s="17">
        <f>+Tabla22[[#This Row],[Ent. en Tienda 2026]]</f>
        <v>89941</v>
      </c>
      <c r="T192" s="17">
        <v>580420</v>
      </c>
      <c r="U192" s="17">
        <f>+Tabla22[[#This Row],[Meli Drop 2026]]</f>
        <v>628785</v>
      </c>
      <c r="V192" s="17">
        <v>132668</v>
      </c>
      <c r="W192" s="17">
        <f>+Tabla22[[#This Row],[Meli Full 2026]]</f>
        <v>147851</v>
      </c>
      <c r="X192" s="17">
        <v>37975</v>
      </c>
      <c r="Y192" s="17">
        <f>+Tabla22[[#This Row],[Amazon Drop 2026]]</f>
        <v>25750</v>
      </c>
      <c r="Z192" s="17">
        <v>2520</v>
      </c>
      <c r="AA192" s="17">
        <f>+Tabla22[[#This Row],[Amazon Full 2026]]</f>
        <v>5197</v>
      </c>
      <c r="AB192" s="17">
        <v>0</v>
      </c>
      <c r="AC192" s="17">
        <f>+Tabla22[[#This Row],[TikTok 2026]]</f>
        <v>8617</v>
      </c>
      <c r="AD192" s="17">
        <v>0</v>
      </c>
      <c r="AE192" s="17">
        <f>+Tabla22[[#This Row],[Shein 2026]]</f>
        <v>1205</v>
      </c>
      <c r="AF192" s="17">
        <f t="shared" si="47"/>
        <v>4401582</v>
      </c>
      <c r="AG192" s="18">
        <f t="shared" si="48"/>
        <v>0.73925047191091531</v>
      </c>
      <c r="AH192" s="17">
        <f t="shared" si="49"/>
        <v>-1552532.5623109192</v>
      </c>
      <c r="AI192" s="20">
        <f t="shared" si="50"/>
        <v>3.8776893441169191E-2</v>
      </c>
      <c r="AJ192" s="20">
        <f t="shared" si="61"/>
        <v>0.11059995096160855</v>
      </c>
      <c r="AK192" s="21">
        <f t="shared" si="51"/>
        <v>0.12379562377192824</v>
      </c>
      <c r="AL192" s="21">
        <f t="shared" si="62"/>
        <v>-7.1948830062784408E-2</v>
      </c>
      <c r="AO192" s="38">
        <f t="shared" si="52"/>
        <v>46211</v>
      </c>
      <c r="AP192" s="17">
        <f>Tabla2[[#This Row],[Web + APP 2025]]+Tabla2[[#This Row],[Afiliados 2025]]+Tabla2[[#This Row],[TMK 2025]]+Tabla2[[#This Row],[WA 2025]]+Tabla2[[#This Row],[Ent. en Tienda 2025]]</f>
        <v>3483690.6896551722</v>
      </c>
      <c r="AQ192" s="17">
        <f>Tabla2[[#This Row],[Meli Drop 2025]]+Tabla2[[#This Row],[Meli Full 2025]]+Tabla2[[#This Row],[Amazon Drop 2025]]+Tabla2[[#This Row],[Amazon Full 2025]]+Tabla2[[#This Row],[TikTok 2025]]+Tabla2[[#This Row],[Shein 2025]]</f>
        <v>753583</v>
      </c>
      <c r="AR192" s="17">
        <f>Tabla2[[#This Row],[Web + APP 2026]]+Tabla2[[#This Row],[Afiliados 2026]]+Tabla2[[#This Row],[TMK 2026]]+Tabla2[[#This Row],[WA 2026]]+Tabla2[[#This Row],[Ent. en Tienda 2026]]</f>
        <v>3584177</v>
      </c>
      <c r="AS192" s="17">
        <f>Tabla2[[#This Row],[Meli Drop 2026]]+Tabla2[[#This Row],[Meli Full 2026]]+Tabla2[[#This Row],[Amazon Drop 2026]]+Tabla2[[#This Row],[Amazon Full 2026]]+Tabla2[[#This Row],[TikTok 2026]]+Tabla2[[#This Row],[Shein 2026]]</f>
        <v>817405</v>
      </c>
      <c r="AT192" s="18">
        <f t="shared" si="53"/>
        <v>2.8844785400501394E-2</v>
      </c>
      <c r="AU192" s="18">
        <f t="shared" si="53"/>
        <v>8.4691400947208173E-2</v>
      </c>
      <c r="AV192" s="49">
        <f t="shared" si="54"/>
        <v>4827468.8657110296</v>
      </c>
      <c r="AW192" s="49">
        <f t="shared" si="54"/>
        <v>1126645.69659989</v>
      </c>
      <c r="AX192" s="39">
        <f t="shared" si="55"/>
        <v>0.74245471067830338</v>
      </c>
      <c r="AY192" s="39">
        <f t="shared" si="55"/>
        <v>0.72552090019679727</v>
      </c>
      <c r="AZ192" s="39">
        <f t="shared" si="56"/>
        <v>0.73925047191091531</v>
      </c>
      <c r="BA192" s="18">
        <v>3.5766530050790203E-2</v>
      </c>
      <c r="BB192" s="20">
        <v>4.0492752365670098E-2</v>
      </c>
      <c r="BC192" s="17">
        <f t="shared" si="57"/>
        <v>-1243291.8657110296</v>
      </c>
      <c r="BD192" s="17">
        <f t="shared" si="57"/>
        <v>-309240.69659989001</v>
      </c>
      <c r="BE192" s="17">
        <f t="shared" si="60"/>
        <v>100486.31034482783</v>
      </c>
      <c r="BF192" s="17">
        <f t="shared" si="60"/>
        <v>63822</v>
      </c>
    </row>
    <row r="193" spans="1:58" ht="14.25" customHeight="1" x14ac:dyDescent="0.35">
      <c r="A193" s="19">
        <v>45848</v>
      </c>
      <c r="B193" s="17">
        <v>39604287</v>
      </c>
      <c r="C193" s="17">
        <f t="shared" si="45"/>
        <v>3522206.5862068967</v>
      </c>
      <c r="D193" s="18">
        <f>+Tabla22[[#This Row],[Share diario]]</f>
        <v>3.6773129906496477E-2</v>
      </c>
      <c r="E193" s="17">
        <f>+Tabla22[[#This Row],[Global 2026]]</f>
        <v>39454207</v>
      </c>
      <c r="F193" s="19">
        <v>46212</v>
      </c>
      <c r="G193" s="17">
        <f t="shared" si="46"/>
        <v>5523727.9248078503</v>
      </c>
      <c r="H193" s="17">
        <v>4516542.5124049</v>
      </c>
      <c r="I193" s="17">
        <v>1007185.41240295</v>
      </c>
      <c r="J193" s="17">
        <v>2584721</v>
      </c>
      <c r="K193" s="17">
        <f>+Tabla22[[#This Row],[Web + APP 2026]]</f>
        <v>3166533</v>
      </c>
      <c r="L193" s="17">
        <v>34077.5862068965</v>
      </c>
      <c r="M193" s="17">
        <f>+Tabla22[[#This Row],[Afiliados 2026]]</f>
        <v>41275</v>
      </c>
      <c r="N193" s="17">
        <v>28434</v>
      </c>
      <c r="O193" s="17">
        <f>+Tabla22[[#This Row],[TMK 2026]]</f>
        <v>14603</v>
      </c>
      <c r="P193" s="17">
        <v>4376</v>
      </c>
      <c r="Q193" s="17">
        <f>+Tabla22[[#This Row],[WA 2026]]</f>
        <v>4141</v>
      </c>
      <c r="R193" s="17">
        <v>129021</v>
      </c>
      <c r="S193" s="17">
        <f>+Tabla22[[#This Row],[Ent. en Tienda 2026]]</f>
        <v>38529</v>
      </c>
      <c r="T193" s="17">
        <v>532963</v>
      </c>
      <c r="U193" s="17">
        <f>+Tabla22[[#This Row],[Meli Drop 2026]]</f>
        <v>318377</v>
      </c>
      <c r="V193" s="17">
        <v>167845</v>
      </c>
      <c r="W193" s="17">
        <f>+Tabla22[[#This Row],[Meli Full 2026]]</f>
        <v>87484</v>
      </c>
      <c r="X193" s="17">
        <v>35189</v>
      </c>
      <c r="Y193" s="17">
        <f>+Tabla22[[#This Row],[Amazon Drop 2026]]</f>
        <v>14199</v>
      </c>
      <c r="Z193" s="17">
        <v>5580</v>
      </c>
      <c r="AA193" s="17">
        <f>+Tabla22[[#This Row],[Amazon Full 2026]]</f>
        <v>6363</v>
      </c>
      <c r="AB193" s="17">
        <v>0</v>
      </c>
      <c r="AC193" s="17">
        <f>+Tabla22[[#This Row],[TikTok 2026]]</f>
        <v>6495</v>
      </c>
      <c r="AD193" s="17">
        <v>0</v>
      </c>
      <c r="AE193" s="17">
        <f>+Tabla22[[#This Row],[Shein 2026]]</f>
        <v>1248</v>
      </c>
      <c r="AF193" s="17">
        <f t="shared" si="47"/>
        <v>3699247</v>
      </c>
      <c r="AG193" s="18">
        <f t="shared" si="48"/>
        <v>0.66970116022299975</v>
      </c>
      <c r="AH193" s="17">
        <f t="shared" si="49"/>
        <v>-1824480.9248078503</v>
      </c>
      <c r="AI193" s="20">
        <f t="shared" si="50"/>
        <v>5.0264063012771754E-2</v>
      </c>
      <c r="AJ193" s="20">
        <f t="shared" si="61"/>
        <v>8.8934982877154095E-2</v>
      </c>
      <c r="AK193" s="21">
        <f t="shared" si="51"/>
        <v>9.3760520899583658E-2</v>
      </c>
      <c r="AL193" s="21">
        <f t="shared" si="62"/>
        <v>-3.7894887490336204E-3</v>
      </c>
      <c r="AO193" s="38">
        <f t="shared" si="52"/>
        <v>46212</v>
      </c>
      <c r="AP193" s="17">
        <f>Tabla2[[#This Row],[Web + APP 2025]]+Tabla2[[#This Row],[Afiliados 2025]]+Tabla2[[#This Row],[TMK 2025]]+Tabla2[[#This Row],[WA 2025]]+Tabla2[[#This Row],[Ent. en Tienda 2025]]</f>
        <v>2780629.5862068967</v>
      </c>
      <c r="AQ193" s="17">
        <f>Tabla2[[#This Row],[Meli Drop 2025]]+Tabla2[[#This Row],[Meli Full 2025]]+Tabla2[[#This Row],[Amazon Drop 2025]]+Tabla2[[#This Row],[Amazon Full 2025]]+Tabla2[[#This Row],[TikTok 2025]]+Tabla2[[#This Row],[Shein 2025]]</f>
        <v>741577</v>
      </c>
      <c r="AR193" s="17">
        <f>Tabla2[[#This Row],[Web + APP 2026]]+Tabla2[[#This Row],[Afiliados 2026]]+Tabla2[[#This Row],[TMK 2026]]+Tabla2[[#This Row],[WA 2026]]+Tabla2[[#This Row],[Ent. en Tienda 2026]]</f>
        <v>3265081</v>
      </c>
      <c r="AS193" s="17">
        <f>Tabla2[[#This Row],[Meli Drop 2026]]+Tabla2[[#This Row],[Meli Full 2026]]+Tabla2[[#This Row],[Amazon Drop 2026]]+Tabla2[[#This Row],[Amazon Full 2026]]+Tabla2[[#This Row],[TikTok 2026]]+Tabla2[[#This Row],[Shein 2026]]</f>
        <v>434166</v>
      </c>
      <c r="AT193" s="18">
        <f t="shared" si="53"/>
        <v>0.17422364208314112</v>
      </c>
      <c r="AU193" s="18">
        <f t="shared" si="53"/>
        <v>-0.41453685861346834</v>
      </c>
      <c r="AV193" s="49">
        <f t="shared" si="54"/>
        <v>4516542.5124049</v>
      </c>
      <c r="AW193" s="49">
        <f t="shared" si="54"/>
        <v>1007185.41240295</v>
      </c>
      <c r="AX193" s="39">
        <f t="shared" si="55"/>
        <v>0.72291603389811987</v>
      </c>
      <c r="AY193" s="39">
        <f t="shared" si="55"/>
        <v>0.43106859437545242</v>
      </c>
      <c r="AZ193" s="39">
        <f t="shared" si="56"/>
        <v>0.66970116022299975</v>
      </c>
      <c r="BA193" s="18">
        <v>3.1974140076283998E-2</v>
      </c>
      <c r="BB193" s="20">
        <v>3.7884705751881798E-2</v>
      </c>
      <c r="BC193" s="17">
        <f t="shared" si="57"/>
        <v>-1251461.5124049</v>
      </c>
      <c r="BD193" s="17">
        <f t="shared" si="57"/>
        <v>-573019.41240294999</v>
      </c>
      <c r="BE193" s="17">
        <f t="shared" si="60"/>
        <v>484451.4137931033</v>
      </c>
      <c r="BF193" s="17">
        <f t="shared" si="60"/>
        <v>-307411</v>
      </c>
    </row>
    <row r="194" spans="1:58" ht="14.25" customHeight="1" x14ac:dyDescent="0.35">
      <c r="A194" s="16">
        <v>45849</v>
      </c>
      <c r="B194" s="17">
        <v>39558146</v>
      </c>
      <c r="C194" s="17">
        <f t="shared" si="45"/>
        <v>2798016.4482758623</v>
      </c>
      <c r="D194" s="18">
        <f>+Tabla22[[#This Row],[Share diario]]</f>
        <v>3.0567428454838425E-2</v>
      </c>
      <c r="E194" s="17">
        <f>+Tabla22[[#This Row],[Global 2026]]</f>
        <v>35709440</v>
      </c>
      <c r="F194" s="19">
        <v>46213</v>
      </c>
      <c r="G194" s="17">
        <f t="shared" si="46"/>
        <v>4596175.445665908</v>
      </c>
      <c r="H194" s="17">
        <v>3605036.3985091401</v>
      </c>
      <c r="I194" s="17">
        <v>991139.04715676804</v>
      </c>
      <c r="J194" s="17">
        <v>1939583</v>
      </c>
      <c r="K194" s="17">
        <f>+Tabla22[[#This Row],[Web + APP 2026]]</f>
        <v>2597860</v>
      </c>
      <c r="L194" s="17">
        <v>35028.448275862102</v>
      </c>
      <c r="M194" s="17">
        <f>+Tabla22[[#This Row],[Afiliados 2026]]</f>
        <v>41411</v>
      </c>
      <c r="N194" s="17">
        <v>26271</v>
      </c>
      <c r="O194" s="17">
        <f>+Tabla22[[#This Row],[TMK 2026]]</f>
        <v>28875</v>
      </c>
      <c r="P194" s="17">
        <v>5444</v>
      </c>
      <c r="Q194" s="17">
        <f>+Tabla22[[#This Row],[WA 2026]]</f>
        <v>5451</v>
      </c>
      <c r="R194" s="17">
        <v>85348</v>
      </c>
      <c r="S194" s="17">
        <f>+Tabla22[[#This Row],[Ent. en Tienda 2026]]</f>
        <v>161497</v>
      </c>
      <c r="T194" s="17">
        <v>527863</v>
      </c>
      <c r="U194" s="17">
        <f>+Tabla22[[#This Row],[Meli Drop 2026]]</f>
        <v>363067</v>
      </c>
      <c r="V194" s="17">
        <v>153400</v>
      </c>
      <c r="W194" s="17">
        <f>+Tabla22[[#This Row],[Meli Full 2026]]</f>
        <v>95870</v>
      </c>
      <c r="X194" s="17">
        <v>20782</v>
      </c>
      <c r="Y194" s="17">
        <f>+Tabla22[[#This Row],[Amazon Drop 2026]]</f>
        <v>14517</v>
      </c>
      <c r="Z194" s="17">
        <v>4297</v>
      </c>
      <c r="AA194" s="17">
        <f>+Tabla22[[#This Row],[Amazon Full 2026]]</f>
        <v>6109</v>
      </c>
      <c r="AB194" s="17">
        <v>0</v>
      </c>
      <c r="AC194" s="17">
        <f>+Tabla22[[#This Row],[TikTok 2026]]</f>
        <v>5021</v>
      </c>
      <c r="AD194" s="17">
        <v>0</v>
      </c>
      <c r="AE194" s="17">
        <f>+Tabla22[[#This Row],[Shein 2026]]</f>
        <v>2326</v>
      </c>
      <c r="AF194" s="17">
        <f t="shared" si="47"/>
        <v>3322004</v>
      </c>
      <c r="AG194" s="18">
        <f t="shared" si="48"/>
        <v>0.72277571630399284</v>
      </c>
      <c r="AH194" s="17">
        <f t="shared" si="49"/>
        <v>-1274171.445665908</v>
      </c>
      <c r="AI194" s="20">
        <f t="shared" si="50"/>
        <v>0.18727107628227802</v>
      </c>
      <c r="AJ194" s="20">
        <f t="shared" si="61"/>
        <v>7.0731738749229098E-2</v>
      </c>
      <c r="AK194" s="21">
        <f t="shared" si="51"/>
        <v>9.3028734138647928E-2</v>
      </c>
      <c r="AL194" s="21">
        <f t="shared" si="62"/>
        <v>-9.7292375633579953E-2</v>
      </c>
      <c r="AO194" s="38">
        <f t="shared" si="52"/>
        <v>46213</v>
      </c>
      <c r="AP194" s="17">
        <f>Tabla2[[#This Row],[Web + APP 2025]]+Tabla2[[#This Row],[Afiliados 2025]]+Tabla2[[#This Row],[TMK 2025]]+Tabla2[[#This Row],[WA 2025]]+Tabla2[[#This Row],[Ent. en Tienda 2025]]</f>
        <v>2091674.448275862</v>
      </c>
      <c r="AQ194" s="17">
        <f>Tabla2[[#This Row],[Meli Drop 2025]]+Tabla2[[#This Row],[Meli Full 2025]]+Tabla2[[#This Row],[Amazon Drop 2025]]+Tabla2[[#This Row],[Amazon Full 2025]]+Tabla2[[#This Row],[TikTok 2025]]+Tabla2[[#This Row],[Shein 2025]]</f>
        <v>706342</v>
      </c>
      <c r="AR194" s="17">
        <f>Tabla2[[#This Row],[Web + APP 2026]]+Tabla2[[#This Row],[Afiliados 2026]]+Tabla2[[#This Row],[TMK 2026]]+Tabla2[[#This Row],[WA 2026]]+Tabla2[[#This Row],[Ent. en Tienda 2026]]</f>
        <v>2835094</v>
      </c>
      <c r="AS194" s="17">
        <f>Tabla2[[#This Row],[Meli Drop 2026]]+Tabla2[[#This Row],[Meli Full 2026]]+Tabla2[[#This Row],[Amazon Drop 2026]]+Tabla2[[#This Row],[Amazon Full 2026]]+Tabla2[[#This Row],[TikTok 2026]]+Tabla2[[#This Row],[Shein 2026]]</f>
        <v>486910</v>
      </c>
      <c r="AT194" s="18">
        <f t="shared" si="53"/>
        <v>0.3554183837436693</v>
      </c>
      <c r="AU194" s="18">
        <f t="shared" si="53"/>
        <v>-0.31065970875298365</v>
      </c>
      <c r="AV194" s="49">
        <f t="shared" si="54"/>
        <v>3605036.3985091401</v>
      </c>
      <c r="AW194" s="49">
        <f t="shared" si="54"/>
        <v>991139.04715676804</v>
      </c>
      <c r="AX194" s="39">
        <f t="shared" si="55"/>
        <v>0.78642590160045289</v>
      </c>
      <c r="AY194" s="39">
        <f t="shared" si="55"/>
        <v>0.49126305879762766</v>
      </c>
      <c r="AZ194" s="39">
        <f t="shared" si="56"/>
        <v>0.72277571630399284</v>
      </c>
      <c r="BA194" s="18">
        <v>3.1464731655770399E-2</v>
      </c>
      <c r="BB194" s="20">
        <v>3.0239003132867801E-2</v>
      </c>
      <c r="BC194" s="17">
        <f t="shared" si="57"/>
        <v>-769942.39850914013</v>
      </c>
      <c r="BD194" s="17">
        <f t="shared" si="57"/>
        <v>-504229.04715676804</v>
      </c>
      <c r="BE194" s="17">
        <f t="shared" si="60"/>
        <v>743419.55172413797</v>
      </c>
      <c r="BF194" s="17">
        <f t="shared" si="60"/>
        <v>-219432</v>
      </c>
    </row>
    <row r="195" spans="1:58" ht="14.25" customHeight="1" x14ac:dyDescent="0.35">
      <c r="A195" s="19">
        <v>45850</v>
      </c>
      <c r="B195" s="17">
        <v>50882667</v>
      </c>
      <c r="C195" s="17">
        <f t="shared" si="45"/>
        <v>2609361.5862068962</v>
      </c>
      <c r="D195" s="18">
        <f>+Tabla22[[#This Row],[Share diario]]</f>
        <v>2.4282552855663067E-2</v>
      </c>
      <c r="E195" s="17">
        <f>+Tabla22[[#This Row],[Global 2026]]</f>
        <v>47590736</v>
      </c>
      <c r="F195" s="19">
        <v>46214</v>
      </c>
      <c r="G195" s="17">
        <f t="shared" si="46"/>
        <v>3655864.8694691798</v>
      </c>
      <c r="H195" s="17">
        <v>2711818.4159696698</v>
      </c>
      <c r="I195" s="17">
        <v>944046.45349950995</v>
      </c>
      <c r="J195" s="17">
        <v>1839299</v>
      </c>
      <c r="K195" s="17">
        <f>+Tabla22[[#This Row],[Web + APP 2026]]</f>
        <v>1964012</v>
      </c>
      <c r="L195" s="17">
        <v>37977.5862068965</v>
      </c>
      <c r="M195" s="17">
        <f>+Tabla22[[#This Row],[Afiliados 2026]]</f>
        <v>40374</v>
      </c>
      <c r="N195" s="17">
        <v>10430</v>
      </c>
      <c r="O195" s="17">
        <f>+Tabla22[[#This Row],[TMK 2026]]</f>
        <v>270</v>
      </c>
      <c r="P195" s="17">
        <v>6547</v>
      </c>
      <c r="Q195" s="17">
        <f>+Tabla22[[#This Row],[WA 2026]]</f>
        <v>-18</v>
      </c>
      <c r="R195" s="17">
        <v>71218</v>
      </c>
      <c r="S195" s="17">
        <f>+Tabla22[[#This Row],[Ent. en Tienda 2026]]</f>
        <v>105814</v>
      </c>
      <c r="T195" s="17">
        <v>483286</v>
      </c>
      <c r="U195" s="17">
        <f>+Tabla22[[#This Row],[Meli Drop 2026]]</f>
        <v>233528</v>
      </c>
      <c r="V195" s="17">
        <v>135225</v>
      </c>
      <c r="W195" s="17">
        <f>+Tabla22[[#This Row],[Meli Full 2026]]</f>
        <v>72542</v>
      </c>
      <c r="X195" s="17">
        <v>12782</v>
      </c>
      <c r="Y195" s="17">
        <f>+Tabla22[[#This Row],[Amazon Drop 2026]]</f>
        <v>18682</v>
      </c>
      <c r="Z195" s="17">
        <v>12597</v>
      </c>
      <c r="AA195" s="17">
        <f>+Tabla22[[#This Row],[Amazon Full 2026]]</f>
        <v>9069</v>
      </c>
      <c r="AB195" s="17">
        <v>0</v>
      </c>
      <c r="AC195" s="17">
        <f>+Tabla22[[#This Row],[TikTok 2026]]</f>
        <v>7197</v>
      </c>
      <c r="AD195" s="17">
        <v>0</v>
      </c>
      <c r="AE195" s="17">
        <f>+Tabla22[[#This Row],[Shein 2026]]</f>
        <v>0</v>
      </c>
      <c r="AF195" s="17">
        <f t="shared" si="47"/>
        <v>2451470</v>
      </c>
      <c r="AG195" s="18">
        <f t="shared" si="48"/>
        <v>0.67055815450748479</v>
      </c>
      <c r="AH195" s="17">
        <f t="shared" si="49"/>
        <v>-1204394.8694691798</v>
      </c>
      <c r="AI195" s="20">
        <f t="shared" si="50"/>
        <v>-6.0509661459535624E-2</v>
      </c>
      <c r="AJ195" s="20">
        <f t="shared" si="61"/>
        <v>5.1281934302046236E-2</v>
      </c>
      <c r="AK195" s="21">
        <f t="shared" si="51"/>
        <v>5.151149585078911E-2</v>
      </c>
      <c r="AL195" s="21">
        <f t="shared" si="62"/>
        <v>-6.4696510503272187E-2</v>
      </c>
      <c r="AO195" s="56">
        <f t="shared" si="52"/>
        <v>46214</v>
      </c>
      <c r="AP195" s="17">
        <f>Tabla2[[#This Row],[Web + APP 2025]]+Tabla2[[#This Row],[Afiliados 2025]]+Tabla2[[#This Row],[TMK 2025]]+Tabla2[[#This Row],[WA 2025]]+Tabla2[[#This Row],[Ent. en Tienda 2025]]</f>
        <v>1965471.5862068965</v>
      </c>
      <c r="AQ195" s="17">
        <f>Tabla2[[#This Row],[Meli Drop 2025]]+Tabla2[[#This Row],[Meli Full 2025]]+Tabla2[[#This Row],[Amazon Drop 2025]]+Tabla2[[#This Row],[Amazon Full 2025]]+Tabla2[[#This Row],[TikTok 2025]]+Tabla2[[#This Row],[Shein 2025]]</f>
        <v>643890</v>
      </c>
      <c r="AR195" s="17">
        <f>Tabla2[[#This Row],[Web + APP 2026]]+Tabla2[[#This Row],[Afiliados 2026]]+Tabla2[[#This Row],[TMK 2026]]+Tabla2[[#This Row],[WA 2026]]+Tabla2[[#This Row],[Ent. en Tienda 2026]]</f>
        <v>2110452</v>
      </c>
      <c r="AS195" s="17">
        <f>Tabla2[[#This Row],[Meli Drop 2026]]+Tabla2[[#This Row],[Meli Full 2026]]+Tabla2[[#This Row],[Amazon Drop 2026]]+Tabla2[[#This Row],[Amazon Full 2026]]+Tabla2[[#This Row],[TikTok 2026]]+Tabla2[[#This Row],[Shein 2026]]</f>
        <v>341018</v>
      </c>
      <c r="AT195" s="18">
        <f t="shared" si="53"/>
        <v>7.3763678300176716E-2</v>
      </c>
      <c r="AU195" s="18">
        <f t="shared" si="53"/>
        <v>-0.47037848079640932</v>
      </c>
      <c r="AV195" s="49">
        <f t="shared" si="54"/>
        <v>2711818.4159696698</v>
      </c>
      <c r="AW195" s="49">
        <f t="shared" si="54"/>
        <v>944046.45349950995</v>
      </c>
      <c r="AX195" s="39">
        <f t="shared" si="55"/>
        <v>0.77824237329893708</v>
      </c>
      <c r="AY195" s="39">
        <f t="shared" si="55"/>
        <v>0.36123010550579543</v>
      </c>
      <c r="AZ195" s="39">
        <f t="shared" si="56"/>
        <v>0.67055815450748479</v>
      </c>
      <c r="BA195" s="18">
        <v>2.9969728682524101E-2</v>
      </c>
      <c r="BB195" s="20">
        <v>2.2746701145704901E-2</v>
      </c>
      <c r="BC195" s="17">
        <f t="shared" si="57"/>
        <v>-601366.41596966982</v>
      </c>
      <c r="BD195" s="17">
        <f t="shared" si="57"/>
        <v>-603028.45349950995</v>
      </c>
      <c r="BE195" s="17">
        <f t="shared" si="60"/>
        <v>144980.41379310354</v>
      </c>
      <c r="BF195" s="17">
        <f t="shared" si="60"/>
        <v>-302872</v>
      </c>
    </row>
    <row r="196" spans="1:58" ht="14.25" customHeight="1" x14ac:dyDescent="0.35">
      <c r="A196" s="16">
        <v>45851</v>
      </c>
      <c r="B196" s="17">
        <v>53364930</v>
      </c>
      <c r="C196" s="17">
        <f t="shared" ref="C196:C259" si="63">+J196+L196+N196+P196+R196+T196+V196+X196+Z196+AB196+AD196</f>
        <v>2637981.4137931033</v>
      </c>
      <c r="D196" s="18">
        <f>+Tabla22[[#This Row],[Share diario]]</f>
        <v>2.2645313852836503E-2</v>
      </c>
      <c r="E196" s="17">
        <f>+Tabla22[[#This Row],[Global 2026]]</f>
        <v>39283967</v>
      </c>
      <c r="F196" s="19">
        <v>46215</v>
      </c>
      <c r="G196" s="17">
        <f t="shared" ref="G196:G259" si="64">+H196+I196</f>
        <v>3408776.2226847699</v>
      </c>
      <c r="H196" s="17">
        <v>2548198.6682652398</v>
      </c>
      <c r="I196" s="17">
        <v>860577.55441952997</v>
      </c>
      <c r="J196" s="17">
        <v>1908062</v>
      </c>
      <c r="K196" s="17">
        <f>+Tabla22[[#This Row],[Web + APP 2026]]</f>
        <v>20069</v>
      </c>
      <c r="L196" s="17">
        <v>38972.413793103398</v>
      </c>
      <c r="M196" s="17">
        <f>+Tabla22[[#This Row],[Afiliados 2026]]</f>
        <v>1278</v>
      </c>
      <c r="N196" s="17">
        <v>978</v>
      </c>
      <c r="O196" s="17">
        <f>+Tabla22[[#This Row],[TMK 2026]]</f>
        <v>0</v>
      </c>
      <c r="P196" s="17">
        <v>654</v>
      </c>
      <c r="Q196" s="17">
        <f>+Tabla22[[#This Row],[WA 2026]]</f>
        <v>0</v>
      </c>
      <c r="R196" s="17">
        <v>51478</v>
      </c>
      <c r="S196" s="17">
        <f>+Tabla22[[#This Row],[Ent. en Tienda 2026]]</f>
        <v>33609</v>
      </c>
      <c r="T196" s="17">
        <v>452704</v>
      </c>
      <c r="U196" s="17">
        <f>+Tabla22[[#This Row],[Meli Drop 2026]]</f>
        <v>38750</v>
      </c>
      <c r="V196" s="17">
        <v>140269</v>
      </c>
      <c r="W196" s="17">
        <f>+Tabla22[[#This Row],[Meli Full 2026]]</f>
        <v>6662</v>
      </c>
      <c r="X196" s="17">
        <v>31653</v>
      </c>
      <c r="Y196" s="17">
        <f>+Tabla22[[#This Row],[Amazon Drop 2026]]</f>
        <v>1861</v>
      </c>
      <c r="Z196" s="17">
        <v>13211</v>
      </c>
      <c r="AA196" s="17">
        <f>+Tabla22[[#This Row],[Amazon Full 2026]]</f>
        <v>794</v>
      </c>
      <c r="AB196" s="17">
        <v>0</v>
      </c>
      <c r="AC196" s="17">
        <f>+Tabla22[[#This Row],[TikTok 2026]]</f>
        <v>1636</v>
      </c>
      <c r="AD196" s="17">
        <v>0</v>
      </c>
      <c r="AE196" s="17">
        <f>+Tabla22[[#This Row],[Shein 2026]]</f>
        <v>861</v>
      </c>
      <c r="AF196" s="17">
        <f t="shared" ref="AF196:AF259" si="65">+AE196+AC196+AA196+Y196+W196+U196+S196+Q196+O196+M196+K196</f>
        <v>105520</v>
      </c>
      <c r="AG196" s="18">
        <f t="shared" ref="AG196:AG259" si="66">+AF196/G196</f>
        <v>3.0955390763929905E-2</v>
      </c>
      <c r="AH196" s="17">
        <f t="shared" ref="AH196:AH259" si="67">+AF196-G196</f>
        <v>-3303256.2226847699</v>
      </c>
      <c r="AI196" s="20">
        <f t="shared" ref="AI196:AI259" si="68">+AF196/C196-1</f>
        <v>-0.95999971817531693</v>
      </c>
      <c r="AJ196" s="20">
        <f t="shared" si="61"/>
        <v>4.9432865625291804E-2</v>
      </c>
      <c r="AK196" s="21">
        <f t="shared" ref="AK196:AK259" si="69">+AF196/E196</f>
        <v>2.6860831035725083E-3</v>
      </c>
      <c r="AL196" s="21">
        <f t="shared" si="62"/>
        <v>-0.26386173466357021</v>
      </c>
      <c r="AO196" s="56">
        <f t="shared" ref="AO196:AO246" si="70">+F196</f>
        <v>46215</v>
      </c>
      <c r="AP196" s="17">
        <f>Tabla2[[#This Row],[Web + APP 2025]]+Tabla2[[#This Row],[Afiliados 2025]]+Tabla2[[#This Row],[TMK 2025]]+Tabla2[[#This Row],[WA 2025]]+Tabla2[[#This Row],[Ent. en Tienda 2025]]</f>
        <v>2000144.4137931033</v>
      </c>
      <c r="AQ196" s="17">
        <f>Tabla2[[#This Row],[Meli Drop 2025]]+Tabla2[[#This Row],[Meli Full 2025]]+Tabla2[[#This Row],[Amazon Drop 2025]]+Tabla2[[#This Row],[Amazon Full 2025]]+Tabla2[[#This Row],[TikTok 2025]]+Tabla2[[#This Row],[Shein 2025]]</f>
        <v>637837</v>
      </c>
      <c r="AR196" s="17">
        <f>Tabla2[[#This Row],[Web + APP 2026]]+Tabla2[[#This Row],[Afiliados 2026]]+Tabla2[[#This Row],[TMK 2026]]+Tabla2[[#This Row],[WA 2026]]+Tabla2[[#This Row],[Ent. en Tienda 2026]]</f>
        <v>54956</v>
      </c>
      <c r="AS196" s="17">
        <f>Tabla2[[#This Row],[Meli Drop 2026]]+Tabla2[[#This Row],[Meli Full 2026]]+Tabla2[[#This Row],[Amazon Drop 2026]]+Tabla2[[#This Row],[Amazon Full 2026]]+Tabla2[[#This Row],[TikTok 2026]]+Tabla2[[#This Row],[Shein 2026]]</f>
        <v>50564</v>
      </c>
      <c r="AT196" s="18">
        <f t="shared" ref="AT196:AU246" si="71">+AR196/AP196-1</f>
        <v>-0.972523983957848</v>
      </c>
      <c r="AU196" s="18">
        <f t="shared" si="71"/>
        <v>-0.92072582807206227</v>
      </c>
      <c r="AV196" s="49">
        <f t="shared" ref="AV196:AW246" si="72">+H196</f>
        <v>2548198.6682652398</v>
      </c>
      <c r="AW196" s="49">
        <f t="shared" si="72"/>
        <v>860577.55441952997</v>
      </c>
      <c r="AX196" s="39">
        <f t="shared" ref="AX196:AY246" si="73">+AR196/AV196</f>
        <v>2.1566607299662744E-2</v>
      </c>
      <c r="AY196" s="39">
        <f t="shared" si="73"/>
        <v>5.8755889855977052E-2</v>
      </c>
      <c r="AZ196" s="39">
        <f t="shared" ref="AZ196:AZ246" si="74">+(AR196+AS196)/(AV196+AW196)</f>
        <v>3.0955390763929905E-2</v>
      </c>
      <c r="BA196" s="18">
        <v>2.7319922362524798E-2</v>
      </c>
      <c r="BB196" s="20">
        <v>2.1374260616261301E-2</v>
      </c>
      <c r="BC196" s="17">
        <f t="shared" ref="BC196:BD214" si="75">+AR196-AV196</f>
        <v>-2493242.6682652398</v>
      </c>
      <c r="BD196" s="17">
        <f t="shared" si="75"/>
        <v>-810013.55441952997</v>
      </c>
      <c r="BE196" s="17">
        <f t="shared" si="60"/>
        <v>-1945188.4137931033</v>
      </c>
      <c r="BF196" s="17">
        <f t="shared" si="60"/>
        <v>-587273</v>
      </c>
    </row>
    <row r="197" spans="1:58" ht="14.25" customHeight="1" x14ac:dyDescent="0.35">
      <c r="A197" s="19">
        <v>45852</v>
      </c>
      <c r="B197" s="17">
        <v>31077373</v>
      </c>
      <c r="C197" s="17">
        <f t="shared" si="63"/>
        <v>3858302.6551724137</v>
      </c>
      <c r="D197" s="18">
        <f>+Tabla22[[#This Row],[Share diario]]</f>
        <v>2.289369069011717E-2</v>
      </c>
      <c r="E197" s="17">
        <f>+Tabla22[[#This Row],[Global 2026]]</f>
        <v>21016462</v>
      </c>
      <c r="F197" s="19">
        <v>46216</v>
      </c>
      <c r="G197" s="17">
        <f t="shared" si="64"/>
        <v>3445638.9128600401</v>
      </c>
      <c r="H197" s="17">
        <v>2593151.3675055699</v>
      </c>
      <c r="I197" s="17">
        <v>852487.54535447003</v>
      </c>
      <c r="J197" s="17">
        <v>2840112</v>
      </c>
      <c r="K197" s="17">
        <f>+Tabla22[[#This Row],[Web + APP 2026]]</f>
        <v>-4439</v>
      </c>
      <c r="L197" s="17">
        <v>38589.655172413797</v>
      </c>
      <c r="M197" s="17">
        <f>+Tabla22[[#This Row],[Afiliados 2026]]</f>
        <v>0</v>
      </c>
      <c r="N197" s="17">
        <v>41758</v>
      </c>
      <c r="O197" s="17">
        <f>+Tabla22[[#This Row],[TMK 2026]]</f>
        <v>0</v>
      </c>
      <c r="P197" s="17">
        <v>3383</v>
      </c>
      <c r="Q197" s="17">
        <f>+Tabla22[[#This Row],[WA 2026]]</f>
        <v>0</v>
      </c>
      <c r="R197" s="17">
        <v>79566</v>
      </c>
      <c r="S197" s="17">
        <f>+Tabla22[[#This Row],[Ent. en Tienda 2026]]</f>
        <v>-9316</v>
      </c>
      <c r="T197" s="17">
        <v>679280</v>
      </c>
      <c r="U197" s="17">
        <f>+Tabla22[[#This Row],[Meli Drop 2026]]</f>
        <v>0</v>
      </c>
      <c r="V197" s="17">
        <v>124738</v>
      </c>
      <c r="W197" s="17">
        <f>+Tabla22[[#This Row],[Meli Full 2026]]</f>
        <v>154243</v>
      </c>
      <c r="X197" s="17">
        <v>35820</v>
      </c>
      <c r="Y197" s="17">
        <f>+Tabla22[[#This Row],[Amazon Drop 2026]]</f>
        <v>0</v>
      </c>
      <c r="Z197" s="17">
        <v>15056</v>
      </c>
      <c r="AA197" s="17">
        <f>+Tabla22[[#This Row],[Amazon Full 2026]]</f>
        <v>21040</v>
      </c>
      <c r="AB197" s="17">
        <v>0</v>
      </c>
      <c r="AC197" s="17">
        <f>+Tabla22[[#This Row],[TikTok 2026]]</f>
        <v>0</v>
      </c>
      <c r="AD197" s="17">
        <v>0</v>
      </c>
      <c r="AE197" s="17">
        <f>+Tabla22[[#This Row],[Shein 2026]]</f>
        <v>0</v>
      </c>
      <c r="AF197" s="17">
        <f t="shared" si="65"/>
        <v>161528</v>
      </c>
      <c r="AG197" s="18">
        <f t="shared" si="66"/>
        <v>4.6878969063512306E-2</v>
      </c>
      <c r="AH197" s="17">
        <f t="shared" si="67"/>
        <v>-3284110.9128600401</v>
      </c>
      <c r="AI197" s="20">
        <f t="shared" si="68"/>
        <v>-0.9581349587017346</v>
      </c>
      <c r="AJ197" s="20">
        <f t="shared" si="61"/>
        <v>0.1241515058294153</v>
      </c>
      <c r="AK197" s="21">
        <f t="shared" si="69"/>
        <v>7.6857846006620906E-3</v>
      </c>
      <c r="AL197" s="21">
        <f t="shared" si="62"/>
        <v>-0.32373749866180779</v>
      </c>
      <c r="AO197" s="56">
        <f t="shared" si="70"/>
        <v>46216</v>
      </c>
      <c r="AP197" s="17">
        <f>Tabla2[[#This Row],[Web + APP 2025]]+Tabla2[[#This Row],[Afiliados 2025]]+Tabla2[[#This Row],[TMK 2025]]+Tabla2[[#This Row],[WA 2025]]+Tabla2[[#This Row],[Ent. en Tienda 2025]]</f>
        <v>3003408.6551724137</v>
      </c>
      <c r="AQ197" s="17">
        <f>Tabla2[[#This Row],[Meli Drop 2025]]+Tabla2[[#This Row],[Meli Full 2025]]+Tabla2[[#This Row],[Amazon Drop 2025]]+Tabla2[[#This Row],[Amazon Full 2025]]+Tabla2[[#This Row],[TikTok 2025]]+Tabla2[[#This Row],[Shein 2025]]</f>
        <v>854894</v>
      </c>
      <c r="AR197" s="17">
        <f>Tabla2[[#This Row],[Web + APP 2026]]+Tabla2[[#This Row],[Afiliados 2026]]+Tabla2[[#This Row],[TMK 2026]]+Tabla2[[#This Row],[WA 2026]]+Tabla2[[#This Row],[Ent. en Tienda 2026]]</f>
        <v>-13755</v>
      </c>
      <c r="AS197" s="17">
        <f>Tabla2[[#This Row],[Meli Drop 2026]]+Tabla2[[#This Row],[Meli Full 2026]]+Tabla2[[#This Row],[Amazon Drop 2026]]+Tabla2[[#This Row],[Amazon Full 2026]]+Tabla2[[#This Row],[TikTok 2026]]+Tabla2[[#This Row],[Shein 2026]]</f>
        <v>175283</v>
      </c>
      <c r="AT197" s="18">
        <f t="shared" si="71"/>
        <v>-1.0045797963511596</v>
      </c>
      <c r="AU197" s="18">
        <f t="shared" si="71"/>
        <v>-0.79496522375873502</v>
      </c>
      <c r="AV197" s="49">
        <f t="shared" si="72"/>
        <v>2593151.3675055699</v>
      </c>
      <c r="AW197" s="49">
        <f t="shared" si="72"/>
        <v>852487.54535447003</v>
      </c>
      <c r="AX197" s="39">
        <f t="shared" si="73"/>
        <v>-5.3043567654252853E-3</v>
      </c>
      <c r="AY197" s="39">
        <f t="shared" si="73"/>
        <v>0.20561356110735454</v>
      </c>
      <c r="AZ197" s="39">
        <f t="shared" si="74"/>
        <v>4.6878969063512306E-2</v>
      </c>
      <c r="BA197" s="18">
        <v>2.7063096677919701E-2</v>
      </c>
      <c r="BB197" s="20">
        <v>2.1751323331556199E-2</v>
      </c>
      <c r="BC197" s="17">
        <f t="shared" si="75"/>
        <v>-2606906.3675055699</v>
      </c>
      <c r="BD197" s="17">
        <f t="shared" si="75"/>
        <v>-677204.54535447003</v>
      </c>
      <c r="BE197" s="17">
        <f t="shared" si="60"/>
        <v>-3017163.6551724137</v>
      </c>
      <c r="BF197" s="17">
        <f t="shared" si="60"/>
        <v>-679611</v>
      </c>
    </row>
    <row r="198" spans="1:58" ht="14.25" customHeight="1" x14ac:dyDescent="0.35">
      <c r="A198" s="16">
        <v>45853</v>
      </c>
      <c r="B198" s="17">
        <v>32826678</v>
      </c>
      <c r="C198" s="17">
        <f t="shared" si="63"/>
        <v>4127129.7586206896</v>
      </c>
      <c r="D198" s="18">
        <f>+Tabla22[[#This Row],[Share diario]]</f>
        <v>3.3484234238544491E-2</v>
      </c>
      <c r="E198" s="17">
        <f>+Tabla22[[#This Row],[Global 2026]]</f>
        <v>21232389</v>
      </c>
      <c r="F198" s="19">
        <v>46217</v>
      </c>
      <c r="G198" s="17">
        <f t="shared" si="64"/>
        <v>5036455.9523825301</v>
      </c>
      <c r="H198" s="17">
        <v>3893865.4667282598</v>
      </c>
      <c r="I198" s="17">
        <v>1142590.48565427</v>
      </c>
      <c r="J198" s="17">
        <v>3030753</v>
      </c>
      <c r="K198" s="17">
        <f>+Tabla22[[#This Row],[Web + APP 2026]]</f>
        <v>0</v>
      </c>
      <c r="L198" s="17">
        <v>41557.758620689601</v>
      </c>
      <c r="M198" s="17">
        <f>+Tabla22[[#This Row],[Afiliados 2026]]</f>
        <v>0</v>
      </c>
      <c r="N198" s="17">
        <v>41277</v>
      </c>
      <c r="O198" s="17">
        <f>+Tabla22[[#This Row],[TMK 2026]]</f>
        <v>0</v>
      </c>
      <c r="P198" s="17">
        <v>10445</v>
      </c>
      <c r="Q198" s="17">
        <f>+Tabla22[[#This Row],[WA 2026]]</f>
        <v>0</v>
      </c>
      <c r="R198" s="17">
        <v>72001</v>
      </c>
      <c r="S198" s="17">
        <f>+Tabla22[[#This Row],[Ent. en Tienda 2026]]</f>
        <v>284</v>
      </c>
      <c r="T198" s="17">
        <v>731523</v>
      </c>
      <c r="U198" s="17">
        <f>+Tabla22[[#This Row],[Meli Drop 2026]]</f>
        <v>0</v>
      </c>
      <c r="V198" s="17">
        <v>137392</v>
      </c>
      <c r="W198" s="17">
        <f>+Tabla22[[#This Row],[Meli Full 2026]]</f>
        <v>70218</v>
      </c>
      <c r="X198" s="17">
        <v>41913</v>
      </c>
      <c r="Y198" s="17">
        <f>+Tabla22[[#This Row],[Amazon Drop 2026]]</f>
        <v>0</v>
      </c>
      <c r="Z198" s="17">
        <v>20268</v>
      </c>
      <c r="AA198" s="17">
        <f>+Tabla22[[#This Row],[Amazon Full 2026]]</f>
        <v>7454</v>
      </c>
      <c r="AB198" s="17">
        <v>0</v>
      </c>
      <c r="AC198" s="17">
        <f>+Tabla22[[#This Row],[TikTok 2026]]</f>
        <v>0</v>
      </c>
      <c r="AD198" s="17">
        <v>0</v>
      </c>
      <c r="AE198" s="17">
        <f>+Tabla22[[#This Row],[Shein 2026]]</f>
        <v>0</v>
      </c>
      <c r="AF198" s="17">
        <f t="shared" si="65"/>
        <v>77956</v>
      </c>
      <c r="AG198" s="18">
        <f t="shared" si="66"/>
        <v>1.5478344442409425E-2</v>
      </c>
      <c r="AH198" s="17">
        <f t="shared" si="67"/>
        <v>-4958499.9523825301</v>
      </c>
      <c r="AI198" s="20">
        <f t="shared" si="68"/>
        <v>-0.98111132807560353</v>
      </c>
      <c r="AJ198" s="20">
        <f t="shared" si="61"/>
        <v>0.12572486800585456</v>
      </c>
      <c r="AK198" s="21">
        <f t="shared" si="69"/>
        <v>3.6715604635917326E-3</v>
      </c>
      <c r="AL198" s="21">
        <f t="shared" si="62"/>
        <v>-0.35319714654038403</v>
      </c>
      <c r="AO198" s="56">
        <f t="shared" si="70"/>
        <v>46217</v>
      </c>
      <c r="AP198" s="17">
        <f>Tabla2[[#This Row],[Web + APP 2025]]+Tabla2[[#This Row],[Afiliados 2025]]+Tabla2[[#This Row],[TMK 2025]]+Tabla2[[#This Row],[WA 2025]]+Tabla2[[#This Row],[Ent. en Tienda 2025]]</f>
        <v>3196033.7586206896</v>
      </c>
      <c r="AQ198" s="17">
        <f>Tabla2[[#This Row],[Meli Drop 2025]]+Tabla2[[#This Row],[Meli Full 2025]]+Tabla2[[#This Row],[Amazon Drop 2025]]+Tabla2[[#This Row],[Amazon Full 2025]]+Tabla2[[#This Row],[TikTok 2025]]+Tabla2[[#This Row],[Shein 2025]]</f>
        <v>931096</v>
      </c>
      <c r="AR198" s="17">
        <f>Tabla2[[#This Row],[Web + APP 2026]]+Tabla2[[#This Row],[Afiliados 2026]]+Tabla2[[#This Row],[TMK 2026]]+Tabla2[[#This Row],[WA 2026]]+Tabla2[[#This Row],[Ent. en Tienda 2026]]</f>
        <v>284</v>
      </c>
      <c r="AS198" s="17">
        <f>Tabla2[[#This Row],[Meli Drop 2026]]+Tabla2[[#This Row],[Meli Full 2026]]+Tabla2[[#This Row],[Amazon Drop 2026]]+Tabla2[[#This Row],[Amazon Full 2026]]+Tabla2[[#This Row],[TikTok 2026]]+Tabla2[[#This Row],[Shein 2026]]</f>
        <v>77672</v>
      </c>
      <c r="AT198" s="18">
        <f t="shared" si="71"/>
        <v>-0.99991113986226399</v>
      </c>
      <c r="AU198" s="18">
        <f t="shared" si="71"/>
        <v>-0.91658003041576808</v>
      </c>
      <c r="AV198" s="49">
        <f t="shared" si="72"/>
        <v>3893865.4667282598</v>
      </c>
      <c r="AW198" s="49">
        <f t="shared" si="72"/>
        <v>1142590.48565427</v>
      </c>
      <c r="AX198" s="39">
        <f t="shared" si="73"/>
        <v>7.2935236830004086E-5</v>
      </c>
      <c r="AY198" s="39">
        <f t="shared" si="73"/>
        <v>6.7978861171352628E-2</v>
      </c>
      <c r="AZ198" s="39">
        <f t="shared" si="74"/>
        <v>1.5478344442409425E-2</v>
      </c>
      <c r="BA198" s="18">
        <v>3.6272713830294401E-2</v>
      </c>
      <c r="BB198" s="20">
        <v>3.2661697977877699E-2</v>
      </c>
      <c r="BC198" s="17">
        <f t="shared" si="75"/>
        <v>-3893581.4667282598</v>
      </c>
      <c r="BD198" s="17">
        <f t="shared" si="75"/>
        <v>-1064918.48565427</v>
      </c>
      <c r="BE198" s="17">
        <f t="shared" si="60"/>
        <v>-3195749.7586206896</v>
      </c>
      <c r="BF198" s="17">
        <f t="shared" si="60"/>
        <v>-853424</v>
      </c>
    </row>
    <row r="199" spans="1:58" ht="14.25" customHeight="1" x14ac:dyDescent="0.35">
      <c r="A199" s="19">
        <v>45854</v>
      </c>
      <c r="B199" s="17">
        <v>31130597</v>
      </c>
      <c r="C199" s="17">
        <f t="shared" si="63"/>
        <v>4171609.8620689656</v>
      </c>
      <c r="D199" s="18">
        <f>+Tabla22[[#This Row],[Share diario]]</f>
        <v>3.5817247095756254E-2</v>
      </c>
      <c r="E199" s="17">
        <f>+Tabla22[[#This Row],[Global 2026]]</f>
        <v>19955592</v>
      </c>
      <c r="F199" s="19">
        <v>46218</v>
      </c>
      <c r="G199" s="17">
        <f t="shared" si="64"/>
        <v>5388037.1156272702</v>
      </c>
      <c r="H199" s="17">
        <v>4143600.4593508798</v>
      </c>
      <c r="I199" s="17">
        <v>1244436.65627639</v>
      </c>
      <c r="J199" s="17">
        <v>3000776</v>
      </c>
      <c r="K199" s="17">
        <f>+Tabla22[[#This Row],[Web + APP 2026]]</f>
        <v>0</v>
      </c>
      <c r="L199" s="17">
        <v>43500.8620689655</v>
      </c>
      <c r="M199" s="17">
        <f>+Tabla22[[#This Row],[Afiliados 2026]]</f>
        <v>0</v>
      </c>
      <c r="N199" s="17">
        <v>50474</v>
      </c>
      <c r="O199" s="17">
        <f>+Tabla22[[#This Row],[TMK 2026]]</f>
        <v>0</v>
      </c>
      <c r="P199" s="17">
        <v>7851</v>
      </c>
      <c r="Q199" s="17">
        <f>+Tabla22[[#This Row],[WA 2026]]</f>
        <v>0</v>
      </c>
      <c r="R199" s="17">
        <v>87553</v>
      </c>
      <c r="S199" s="17">
        <f>+Tabla22[[#This Row],[Ent. en Tienda 2026]]</f>
        <v>-2878</v>
      </c>
      <c r="T199" s="17">
        <v>786889</v>
      </c>
      <c r="U199" s="17">
        <f>+Tabla22[[#This Row],[Meli Drop 2026]]</f>
        <v>821406</v>
      </c>
      <c r="V199" s="17">
        <v>104771</v>
      </c>
      <c r="W199" s="17">
        <f>+Tabla22[[#This Row],[Meli Full 2026]]</f>
        <v>136915</v>
      </c>
      <c r="X199" s="17">
        <v>62833</v>
      </c>
      <c r="Y199" s="17">
        <f>+Tabla22[[#This Row],[Amazon Drop 2026]]</f>
        <v>83688</v>
      </c>
      <c r="Z199" s="17">
        <v>26962</v>
      </c>
      <c r="AA199" s="17">
        <f>+Tabla22[[#This Row],[Amazon Full 2026]]</f>
        <v>11645</v>
      </c>
      <c r="AB199" s="17">
        <v>0</v>
      </c>
      <c r="AC199" s="17">
        <f>+Tabla22[[#This Row],[TikTok 2026]]</f>
        <v>11673</v>
      </c>
      <c r="AD199" s="17">
        <v>0</v>
      </c>
      <c r="AE199" s="17">
        <f>+Tabla22[[#This Row],[Shein 2026]]</f>
        <v>8697</v>
      </c>
      <c r="AF199" s="17">
        <f t="shared" si="65"/>
        <v>1071146</v>
      </c>
      <c r="AG199" s="18">
        <f t="shared" si="66"/>
        <v>0.19880078347888258</v>
      </c>
      <c r="AH199" s="17">
        <f t="shared" si="67"/>
        <v>-4316891.1156272702</v>
      </c>
      <c r="AI199" s="20">
        <f t="shared" si="68"/>
        <v>-0.74322958392164917</v>
      </c>
      <c r="AJ199" s="20">
        <f t="shared" si="61"/>
        <v>0.13400352913466343</v>
      </c>
      <c r="AK199" s="21">
        <f t="shared" si="69"/>
        <v>5.3676483263438136E-2</v>
      </c>
      <c r="AL199" s="21">
        <f t="shared" si="62"/>
        <v>-0.35897175373797041</v>
      </c>
      <c r="AO199" s="56">
        <f t="shared" si="70"/>
        <v>46218</v>
      </c>
      <c r="AP199" s="17">
        <f>Tabla2[[#This Row],[Web + APP 2025]]+Tabla2[[#This Row],[Afiliados 2025]]+Tabla2[[#This Row],[TMK 2025]]+Tabla2[[#This Row],[WA 2025]]+Tabla2[[#This Row],[Ent. en Tienda 2025]]</f>
        <v>3190154.8620689656</v>
      </c>
      <c r="AQ199" s="17">
        <f>Tabla2[[#This Row],[Meli Drop 2025]]+Tabla2[[#This Row],[Meli Full 2025]]+Tabla2[[#This Row],[Amazon Drop 2025]]+Tabla2[[#This Row],[Amazon Full 2025]]+Tabla2[[#This Row],[TikTok 2025]]+Tabla2[[#This Row],[Shein 2025]]</f>
        <v>981455</v>
      </c>
      <c r="AR199" s="17">
        <f>Tabla2[[#This Row],[Web + APP 2026]]+Tabla2[[#This Row],[Afiliados 2026]]+Tabla2[[#This Row],[TMK 2026]]+Tabla2[[#This Row],[WA 2026]]+Tabla2[[#This Row],[Ent. en Tienda 2026]]</f>
        <v>-2878</v>
      </c>
      <c r="AS199" s="17">
        <f>Tabla2[[#This Row],[Meli Drop 2026]]+Tabla2[[#This Row],[Meli Full 2026]]+Tabla2[[#This Row],[Amazon Drop 2026]]+Tabla2[[#This Row],[Amazon Full 2026]]+Tabla2[[#This Row],[TikTok 2026]]+Tabla2[[#This Row],[Shein 2026]]</f>
        <v>1074024</v>
      </c>
      <c r="AT199" s="18">
        <f t="shared" si="71"/>
        <v>-1.0009021505614726</v>
      </c>
      <c r="AU199" s="18">
        <f t="shared" si="71"/>
        <v>9.4318129715575294E-2</v>
      </c>
      <c r="AV199" s="49">
        <f t="shared" si="72"/>
        <v>4143600.4593508798</v>
      </c>
      <c r="AW199" s="49">
        <f t="shared" si="72"/>
        <v>1244436.65627639</v>
      </c>
      <c r="AX199" s="39">
        <f t="shared" si="73"/>
        <v>-6.9456503546455736E-4</v>
      </c>
      <c r="AY199" s="39">
        <f t="shared" si="73"/>
        <v>0.86306040133348405</v>
      </c>
      <c r="AZ199" s="39">
        <f t="shared" si="74"/>
        <v>0.19880078347888258</v>
      </c>
      <c r="BA199" s="18">
        <v>3.9505925596075998E-2</v>
      </c>
      <c r="BB199" s="20">
        <v>3.4756472174172999E-2</v>
      </c>
      <c r="BC199" s="17">
        <f t="shared" si="75"/>
        <v>-4146478.4593508798</v>
      </c>
      <c r="BD199" s="17">
        <f t="shared" si="75"/>
        <v>-170412.65627638996</v>
      </c>
      <c r="BE199" s="17">
        <f t="shared" si="60"/>
        <v>-3193032.8620689656</v>
      </c>
      <c r="BF199" s="17">
        <f t="shared" si="60"/>
        <v>92569</v>
      </c>
    </row>
    <row r="200" spans="1:58" ht="14.25" customHeight="1" x14ac:dyDescent="0.35">
      <c r="A200" s="16">
        <v>45855</v>
      </c>
      <c r="B200" s="17">
        <v>39024266</v>
      </c>
      <c r="C200" s="17">
        <f t="shared" si="63"/>
        <v>3727069</v>
      </c>
      <c r="D200" s="18">
        <f>+Tabla22[[#This Row],[Share diario]]</f>
        <v>3.6203267150668253E-2</v>
      </c>
      <c r="E200" s="17">
        <f>+Tabla22[[#This Row],[Global 2026]]</f>
        <v>28580201</v>
      </c>
      <c r="F200" s="19">
        <v>46219</v>
      </c>
      <c r="G200" s="17">
        <f t="shared" si="64"/>
        <v>5447721.4874883704</v>
      </c>
      <c r="H200" s="17">
        <v>4135978.5753871999</v>
      </c>
      <c r="I200" s="17">
        <v>1311742.91210117</v>
      </c>
      <c r="J200" s="17">
        <v>2683648</v>
      </c>
      <c r="K200" s="17">
        <f>+Tabla22[[#This Row],[Web + APP 2026]]</f>
        <v>-239835</v>
      </c>
      <c r="L200" s="17">
        <v>39650</v>
      </c>
      <c r="M200" s="17">
        <f>+Tabla22[[#This Row],[Afiliados 2026]]</f>
        <v>0</v>
      </c>
      <c r="N200" s="17">
        <v>18997</v>
      </c>
      <c r="O200" s="17">
        <f>+Tabla22[[#This Row],[TMK 2026]]</f>
        <v>0</v>
      </c>
      <c r="P200" s="17">
        <v>6904</v>
      </c>
      <c r="Q200" s="17">
        <f>+Tabla22[[#This Row],[WA 2026]]</f>
        <v>0</v>
      </c>
      <c r="R200" s="17">
        <v>157886</v>
      </c>
      <c r="S200" s="17">
        <f>+Tabla22[[#This Row],[Ent. en Tienda 2026]]</f>
        <v>8753</v>
      </c>
      <c r="T200" s="17">
        <v>648054</v>
      </c>
      <c r="U200" s="17">
        <f>+Tabla22[[#This Row],[Meli Drop 2026]]</f>
        <v>87233</v>
      </c>
      <c r="V200" s="17">
        <v>111421</v>
      </c>
      <c r="W200" s="17">
        <f>+Tabla22[[#This Row],[Meli Full 2026]]</f>
        <v>97345</v>
      </c>
      <c r="X200" s="17">
        <v>44791</v>
      </c>
      <c r="Y200" s="17">
        <f>+Tabla22[[#This Row],[Amazon Drop 2026]]</f>
        <v>0</v>
      </c>
      <c r="Z200" s="17">
        <v>15718</v>
      </c>
      <c r="AA200" s="17">
        <f>+Tabla22[[#This Row],[Amazon Full 2026]]</f>
        <v>10653</v>
      </c>
      <c r="AB200" s="17">
        <v>0</v>
      </c>
      <c r="AC200" s="17">
        <f>+Tabla22[[#This Row],[TikTok 2026]]</f>
        <v>0</v>
      </c>
      <c r="AD200" s="17">
        <v>0</v>
      </c>
      <c r="AE200" s="17">
        <f>+Tabla22[[#This Row],[Shein 2026]]</f>
        <v>0</v>
      </c>
      <c r="AF200" s="17">
        <f t="shared" si="65"/>
        <v>-35851</v>
      </c>
      <c r="AG200" s="18">
        <f t="shared" si="66"/>
        <v>-6.5809164588053904E-3</v>
      </c>
      <c r="AH200" s="17">
        <f t="shared" si="67"/>
        <v>-5483572.4874883704</v>
      </c>
      <c r="AI200" s="20">
        <f t="shared" si="68"/>
        <v>-1.0096190867408144</v>
      </c>
      <c r="AJ200" s="20">
        <f t="shared" si="61"/>
        <v>9.5506447193651256E-2</v>
      </c>
      <c r="AK200" s="21">
        <f t="shared" si="69"/>
        <v>-1.2543998553404155E-3</v>
      </c>
      <c r="AL200" s="21">
        <f t="shared" si="62"/>
        <v>-0.26763001769206884</v>
      </c>
      <c r="AO200" s="56">
        <f t="shared" si="70"/>
        <v>46219</v>
      </c>
      <c r="AP200" s="17">
        <f>Tabla2[[#This Row],[Web + APP 2025]]+Tabla2[[#This Row],[Afiliados 2025]]+Tabla2[[#This Row],[TMK 2025]]+Tabla2[[#This Row],[WA 2025]]+Tabla2[[#This Row],[Ent. en Tienda 2025]]</f>
        <v>2907085</v>
      </c>
      <c r="AQ200" s="17">
        <f>Tabla2[[#This Row],[Meli Drop 2025]]+Tabla2[[#This Row],[Meli Full 2025]]+Tabla2[[#This Row],[Amazon Drop 2025]]+Tabla2[[#This Row],[Amazon Full 2025]]+Tabla2[[#This Row],[TikTok 2025]]+Tabla2[[#This Row],[Shein 2025]]</f>
        <v>819984</v>
      </c>
      <c r="AR200" s="17">
        <f>Tabla2[[#This Row],[Web + APP 2026]]+Tabla2[[#This Row],[Afiliados 2026]]+Tabla2[[#This Row],[TMK 2026]]+Tabla2[[#This Row],[WA 2026]]+Tabla2[[#This Row],[Ent. en Tienda 2026]]</f>
        <v>-231082</v>
      </c>
      <c r="AS200" s="17">
        <f>Tabla2[[#This Row],[Meli Drop 2026]]+Tabla2[[#This Row],[Meli Full 2026]]+Tabla2[[#This Row],[Amazon Drop 2026]]+Tabla2[[#This Row],[Amazon Full 2026]]+Tabla2[[#This Row],[TikTok 2026]]+Tabla2[[#This Row],[Shein 2026]]</f>
        <v>195231</v>
      </c>
      <c r="AT200" s="18">
        <f t="shared" si="71"/>
        <v>-1.0794892478204112</v>
      </c>
      <c r="AU200" s="18">
        <f t="shared" si="71"/>
        <v>-0.76190876895158932</v>
      </c>
      <c r="AV200" s="49">
        <f t="shared" si="72"/>
        <v>4135978.5753871999</v>
      </c>
      <c r="AW200" s="49">
        <f t="shared" si="72"/>
        <v>1311742.91210117</v>
      </c>
      <c r="AX200" s="39">
        <f t="shared" si="73"/>
        <v>-5.5871179163051315E-2</v>
      </c>
      <c r="AY200" s="39">
        <f t="shared" si="73"/>
        <v>0.14883327990488318</v>
      </c>
      <c r="AZ200" s="39">
        <f t="shared" si="74"/>
        <v>-6.5809164588053904E-3</v>
      </c>
      <c r="BA200" s="18">
        <v>4.16426321301957E-2</v>
      </c>
      <c r="BB200" s="20">
        <v>3.4692539900659403E-2</v>
      </c>
      <c r="BC200" s="17">
        <f t="shared" si="75"/>
        <v>-4367060.5753872003</v>
      </c>
      <c r="BD200" s="17">
        <f t="shared" si="75"/>
        <v>-1116511.91210117</v>
      </c>
      <c r="BE200" s="17">
        <f t="shared" si="60"/>
        <v>-3138167</v>
      </c>
      <c r="BF200" s="17">
        <f t="shared" si="60"/>
        <v>-624753</v>
      </c>
    </row>
    <row r="201" spans="1:58" ht="14.25" customHeight="1" x14ac:dyDescent="0.35">
      <c r="A201" s="19">
        <v>45856</v>
      </c>
      <c r="B201" s="17">
        <v>42222744</v>
      </c>
      <c r="C201" s="17">
        <f t="shared" si="63"/>
        <v>3149721.6551724137</v>
      </c>
      <c r="D201" s="18">
        <f>+Tabla22[[#This Row],[Share diario]]</f>
        <v>3.234532450478305E-2</v>
      </c>
      <c r="E201" s="17">
        <f>+Tabla22[[#This Row],[Global 2026]]</f>
        <v>38646290</v>
      </c>
      <c r="F201" s="19">
        <v>46220</v>
      </c>
      <c r="G201" s="17">
        <f t="shared" si="64"/>
        <v>4864915.8388651898</v>
      </c>
      <c r="H201" s="17">
        <v>3768983.5749953599</v>
      </c>
      <c r="I201" s="17">
        <v>1095932.2638698299</v>
      </c>
      <c r="J201" s="17">
        <v>2251369</v>
      </c>
      <c r="K201" s="17">
        <f>+Tabla22[[#This Row],[Web + APP 2026]]</f>
        <v>4729379</v>
      </c>
      <c r="L201" s="17">
        <v>44689.655172413797</v>
      </c>
      <c r="M201" s="17">
        <f>+Tabla22[[#This Row],[Afiliados 2026]]</f>
        <v>83907</v>
      </c>
      <c r="N201" s="17">
        <v>10825</v>
      </c>
      <c r="O201" s="17">
        <f>+Tabla22[[#This Row],[TMK 2026]]</f>
        <v>0</v>
      </c>
      <c r="P201" s="17">
        <v>8554</v>
      </c>
      <c r="Q201" s="17">
        <f>+Tabla22[[#This Row],[WA 2026]]</f>
        <v>4938</v>
      </c>
      <c r="R201" s="17">
        <v>102621</v>
      </c>
      <c r="S201" s="17">
        <f>+Tabla22[[#This Row],[Ent. en Tienda 2026]]</f>
        <v>-929</v>
      </c>
      <c r="T201" s="17">
        <v>610477</v>
      </c>
      <c r="U201" s="17">
        <f>+Tabla22[[#This Row],[Meli Drop 2026]]</f>
        <v>148708</v>
      </c>
      <c r="V201" s="17">
        <v>69555</v>
      </c>
      <c r="W201" s="17">
        <f>+Tabla22[[#This Row],[Meli Full 2026]]</f>
        <v>89719</v>
      </c>
      <c r="X201" s="17">
        <v>31664</v>
      </c>
      <c r="Y201" s="17">
        <f>+Tabla22[[#This Row],[Amazon Drop 2026]]</f>
        <v>5039</v>
      </c>
      <c r="Z201" s="17">
        <v>19967</v>
      </c>
      <c r="AA201" s="17">
        <f>+Tabla22[[#This Row],[Amazon Full 2026]]</f>
        <v>9778</v>
      </c>
      <c r="AB201" s="17">
        <v>0</v>
      </c>
      <c r="AC201" s="17">
        <f>+Tabla22[[#This Row],[TikTok 2026]]</f>
        <v>1649</v>
      </c>
      <c r="AD201" s="17">
        <v>0</v>
      </c>
      <c r="AE201" s="17">
        <f>+Tabla22[[#This Row],[Shein 2026]]</f>
        <v>0</v>
      </c>
      <c r="AF201" s="17">
        <f t="shared" si="65"/>
        <v>5072188</v>
      </c>
      <c r="AG201" s="18">
        <f t="shared" si="66"/>
        <v>1.042605497813331</v>
      </c>
      <c r="AH201" s="17">
        <f t="shared" si="67"/>
        <v>207272.16113481019</v>
      </c>
      <c r="AI201" s="20">
        <f t="shared" si="68"/>
        <v>0.61036070970606193</v>
      </c>
      <c r="AJ201" s="20">
        <f t="shared" si="61"/>
        <v>7.459774890927065E-2</v>
      </c>
      <c r="AK201" s="21">
        <f t="shared" si="69"/>
        <v>0.13124644047332876</v>
      </c>
      <c r="AL201" s="21">
        <f t="shared" si="62"/>
        <v>-8.4704442705097471E-2</v>
      </c>
      <c r="AO201" s="56">
        <f t="shared" si="70"/>
        <v>46220</v>
      </c>
      <c r="AP201" s="17">
        <f>Tabla2[[#This Row],[Web + APP 2025]]+Tabla2[[#This Row],[Afiliados 2025]]+Tabla2[[#This Row],[TMK 2025]]+Tabla2[[#This Row],[WA 2025]]+Tabla2[[#This Row],[Ent. en Tienda 2025]]</f>
        <v>2418058.6551724137</v>
      </c>
      <c r="AQ201" s="17">
        <f>Tabla2[[#This Row],[Meli Drop 2025]]+Tabla2[[#This Row],[Meli Full 2025]]+Tabla2[[#This Row],[Amazon Drop 2025]]+Tabla2[[#This Row],[Amazon Full 2025]]+Tabla2[[#This Row],[TikTok 2025]]+Tabla2[[#This Row],[Shein 2025]]</f>
        <v>731663</v>
      </c>
      <c r="AR201" s="17">
        <f>Tabla2[[#This Row],[Web + APP 2026]]+Tabla2[[#This Row],[Afiliados 2026]]+Tabla2[[#This Row],[TMK 2026]]+Tabla2[[#This Row],[WA 2026]]+Tabla2[[#This Row],[Ent. en Tienda 2026]]</f>
        <v>4817295</v>
      </c>
      <c r="AS201" s="17">
        <f>Tabla2[[#This Row],[Meli Drop 2026]]+Tabla2[[#This Row],[Meli Full 2026]]+Tabla2[[#This Row],[Amazon Drop 2026]]+Tabla2[[#This Row],[Amazon Full 2026]]+Tabla2[[#This Row],[TikTok 2026]]+Tabla2[[#This Row],[Shein 2026]]</f>
        <v>254893</v>
      </c>
      <c r="AT201" s="18">
        <f t="shared" si="71"/>
        <v>0.99221594136909586</v>
      </c>
      <c r="AU201" s="18">
        <f t="shared" si="71"/>
        <v>-0.6516251334289147</v>
      </c>
      <c r="AV201" s="49">
        <f t="shared" si="72"/>
        <v>3768983.5749953599</v>
      </c>
      <c r="AW201" s="49">
        <f t="shared" si="72"/>
        <v>1095932.2638698299</v>
      </c>
      <c r="AX201" s="39">
        <f t="shared" si="73"/>
        <v>1.2781416804147072</v>
      </c>
      <c r="AY201" s="39">
        <f t="shared" si="73"/>
        <v>0.23258098005067498</v>
      </c>
      <c r="AZ201" s="39">
        <f t="shared" si="74"/>
        <v>1.042605497813331</v>
      </c>
      <c r="BA201" s="18">
        <v>3.4791500440311998E-2</v>
      </c>
      <c r="BB201" s="20">
        <v>3.1614190131102199E-2</v>
      </c>
      <c r="BC201" s="17">
        <f t="shared" si="75"/>
        <v>1048311.4250046401</v>
      </c>
      <c r="BD201" s="17">
        <f t="shared" si="75"/>
        <v>-841039.26386982994</v>
      </c>
      <c r="BE201" s="17">
        <f t="shared" si="60"/>
        <v>2399236.3448275863</v>
      </c>
      <c r="BF201" s="17">
        <f t="shared" si="60"/>
        <v>-476770</v>
      </c>
    </row>
    <row r="202" spans="1:58" ht="14.25" customHeight="1" x14ac:dyDescent="0.35">
      <c r="A202" s="16">
        <v>45857</v>
      </c>
      <c r="B202" s="17">
        <v>48194941</v>
      </c>
      <c r="C202" s="17">
        <f t="shared" si="63"/>
        <v>2813694.068965517</v>
      </c>
      <c r="D202" s="18">
        <f>+Tabla22[[#This Row],[Share diario]]</f>
        <v>2.7334822359418115E-2</v>
      </c>
      <c r="E202" s="17">
        <f>+Tabla22[[#This Row],[Global 2026]]</f>
        <v>44716609</v>
      </c>
      <c r="F202" s="19">
        <v>46221</v>
      </c>
      <c r="G202" s="17">
        <f t="shared" si="64"/>
        <v>4112858.3879952449</v>
      </c>
      <c r="H202" s="17">
        <v>3134969.68775257</v>
      </c>
      <c r="I202" s="17">
        <v>977888.70024267503</v>
      </c>
      <c r="J202" s="17">
        <v>1984365</v>
      </c>
      <c r="K202" s="17">
        <f>+Tabla22[[#This Row],[Web + APP 2026]]</f>
        <v>4211778</v>
      </c>
      <c r="L202" s="17">
        <v>43837.068965517203</v>
      </c>
      <c r="M202" s="17">
        <f>+Tabla22[[#This Row],[Afiliados 2026]]</f>
        <v>61308</v>
      </c>
      <c r="N202" s="17">
        <v>7363</v>
      </c>
      <c r="O202" s="17">
        <f>+Tabla22[[#This Row],[TMK 2026]]</f>
        <v>0</v>
      </c>
      <c r="P202" s="17">
        <v>4630</v>
      </c>
      <c r="Q202" s="17">
        <f>+Tabla22[[#This Row],[WA 2026]]</f>
        <v>7997</v>
      </c>
      <c r="R202" s="17">
        <v>162628</v>
      </c>
      <c r="S202" s="17">
        <f>+Tabla22[[#This Row],[Ent. en Tienda 2026]]</f>
        <v>-3153</v>
      </c>
      <c r="T202" s="17">
        <v>508767</v>
      </c>
      <c r="U202" s="17">
        <f>+Tabla22[[#This Row],[Meli Drop 2026]]</f>
        <v>7881</v>
      </c>
      <c r="V202" s="17">
        <v>55690</v>
      </c>
      <c r="W202" s="17">
        <f>+Tabla22[[#This Row],[Meli Full 2026]]</f>
        <v>89442</v>
      </c>
      <c r="X202" s="17">
        <v>34679</v>
      </c>
      <c r="Y202" s="17">
        <f>+Tabla22[[#This Row],[Amazon Drop 2026]]</f>
        <v>12372</v>
      </c>
      <c r="Z202" s="17">
        <v>11735</v>
      </c>
      <c r="AA202" s="17">
        <f>+Tabla22[[#This Row],[Amazon Full 2026]]</f>
        <v>5327</v>
      </c>
      <c r="AB202" s="17">
        <v>0</v>
      </c>
      <c r="AC202" s="17">
        <f>+Tabla22[[#This Row],[TikTok 2026]]</f>
        <v>7154</v>
      </c>
      <c r="AD202" s="17">
        <v>0</v>
      </c>
      <c r="AE202" s="17">
        <f>+Tabla22[[#This Row],[Shein 2026]]</f>
        <v>0</v>
      </c>
      <c r="AF202" s="17">
        <f t="shared" si="65"/>
        <v>4400106</v>
      </c>
      <c r="AG202" s="18">
        <f t="shared" si="66"/>
        <v>1.0698413572524605</v>
      </c>
      <c r="AH202" s="17">
        <f t="shared" si="67"/>
        <v>287247.61200475506</v>
      </c>
      <c r="AI202" s="20">
        <f t="shared" si="68"/>
        <v>0.56381820203279709</v>
      </c>
      <c r="AJ202" s="20">
        <f t="shared" si="61"/>
        <v>5.8381523259163591E-2</v>
      </c>
      <c r="AK202" s="21">
        <f t="shared" si="69"/>
        <v>9.839981381414678E-2</v>
      </c>
      <c r="AL202" s="21">
        <f t="shared" si="62"/>
        <v>-7.2172139395294654E-2</v>
      </c>
      <c r="AO202" s="38">
        <f t="shared" si="70"/>
        <v>46221</v>
      </c>
      <c r="AP202" s="17">
        <f>Tabla2[[#This Row],[Web + APP 2025]]+Tabla2[[#This Row],[Afiliados 2025]]+Tabla2[[#This Row],[TMK 2025]]+Tabla2[[#This Row],[WA 2025]]+Tabla2[[#This Row],[Ent. en Tienda 2025]]</f>
        <v>2202823.068965517</v>
      </c>
      <c r="AQ202" s="17">
        <f>Tabla2[[#This Row],[Meli Drop 2025]]+Tabla2[[#This Row],[Meli Full 2025]]+Tabla2[[#This Row],[Amazon Drop 2025]]+Tabla2[[#This Row],[Amazon Full 2025]]+Tabla2[[#This Row],[TikTok 2025]]+Tabla2[[#This Row],[Shein 2025]]</f>
        <v>610871</v>
      </c>
      <c r="AR202" s="17">
        <f>Tabla2[[#This Row],[Web + APP 2026]]+Tabla2[[#This Row],[Afiliados 2026]]+Tabla2[[#This Row],[TMK 2026]]+Tabla2[[#This Row],[WA 2026]]+Tabla2[[#This Row],[Ent. en Tienda 2026]]</f>
        <v>4277930</v>
      </c>
      <c r="AS202" s="17">
        <f>Tabla2[[#This Row],[Meli Drop 2026]]+Tabla2[[#This Row],[Meli Full 2026]]+Tabla2[[#This Row],[Amazon Drop 2026]]+Tabla2[[#This Row],[Amazon Full 2026]]+Tabla2[[#This Row],[TikTok 2026]]+Tabla2[[#This Row],[Shein 2026]]</f>
        <v>122176</v>
      </c>
      <c r="AT202" s="18">
        <f t="shared" si="71"/>
        <v>0.94202160866645923</v>
      </c>
      <c r="AU202" s="18">
        <f t="shared" si="71"/>
        <v>-0.79999705338770377</v>
      </c>
      <c r="AV202" s="49">
        <f t="shared" si="72"/>
        <v>3134969.68775257</v>
      </c>
      <c r="AW202" s="49">
        <f t="shared" si="72"/>
        <v>977888.70024267503</v>
      </c>
      <c r="AX202" s="39">
        <f t="shared" si="73"/>
        <v>1.3645841670216619</v>
      </c>
      <c r="AY202" s="39">
        <f t="shared" si="73"/>
        <v>0.12493855381464224</v>
      </c>
      <c r="AZ202" s="39">
        <f t="shared" si="74"/>
        <v>1.0698413572524605</v>
      </c>
      <c r="BA202" s="18">
        <v>3.10440857219897E-2</v>
      </c>
      <c r="BB202" s="20">
        <v>2.6296089062678898E-2</v>
      </c>
      <c r="BC202" s="17">
        <f t="shared" si="75"/>
        <v>1142960.31224743</v>
      </c>
      <c r="BD202" s="17">
        <f t="shared" si="75"/>
        <v>-855712.70024267503</v>
      </c>
      <c r="BE202" s="17">
        <f t="shared" si="60"/>
        <v>2075106.931034483</v>
      </c>
      <c r="BF202" s="17">
        <f t="shared" si="60"/>
        <v>-488695</v>
      </c>
    </row>
    <row r="203" spans="1:58" ht="14.25" customHeight="1" x14ac:dyDescent="0.35">
      <c r="A203" s="19">
        <v>45858</v>
      </c>
      <c r="B203" s="17">
        <v>49418322</v>
      </c>
      <c r="C203" s="17">
        <f t="shared" si="63"/>
        <v>2876821.4482758623</v>
      </c>
      <c r="D203" s="18">
        <f>+Tabla22[[#This Row],[Share diario]]</f>
        <v>2.4418610902527716E-2</v>
      </c>
      <c r="E203" s="17">
        <f>+Tabla22[[#This Row],[Global 2026]]</f>
        <v>40711839</v>
      </c>
      <c r="F203" s="19">
        <v>46222</v>
      </c>
      <c r="G203" s="17">
        <f t="shared" si="64"/>
        <v>3672367.3183367951</v>
      </c>
      <c r="H203" s="17">
        <v>2855920.6096663498</v>
      </c>
      <c r="I203" s="17">
        <v>816446.70867044502</v>
      </c>
      <c r="J203" s="17">
        <v>2341728</v>
      </c>
      <c r="K203" s="17">
        <f>+Tabla22[[#This Row],[Web + APP 2026]]</f>
        <v>3287464</v>
      </c>
      <c r="L203" s="17">
        <v>48778.448275862102</v>
      </c>
      <c r="M203" s="17">
        <f>+Tabla22[[#This Row],[Afiliados 2026]]</f>
        <v>42596</v>
      </c>
      <c r="N203" s="17">
        <v>7001</v>
      </c>
      <c r="O203" s="17">
        <f>+Tabla22[[#This Row],[TMK 2026]]</f>
        <v>0</v>
      </c>
      <c r="P203" s="17">
        <v>5776</v>
      </c>
      <c r="Q203" s="17">
        <f>+Tabla22[[#This Row],[WA 2026]]</f>
        <v>7508</v>
      </c>
      <c r="R203" s="17">
        <v>121377</v>
      </c>
      <c r="S203" s="17">
        <f>+Tabla22[[#This Row],[Ent. en Tienda 2026]]</f>
        <v>-7157</v>
      </c>
      <c r="T203" s="17">
        <v>238970</v>
      </c>
      <c r="U203" s="17">
        <f>+Tabla22[[#This Row],[Meli Drop 2026]]</f>
        <v>91612</v>
      </c>
      <c r="V203" s="17">
        <v>55955</v>
      </c>
      <c r="W203" s="17">
        <f>+Tabla22[[#This Row],[Meli Full 2026]]</f>
        <v>75633</v>
      </c>
      <c r="X203" s="17">
        <v>41650</v>
      </c>
      <c r="Y203" s="17">
        <f>+Tabla22[[#This Row],[Amazon Drop 2026]]</f>
        <v>32156</v>
      </c>
      <c r="Z203" s="17">
        <v>15586</v>
      </c>
      <c r="AA203" s="17">
        <f>+Tabla22[[#This Row],[Amazon Full 2026]]</f>
        <v>2714</v>
      </c>
      <c r="AB203" s="17">
        <v>0</v>
      </c>
      <c r="AC203" s="17">
        <f>+Tabla22[[#This Row],[TikTok 2026]]</f>
        <v>8746</v>
      </c>
      <c r="AD203" s="17">
        <v>0</v>
      </c>
      <c r="AE203" s="17">
        <f>+Tabla22[[#This Row],[Shein 2026]]</f>
        <v>0</v>
      </c>
      <c r="AF203" s="17">
        <f t="shared" si="65"/>
        <v>3541272</v>
      </c>
      <c r="AG203" s="18">
        <f t="shared" si="66"/>
        <v>0.96430223151093508</v>
      </c>
      <c r="AH203" s="17">
        <f t="shared" si="67"/>
        <v>-131095.31833679508</v>
      </c>
      <c r="AI203" s="20">
        <f t="shared" si="68"/>
        <v>0.23096690693903033</v>
      </c>
      <c r="AJ203" s="20">
        <f t="shared" si="61"/>
        <v>5.8213661084564189E-2</v>
      </c>
      <c r="AK203" s="21">
        <f t="shared" si="69"/>
        <v>8.6983837797157723E-2</v>
      </c>
      <c r="AL203" s="21">
        <f t="shared" si="62"/>
        <v>-0.17617925189770711</v>
      </c>
      <c r="AO203" s="38">
        <f t="shared" si="70"/>
        <v>46222</v>
      </c>
      <c r="AP203" s="17">
        <f>Tabla2[[#This Row],[Web + APP 2025]]+Tabla2[[#This Row],[Afiliados 2025]]+Tabla2[[#This Row],[TMK 2025]]+Tabla2[[#This Row],[WA 2025]]+Tabla2[[#This Row],[Ent. en Tienda 2025]]</f>
        <v>2524660.4482758623</v>
      </c>
      <c r="AQ203" s="17">
        <f>Tabla2[[#This Row],[Meli Drop 2025]]+Tabla2[[#This Row],[Meli Full 2025]]+Tabla2[[#This Row],[Amazon Drop 2025]]+Tabla2[[#This Row],[Amazon Full 2025]]+Tabla2[[#This Row],[TikTok 2025]]+Tabla2[[#This Row],[Shein 2025]]</f>
        <v>352161</v>
      </c>
      <c r="AR203" s="17">
        <f>Tabla2[[#This Row],[Web + APP 2026]]+Tabla2[[#This Row],[Afiliados 2026]]+Tabla2[[#This Row],[TMK 2026]]+Tabla2[[#This Row],[WA 2026]]+Tabla2[[#This Row],[Ent. en Tienda 2026]]</f>
        <v>3330411</v>
      </c>
      <c r="AS203" s="17">
        <f>Tabla2[[#This Row],[Meli Drop 2026]]+Tabla2[[#This Row],[Meli Full 2026]]+Tabla2[[#This Row],[Amazon Drop 2026]]+Tabla2[[#This Row],[Amazon Full 2026]]+Tabla2[[#This Row],[TikTok 2026]]+Tabla2[[#This Row],[Shein 2026]]</f>
        <v>210861</v>
      </c>
      <c r="AT203" s="18">
        <f t="shared" si="71"/>
        <v>0.31915204766423133</v>
      </c>
      <c r="AU203" s="18">
        <f t="shared" si="71"/>
        <v>-0.40123693424314444</v>
      </c>
      <c r="AV203" s="49">
        <f t="shared" si="72"/>
        <v>2855920.6096663498</v>
      </c>
      <c r="AW203" s="49">
        <f t="shared" si="72"/>
        <v>816446.70867044502</v>
      </c>
      <c r="AX203" s="39">
        <f t="shared" si="73"/>
        <v>1.1661427102446953</v>
      </c>
      <c r="AY203" s="39">
        <f t="shared" si="73"/>
        <v>0.25826670346112335</v>
      </c>
      <c r="AZ203" s="39">
        <f t="shared" si="74"/>
        <v>0.96430223151093508</v>
      </c>
      <c r="BA203" s="18">
        <v>2.5918943132395102E-2</v>
      </c>
      <c r="BB203" s="20">
        <v>2.3955428660480799E-2</v>
      </c>
      <c r="BC203" s="17">
        <f t="shared" si="75"/>
        <v>474490.39033365017</v>
      </c>
      <c r="BD203" s="17">
        <f t="shared" si="75"/>
        <v>-605585.70867044502</v>
      </c>
      <c r="BE203" s="17">
        <f t="shared" si="60"/>
        <v>805750.55172413774</v>
      </c>
      <c r="BF203" s="17">
        <f t="shared" si="60"/>
        <v>-141300</v>
      </c>
    </row>
    <row r="204" spans="1:58" ht="14.25" customHeight="1" x14ac:dyDescent="0.35">
      <c r="A204" s="16">
        <v>45859</v>
      </c>
      <c r="B204" s="17">
        <v>33737301</v>
      </c>
      <c r="C204" s="17">
        <f t="shared" si="63"/>
        <v>5029885.7931034481</v>
      </c>
      <c r="D204" s="18">
        <f>+Tabla22[[#This Row],[Share diario]]</f>
        <v>2.4966461121809849E-2</v>
      </c>
      <c r="E204" s="17">
        <f>+Tabla22[[#This Row],[Global 2026]]</f>
        <v>29142685</v>
      </c>
      <c r="F204" s="19">
        <v>46223</v>
      </c>
      <c r="G204" s="17">
        <f t="shared" si="64"/>
        <v>3743850.333635712</v>
      </c>
      <c r="H204" s="17">
        <v>3273177.00101378</v>
      </c>
      <c r="I204" s="17">
        <v>470673.33262193197</v>
      </c>
      <c r="J204" s="17">
        <v>3558327</v>
      </c>
      <c r="K204" s="17">
        <f>+Tabla22[[#This Row],[Web + APP 2026]]</f>
        <v>4166837</v>
      </c>
      <c r="L204" s="17">
        <v>45088.793103448297</v>
      </c>
      <c r="M204" s="17">
        <f>+Tabla22[[#This Row],[Afiliados 2026]]</f>
        <v>43873</v>
      </c>
      <c r="N204" s="17">
        <v>41407</v>
      </c>
      <c r="O204" s="17">
        <f>+Tabla22[[#This Row],[TMK 2026]]</f>
        <v>0</v>
      </c>
      <c r="P204" s="17">
        <v>3984</v>
      </c>
      <c r="Q204" s="17">
        <f>+Tabla22[[#This Row],[WA 2026]]</f>
        <v>13564</v>
      </c>
      <c r="R204" s="17">
        <v>148938</v>
      </c>
      <c r="S204" s="17">
        <f>+Tabla22[[#This Row],[Ent. en Tienda 2026]]</f>
        <v>4700</v>
      </c>
      <c r="T204" s="17">
        <v>1077744</v>
      </c>
      <c r="U204" s="17">
        <f>+Tabla22[[#This Row],[Meli Drop 2026]]</f>
        <v>382320</v>
      </c>
      <c r="V204" s="17">
        <v>70738</v>
      </c>
      <c r="W204" s="17">
        <f>+Tabla22[[#This Row],[Meli Full 2026]]</f>
        <v>67710</v>
      </c>
      <c r="X204" s="17">
        <v>68483</v>
      </c>
      <c r="Y204" s="17">
        <f>+Tabla22[[#This Row],[Amazon Drop 2026]]</f>
        <v>22398</v>
      </c>
      <c r="Z204" s="17">
        <v>15176</v>
      </c>
      <c r="AA204" s="17">
        <f>+Tabla22[[#This Row],[Amazon Full 2026]]</f>
        <v>5837</v>
      </c>
      <c r="AB204" s="17">
        <v>0</v>
      </c>
      <c r="AC204" s="17">
        <f>+Tabla22[[#This Row],[TikTok 2026]]</f>
        <v>4939</v>
      </c>
      <c r="AD204" s="17">
        <v>0</v>
      </c>
      <c r="AE204" s="17">
        <f>+Tabla22[[#This Row],[Shein 2026]]</f>
        <v>0</v>
      </c>
      <c r="AF204" s="17">
        <f t="shared" si="65"/>
        <v>4712178</v>
      </c>
      <c r="AG204" s="18">
        <f t="shared" si="66"/>
        <v>1.258644865598548</v>
      </c>
      <c r="AH204" s="17">
        <f t="shared" si="67"/>
        <v>968327.66636428796</v>
      </c>
      <c r="AI204" s="20">
        <f t="shared" si="68"/>
        <v>-6.3164017270344819E-2</v>
      </c>
      <c r="AJ204" s="20">
        <f t="shared" si="61"/>
        <v>0.14908975063249572</v>
      </c>
      <c r="AK204" s="21">
        <f t="shared" si="69"/>
        <v>0.16169333745329231</v>
      </c>
      <c r="AL204" s="21">
        <f t="shared" si="62"/>
        <v>-0.13618801338020492</v>
      </c>
      <c r="AO204" s="38">
        <f t="shared" si="70"/>
        <v>46223</v>
      </c>
      <c r="AP204" s="17">
        <f>Tabla2[[#This Row],[Web + APP 2025]]+Tabla2[[#This Row],[Afiliados 2025]]+Tabla2[[#This Row],[TMK 2025]]+Tabla2[[#This Row],[WA 2025]]+Tabla2[[#This Row],[Ent. en Tienda 2025]]</f>
        <v>3797744.7931034481</v>
      </c>
      <c r="AQ204" s="17">
        <f>Tabla2[[#This Row],[Meli Drop 2025]]+Tabla2[[#This Row],[Meli Full 2025]]+Tabla2[[#This Row],[Amazon Drop 2025]]+Tabla2[[#This Row],[Amazon Full 2025]]+Tabla2[[#This Row],[TikTok 2025]]+Tabla2[[#This Row],[Shein 2025]]</f>
        <v>1232141</v>
      </c>
      <c r="AR204" s="17">
        <f>Tabla2[[#This Row],[Web + APP 2026]]+Tabla2[[#This Row],[Afiliados 2026]]+Tabla2[[#This Row],[TMK 2026]]+Tabla2[[#This Row],[WA 2026]]+Tabla2[[#This Row],[Ent. en Tienda 2026]]</f>
        <v>4228974</v>
      </c>
      <c r="AS204" s="17">
        <f>Tabla2[[#This Row],[Meli Drop 2026]]+Tabla2[[#This Row],[Meli Full 2026]]+Tabla2[[#This Row],[Amazon Drop 2026]]+Tabla2[[#This Row],[Amazon Full 2026]]+Tabla2[[#This Row],[TikTok 2026]]+Tabla2[[#This Row],[Shein 2026]]</f>
        <v>483204</v>
      </c>
      <c r="AT204" s="18">
        <f t="shared" si="71"/>
        <v>0.11354875864214109</v>
      </c>
      <c r="AU204" s="18">
        <f t="shared" si="71"/>
        <v>-0.60783384369159044</v>
      </c>
      <c r="AV204" s="49">
        <f t="shared" si="72"/>
        <v>3273177.00101378</v>
      </c>
      <c r="AW204" s="49">
        <f t="shared" si="72"/>
        <v>470673.33262193197</v>
      </c>
      <c r="AX204" s="39">
        <f t="shared" si="73"/>
        <v>1.2920089560357375</v>
      </c>
      <c r="AY204" s="39">
        <f t="shared" si="73"/>
        <v>1.0266228539192239</v>
      </c>
      <c r="AZ204" s="39">
        <f t="shared" si="74"/>
        <v>1.258644865598548</v>
      </c>
      <c r="BA204" s="18">
        <v>1.49420105594264E-2</v>
      </c>
      <c r="BB204" s="20">
        <v>2.7455370389330502E-2</v>
      </c>
      <c r="BC204" s="17">
        <f t="shared" si="75"/>
        <v>955796.99898621999</v>
      </c>
      <c r="BD204" s="17">
        <f t="shared" si="75"/>
        <v>12530.667378068028</v>
      </c>
      <c r="BE204" s="17">
        <f t="shared" si="60"/>
        <v>431229.20689655188</v>
      </c>
      <c r="BF204" s="17">
        <f t="shared" si="60"/>
        <v>-748937</v>
      </c>
    </row>
    <row r="205" spans="1:58" ht="14.25" customHeight="1" x14ac:dyDescent="0.35">
      <c r="A205" s="19">
        <v>45860</v>
      </c>
      <c r="B205" s="17">
        <v>35193931</v>
      </c>
      <c r="C205" s="17">
        <f t="shared" si="63"/>
        <v>4443268.2413793104</v>
      </c>
      <c r="D205" s="18">
        <f>+Tabla22[[#This Row],[Share diario]]</f>
        <v>4.3651804729112634E-2</v>
      </c>
      <c r="E205" s="17">
        <f>+Tabla22[[#This Row],[Global 2026]]</f>
        <v>34240943</v>
      </c>
      <c r="F205" s="19">
        <v>46224</v>
      </c>
      <c r="G205" s="17">
        <f t="shared" si="64"/>
        <v>6570500.00690269</v>
      </c>
      <c r="H205" s="17">
        <v>4923708.0261605801</v>
      </c>
      <c r="I205" s="17">
        <v>1646791.9807421099</v>
      </c>
      <c r="J205" s="17">
        <v>3287363</v>
      </c>
      <c r="K205" s="17">
        <f>+Tabla22[[#This Row],[Web + APP 2026]]</f>
        <v>4405412</v>
      </c>
      <c r="L205" s="17">
        <v>43017.241379310297</v>
      </c>
      <c r="M205" s="17">
        <f>+Tabla22[[#This Row],[Afiliados 2026]]</f>
        <v>48043</v>
      </c>
      <c r="N205" s="17">
        <v>45721</v>
      </c>
      <c r="O205" s="17">
        <f>+Tabla22[[#This Row],[TMK 2026]]</f>
        <v>-5352</v>
      </c>
      <c r="P205" s="17">
        <v>7885</v>
      </c>
      <c r="Q205" s="17">
        <f>+Tabla22[[#This Row],[WA 2026]]</f>
        <v>29247</v>
      </c>
      <c r="R205" s="17">
        <v>127866</v>
      </c>
      <c r="S205" s="17">
        <f>+Tabla22[[#This Row],[Ent. en Tienda 2026]]</f>
        <v>3125</v>
      </c>
      <c r="T205" s="17">
        <v>797541</v>
      </c>
      <c r="U205" s="17">
        <f>+Tabla22[[#This Row],[Meli Drop 2026]]</f>
        <v>384714</v>
      </c>
      <c r="V205" s="17">
        <v>74451</v>
      </c>
      <c r="W205" s="17">
        <f>+Tabla22[[#This Row],[Meli Full 2026]]</f>
        <v>72953</v>
      </c>
      <c r="X205" s="17">
        <v>41790</v>
      </c>
      <c r="Y205" s="17">
        <f>+Tabla22[[#This Row],[Amazon Drop 2026]]</f>
        <v>26680</v>
      </c>
      <c r="Z205" s="17">
        <v>17634</v>
      </c>
      <c r="AA205" s="17">
        <f>+Tabla22[[#This Row],[Amazon Full 2026]]</f>
        <v>6091</v>
      </c>
      <c r="AB205" s="17">
        <v>0</v>
      </c>
      <c r="AC205" s="17">
        <f>+Tabla22[[#This Row],[TikTok 2026]]</f>
        <v>5410</v>
      </c>
      <c r="AD205" s="17">
        <v>0</v>
      </c>
      <c r="AE205" s="17">
        <f>+Tabla22[[#This Row],[Shein 2026]]</f>
        <v>861</v>
      </c>
      <c r="AF205" s="17">
        <f t="shared" si="65"/>
        <v>4977184</v>
      </c>
      <c r="AG205" s="18">
        <f t="shared" si="66"/>
        <v>0.75750460311561985</v>
      </c>
      <c r="AH205" s="17">
        <f t="shared" si="67"/>
        <v>-1593316.00690269</v>
      </c>
      <c r="AI205" s="20">
        <f t="shared" si="68"/>
        <v>0.120162846268977</v>
      </c>
      <c r="AJ205" s="20">
        <f t="shared" si="61"/>
        <v>0.12625097893666129</v>
      </c>
      <c r="AK205" s="21">
        <f t="shared" si="69"/>
        <v>0.14535767896345611</v>
      </c>
      <c r="AL205" s="21">
        <f t="shared" si="62"/>
        <v>-2.7078191407490126E-2</v>
      </c>
      <c r="AO205" s="38">
        <f t="shared" si="70"/>
        <v>46224</v>
      </c>
      <c r="AP205" s="17">
        <f>Tabla2[[#This Row],[Web + APP 2025]]+Tabla2[[#This Row],[Afiliados 2025]]+Tabla2[[#This Row],[TMK 2025]]+Tabla2[[#This Row],[WA 2025]]+Tabla2[[#This Row],[Ent. en Tienda 2025]]</f>
        <v>3511852.2413793104</v>
      </c>
      <c r="AQ205" s="17">
        <f>Tabla2[[#This Row],[Meli Drop 2025]]+Tabla2[[#This Row],[Meli Full 2025]]+Tabla2[[#This Row],[Amazon Drop 2025]]+Tabla2[[#This Row],[Amazon Full 2025]]+Tabla2[[#This Row],[TikTok 2025]]+Tabla2[[#This Row],[Shein 2025]]</f>
        <v>931416</v>
      </c>
      <c r="AR205" s="17">
        <f>Tabla2[[#This Row],[Web + APP 2026]]+Tabla2[[#This Row],[Afiliados 2026]]+Tabla2[[#This Row],[TMK 2026]]+Tabla2[[#This Row],[WA 2026]]+Tabla2[[#This Row],[Ent. en Tienda 2026]]</f>
        <v>4480475</v>
      </c>
      <c r="AS205" s="17">
        <f>Tabla2[[#This Row],[Meli Drop 2026]]+Tabla2[[#This Row],[Meli Full 2026]]+Tabla2[[#This Row],[Amazon Drop 2026]]+Tabla2[[#This Row],[Amazon Full 2026]]+Tabla2[[#This Row],[TikTok 2026]]+Tabla2[[#This Row],[Shein 2026]]</f>
        <v>496709</v>
      </c>
      <c r="AT205" s="18">
        <f t="shared" si="71"/>
        <v>0.27581535100128662</v>
      </c>
      <c r="AU205" s="18">
        <f t="shared" si="71"/>
        <v>-0.46671626856313397</v>
      </c>
      <c r="AV205" s="49">
        <f t="shared" si="72"/>
        <v>4923708.0261605801</v>
      </c>
      <c r="AW205" s="49">
        <f t="shared" si="72"/>
        <v>1646791.9807421099</v>
      </c>
      <c r="AX205" s="39">
        <f t="shared" si="73"/>
        <v>0.90997983149983708</v>
      </c>
      <c r="AY205" s="39">
        <f t="shared" si="73"/>
        <v>0.30162218774964106</v>
      </c>
      <c r="AZ205" s="39">
        <f t="shared" si="74"/>
        <v>0.75750460311561985</v>
      </c>
      <c r="BA205" s="18">
        <v>5.2279110499749398E-2</v>
      </c>
      <c r="BB205" s="20">
        <v>4.1300005317552103E-2</v>
      </c>
      <c r="BC205" s="17">
        <f t="shared" si="75"/>
        <v>-443233.02616058011</v>
      </c>
      <c r="BD205" s="17">
        <f t="shared" si="75"/>
        <v>-1150082.9807421099</v>
      </c>
      <c r="BE205" s="17">
        <f t="shared" si="60"/>
        <v>968622.75862068962</v>
      </c>
      <c r="BF205" s="17">
        <f t="shared" si="60"/>
        <v>-434707</v>
      </c>
    </row>
    <row r="206" spans="1:58" ht="14.25" customHeight="1" x14ac:dyDescent="0.35">
      <c r="A206" s="16">
        <v>45861</v>
      </c>
      <c r="B206" s="17">
        <v>37862518</v>
      </c>
      <c r="C206" s="17">
        <f t="shared" si="63"/>
        <v>4308608.1724137925</v>
      </c>
      <c r="D206" s="18">
        <f>+Tabla22[[#This Row],[Share diario]]</f>
        <v>3.8560851202167311E-2</v>
      </c>
      <c r="E206" s="17">
        <f>+Tabla22[[#This Row],[Global 2026]]</f>
        <v>33913656</v>
      </c>
      <c r="F206" s="19">
        <v>46225</v>
      </c>
      <c r="G206" s="17">
        <f t="shared" si="64"/>
        <v>5797917.8047500104</v>
      </c>
      <c r="H206" s="17">
        <v>4553053.459245</v>
      </c>
      <c r="I206" s="17">
        <v>1244864.3455050101</v>
      </c>
      <c r="J206" s="17">
        <v>3324693</v>
      </c>
      <c r="K206" s="17">
        <f>+Tabla22[[#This Row],[Web + APP 2026]]</f>
        <v>2355041</v>
      </c>
      <c r="L206" s="17">
        <v>47655.172413793101</v>
      </c>
      <c r="M206" s="17">
        <f>+Tabla22[[#This Row],[Afiliados 2026]]</f>
        <v>44422</v>
      </c>
      <c r="N206" s="17">
        <v>29991</v>
      </c>
      <c r="O206" s="17">
        <f>+Tabla22[[#This Row],[TMK 2026]]</f>
        <v>-4595</v>
      </c>
      <c r="P206" s="17">
        <v>3101</v>
      </c>
      <c r="Q206" s="17">
        <f>+Tabla22[[#This Row],[WA 2026]]</f>
        <v>8901</v>
      </c>
      <c r="R206" s="17">
        <v>106991</v>
      </c>
      <c r="S206" s="17">
        <f>+Tabla22[[#This Row],[Ent. en Tienda 2026]]</f>
        <v>87466</v>
      </c>
      <c r="T206" s="17">
        <v>677329</v>
      </c>
      <c r="U206" s="17">
        <f>+Tabla22[[#This Row],[Meli Drop 2026]]</f>
        <v>-140136</v>
      </c>
      <c r="V206" s="17">
        <v>77441</v>
      </c>
      <c r="W206" s="17">
        <f>+Tabla22[[#This Row],[Meli Full 2026]]</f>
        <v>59192</v>
      </c>
      <c r="X206" s="17">
        <v>28165</v>
      </c>
      <c r="Y206" s="17">
        <f>+Tabla22[[#This Row],[Amazon Drop 2026]]</f>
        <v>24678</v>
      </c>
      <c r="Z206" s="17">
        <v>13242</v>
      </c>
      <c r="AA206" s="17">
        <f>+Tabla22[[#This Row],[Amazon Full 2026]]</f>
        <v>2622</v>
      </c>
      <c r="AB206" s="17">
        <v>0</v>
      </c>
      <c r="AC206" s="17">
        <f>+Tabla22[[#This Row],[TikTok 2026]]</f>
        <v>4318</v>
      </c>
      <c r="AD206" s="17">
        <v>0</v>
      </c>
      <c r="AE206" s="17">
        <f>+Tabla22[[#This Row],[Shein 2026]]</f>
        <v>-44</v>
      </c>
      <c r="AF206" s="17">
        <f t="shared" si="65"/>
        <v>2441865</v>
      </c>
      <c r="AG206" s="18">
        <f t="shared" si="66"/>
        <v>0.42116240385461728</v>
      </c>
      <c r="AH206" s="17">
        <f t="shared" si="67"/>
        <v>-3356052.8047500104</v>
      </c>
      <c r="AI206" s="20">
        <f t="shared" si="68"/>
        <v>-0.43325897777518141</v>
      </c>
      <c r="AJ206" s="20">
        <f t="shared" si="61"/>
        <v>0.11379613401342702</v>
      </c>
      <c r="AK206" s="21">
        <f t="shared" si="69"/>
        <v>7.2002411064144775E-2</v>
      </c>
      <c r="AL206" s="21">
        <f t="shared" si="62"/>
        <v>-0.10429475398334576</v>
      </c>
      <c r="AO206" s="38">
        <f t="shared" si="70"/>
        <v>46225</v>
      </c>
      <c r="AP206" s="17">
        <f>Tabla2[[#This Row],[Web + APP 2025]]+Tabla2[[#This Row],[Afiliados 2025]]+Tabla2[[#This Row],[TMK 2025]]+Tabla2[[#This Row],[WA 2025]]+Tabla2[[#This Row],[Ent. en Tienda 2025]]</f>
        <v>3512431.1724137929</v>
      </c>
      <c r="AQ206" s="17">
        <f>Tabla2[[#This Row],[Meli Drop 2025]]+Tabla2[[#This Row],[Meli Full 2025]]+Tabla2[[#This Row],[Amazon Drop 2025]]+Tabla2[[#This Row],[Amazon Full 2025]]+Tabla2[[#This Row],[TikTok 2025]]+Tabla2[[#This Row],[Shein 2025]]</f>
        <v>796177</v>
      </c>
      <c r="AR206" s="17">
        <f>Tabla2[[#This Row],[Web + APP 2026]]+Tabla2[[#This Row],[Afiliados 2026]]+Tabla2[[#This Row],[TMK 2026]]+Tabla2[[#This Row],[WA 2026]]+Tabla2[[#This Row],[Ent. en Tienda 2026]]</f>
        <v>2491235</v>
      </c>
      <c r="AS206" s="17">
        <f>Tabla2[[#This Row],[Meli Drop 2026]]+Tabla2[[#This Row],[Meli Full 2026]]+Tabla2[[#This Row],[Amazon Drop 2026]]+Tabla2[[#This Row],[Amazon Full 2026]]+Tabla2[[#This Row],[TikTok 2026]]+Tabla2[[#This Row],[Shein 2026]]</f>
        <v>-49370</v>
      </c>
      <c r="AT206" s="18">
        <f t="shared" si="71"/>
        <v>-0.29073770339875793</v>
      </c>
      <c r="AU206" s="18">
        <f t="shared" si="71"/>
        <v>-1.0620088246708961</v>
      </c>
      <c r="AV206" s="49">
        <f t="shared" si="72"/>
        <v>4553053.459245</v>
      </c>
      <c r="AW206" s="49">
        <f t="shared" si="72"/>
        <v>1244864.3455050101</v>
      </c>
      <c r="AX206" s="39">
        <f t="shared" si="73"/>
        <v>0.54715698427426407</v>
      </c>
      <c r="AY206" s="39">
        <f t="shared" si="73"/>
        <v>-3.9658939689506359E-2</v>
      </c>
      <c r="AZ206" s="39">
        <f t="shared" si="74"/>
        <v>0.42116240385461728</v>
      </c>
      <c r="BA206" s="18">
        <v>3.9519503031905101E-2</v>
      </c>
      <c r="BB206" s="20">
        <v>3.8190959146809603E-2</v>
      </c>
      <c r="BC206" s="17">
        <f t="shared" si="75"/>
        <v>-2061818.459245</v>
      </c>
      <c r="BD206" s="17">
        <f t="shared" si="75"/>
        <v>-1294234.3455050101</v>
      </c>
      <c r="BE206" s="17">
        <f t="shared" si="60"/>
        <v>-1021196.1724137929</v>
      </c>
      <c r="BF206" s="17">
        <f t="shared" si="60"/>
        <v>-845547</v>
      </c>
    </row>
    <row r="207" spans="1:58" ht="14.25" customHeight="1" x14ac:dyDescent="0.35">
      <c r="A207" s="19">
        <v>45862</v>
      </c>
      <c r="B207" s="17">
        <v>40833224</v>
      </c>
      <c r="C207" s="17">
        <f t="shared" si="63"/>
        <v>3661084.3448275863</v>
      </c>
      <c r="D207" s="18">
        <f>+Tabla22[[#This Row],[Share diario]]</f>
        <v>3.7392205376579925E-2</v>
      </c>
      <c r="E207" s="17">
        <f>+Tabla22[[#This Row],[Global 2026]]</f>
        <v>40007982</v>
      </c>
      <c r="F207" s="19">
        <v>46226</v>
      </c>
      <c r="G207" s="17">
        <f t="shared" si="64"/>
        <v>5617917.5547398403</v>
      </c>
      <c r="H207" s="17">
        <v>4553804.0329502802</v>
      </c>
      <c r="I207" s="17">
        <v>1064113.5217895601</v>
      </c>
      <c r="J207" s="17">
        <v>2646867</v>
      </c>
      <c r="K207" s="17">
        <f>+Tabla22[[#This Row],[Web + APP 2026]]</f>
        <v>3083278</v>
      </c>
      <c r="L207" s="17">
        <v>44960.344827586203</v>
      </c>
      <c r="M207" s="17">
        <f>+Tabla22[[#This Row],[Afiliados 2026]]</f>
        <v>42541</v>
      </c>
      <c r="N207" s="17">
        <v>35095</v>
      </c>
      <c r="O207" s="17">
        <f>+Tabla22[[#This Row],[TMK 2026]]</f>
        <v>32416</v>
      </c>
      <c r="P207" s="17">
        <v>7885</v>
      </c>
      <c r="Q207" s="17">
        <f>+Tabla22[[#This Row],[WA 2026]]</f>
        <v>5616</v>
      </c>
      <c r="R207" s="17">
        <v>163118</v>
      </c>
      <c r="S207" s="17">
        <f>+Tabla22[[#This Row],[Ent. en Tienda 2026]]</f>
        <v>120117</v>
      </c>
      <c r="T207" s="17">
        <v>660447</v>
      </c>
      <c r="U207" s="17">
        <f>+Tabla22[[#This Row],[Meli Drop 2026]]</f>
        <v>231502</v>
      </c>
      <c r="V207" s="17">
        <v>62295</v>
      </c>
      <c r="W207" s="17">
        <f>+Tabla22[[#This Row],[Meli Full 2026]]</f>
        <v>72242</v>
      </c>
      <c r="X207" s="17">
        <v>26946</v>
      </c>
      <c r="Y207" s="17">
        <f>+Tabla22[[#This Row],[Amazon Drop 2026]]</f>
        <v>8011</v>
      </c>
      <c r="Z207" s="17">
        <v>13471</v>
      </c>
      <c r="AA207" s="17">
        <f>+Tabla22[[#This Row],[Amazon Full 2026]]</f>
        <v>4728</v>
      </c>
      <c r="AB207" s="17">
        <v>0</v>
      </c>
      <c r="AC207" s="17">
        <f>+Tabla22[[#This Row],[TikTok 2026]]</f>
        <v>2732</v>
      </c>
      <c r="AD207" s="17">
        <v>0</v>
      </c>
      <c r="AE207" s="17">
        <f>+Tabla22[[#This Row],[Shein 2026]]</f>
        <v>2454</v>
      </c>
      <c r="AF207" s="17">
        <f t="shared" si="65"/>
        <v>3605637</v>
      </c>
      <c r="AG207" s="18">
        <f t="shared" si="66"/>
        <v>0.64181023748878652</v>
      </c>
      <c r="AH207" s="17">
        <f t="shared" si="67"/>
        <v>-2012280.5547398403</v>
      </c>
      <c r="AI207" s="20">
        <f t="shared" si="68"/>
        <v>-1.5145060753905537E-2</v>
      </c>
      <c r="AJ207" s="20">
        <f t="shared" si="61"/>
        <v>8.9659448512505069E-2</v>
      </c>
      <c r="AK207" s="21">
        <f t="shared" si="69"/>
        <v>9.0122940967130014E-2</v>
      </c>
      <c r="AL207" s="21">
        <f t="shared" si="62"/>
        <v>-2.0210062276738161E-2</v>
      </c>
      <c r="AO207" s="38">
        <f t="shared" si="70"/>
        <v>46226</v>
      </c>
      <c r="AP207" s="17">
        <f>Tabla2[[#This Row],[Web + APP 2025]]+Tabla2[[#This Row],[Afiliados 2025]]+Tabla2[[#This Row],[TMK 2025]]+Tabla2[[#This Row],[WA 2025]]+Tabla2[[#This Row],[Ent. en Tienda 2025]]</f>
        <v>2897925.3448275863</v>
      </c>
      <c r="AQ207" s="17">
        <f>Tabla2[[#This Row],[Meli Drop 2025]]+Tabla2[[#This Row],[Meli Full 2025]]+Tabla2[[#This Row],[Amazon Drop 2025]]+Tabla2[[#This Row],[Amazon Full 2025]]+Tabla2[[#This Row],[TikTok 2025]]+Tabla2[[#This Row],[Shein 2025]]</f>
        <v>763159</v>
      </c>
      <c r="AR207" s="17">
        <f>Tabla2[[#This Row],[Web + APP 2026]]+Tabla2[[#This Row],[Afiliados 2026]]+Tabla2[[#This Row],[TMK 2026]]+Tabla2[[#This Row],[WA 2026]]+Tabla2[[#This Row],[Ent. en Tienda 2026]]</f>
        <v>3283968</v>
      </c>
      <c r="AS207" s="17">
        <f>Tabla2[[#This Row],[Meli Drop 2026]]+Tabla2[[#This Row],[Meli Full 2026]]+Tabla2[[#This Row],[Amazon Drop 2026]]+Tabla2[[#This Row],[Amazon Full 2026]]+Tabla2[[#This Row],[TikTok 2026]]+Tabla2[[#This Row],[Shein 2026]]</f>
        <v>321669</v>
      </c>
      <c r="AT207" s="18">
        <f t="shared" si="71"/>
        <v>0.13321345764184334</v>
      </c>
      <c r="AU207" s="18">
        <f t="shared" si="71"/>
        <v>-0.57850330009866879</v>
      </c>
      <c r="AV207" s="49">
        <f t="shared" si="72"/>
        <v>4553804.0329502802</v>
      </c>
      <c r="AW207" s="49">
        <f t="shared" si="72"/>
        <v>1064113.5217895601</v>
      </c>
      <c r="AX207" s="39">
        <f t="shared" si="73"/>
        <v>0.72114829189793006</v>
      </c>
      <c r="AY207" s="39">
        <f t="shared" si="73"/>
        <v>0.30228823655866816</v>
      </c>
      <c r="AZ207" s="39">
        <f t="shared" si="74"/>
        <v>0.64181023748878652</v>
      </c>
      <c r="BA207" s="18">
        <v>3.3781381644112901E-2</v>
      </c>
      <c r="BB207" s="20">
        <v>3.8197254950268003E-2</v>
      </c>
      <c r="BC207" s="17">
        <f t="shared" si="75"/>
        <v>-1269836.0329502802</v>
      </c>
      <c r="BD207" s="17">
        <f t="shared" si="75"/>
        <v>-742444.52178956009</v>
      </c>
      <c r="BE207" s="17">
        <f t="shared" si="60"/>
        <v>386042.65517241368</v>
      </c>
      <c r="BF207" s="17">
        <f t="shared" si="60"/>
        <v>-441490</v>
      </c>
    </row>
    <row r="208" spans="1:58" ht="14.25" customHeight="1" x14ac:dyDescent="0.35">
      <c r="A208" s="16">
        <v>45863</v>
      </c>
      <c r="B208" s="17">
        <v>41355051</v>
      </c>
      <c r="C208" s="17">
        <f t="shared" si="63"/>
        <v>3089100.5862068967</v>
      </c>
      <c r="D208" s="18">
        <f>+Tabla22[[#This Row],[Share diario]]</f>
        <v>3.1772677450519253E-2</v>
      </c>
      <c r="E208" s="17">
        <f>+Tabla22[[#This Row],[Global 2026]]</f>
        <v>38494412</v>
      </c>
      <c r="F208" s="19">
        <v>46227</v>
      </c>
      <c r="G208" s="17">
        <f t="shared" si="64"/>
        <v>4777092.2588771898</v>
      </c>
      <c r="H208" s="17">
        <v>3757108.2463078802</v>
      </c>
      <c r="I208" s="17">
        <v>1019984.01256931</v>
      </c>
      <c r="J208" s="17">
        <v>2242610</v>
      </c>
      <c r="K208" s="17">
        <f>+Tabla22[[#This Row],[Web + APP 2026]]</f>
        <v>2278603</v>
      </c>
      <c r="L208" s="17">
        <v>44752.5862068965</v>
      </c>
      <c r="M208" s="17">
        <f>+Tabla22[[#This Row],[Afiliados 2026]]</f>
        <v>42639</v>
      </c>
      <c r="N208" s="17">
        <v>-1659</v>
      </c>
      <c r="O208" s="17">
        <f>+Tabla22[[#This Row],[TMK 2026]]</f>
        <v>39758</v>
      </c>
      <c r="P208" s="17">
        <v>4160</v>
      </c>
      <c r="Q208" s="17">
        <f>+Tabla22[[#This Row],[WA 2026]]</f>
        <v>9405</v>
      </c>
      <c r="R208" s="17">
        <v>125791</v>
      </c>
      <c r="S208" s="17">
        <f>+Tabla22[[#This Row],[Ent. en Tienda 2026]]</f>
        <v>125561</v>
      </c>
      <c r="T208" s="17">
        <v>585838</v>
      </c>
      <c r="U208" s="17">
        <f>+Tabla22[[#This Row],[Meli Drop 2026]]</f>
        <v>-79945</v>
      </c>
      <c r="V208" s="17">
        <v>65896</v>
      </c>
      <c r="W208" s="17">
        <f>+Tabla22[[#This Row],[Meli Full 2026]]</f>
        <v>65983</v>
      </c>
      <c r="X208" s="17">
        <v>16520</v>
      </c>
      <c r="Y208" s="17">
        <f>+Tabla22[[#This Row],[Amazon Drop 2026]]</f>
        <v>21720</v>
      </c>
      <c r="Z208" s="17">
        <v>5192</v>
      </c>
      <c r="AA208" s="17">
        <f>+Tabla22[[#This Row],[Amazon Full 2026]]</f>
        <v>1719</v>
      </c>
      <c r="AB208" s="17">
        <v>0</v>
      </c>
      <c r="AC208" s="17">
        <f>+Tabla22[[#This Row],[TikTok 2026]]</f>
        <v>4659</v>
      </c>
      <c r="AD208" s="17">
        <v>0</v>
      </c>
      <c r="AE208" s="17">
        <f>+Tabla22[[#This Row],[Shein 2026]]</f>
        <v>689</v>
      </c>
      <c r="AF208" s="17">
        <f t="shared" si="65"/>
        <v>2510791</v>
      </c>
      <c r="AG208" s="18">
        <f t="shared" si="66"/>
        <v>0.52558980734237226</v>
      </c>
      <c r="AH208" s="17">
        <f t="shared" si="67"/>
        <v>-2266301.2588771898</v>
      </c>
      <c r="AI208" s="20">
        <f t="shared" si="68"/>
        <v>-0.18720969747281757</v>
      </c>
      <c r="AJ208" s="20">
        <f t="shared" si="61"/>
        <v>7.4697056623310581E-2</v>
      </c>
      <c r="AK208" s="21">
        <f t="shared" si="69"/>
        <v>6.522481756572876E-2</v>
      </c>
      <c r="AL208" s="21">
        <f t="shared" si="62"/>
        <v>-6.9172662850784494E-2</v>
      </c>
      <c r="AO208" s="38">
        <f t="shared" si="70"/>
        <v>46227</v>
      </c>
      <c r="AP208" s="17">
        <f>Tabla2[[#This Row],[Web + APP 2025]]+Tabla2[[#This Row],[Afiliados 2025]]+Tabla2[[#This Row],[TMK 2025]]+Tabla2[[#This Row],[WA 2025]]+Tabla2[[#This Row],[Ent. en Tienda 2025]]</f>
        <v>2415654.5862068967</v>
      </c>
      <c r="AQ208" s="17">
        <f>Tabla2[[#This Row],[Meli Drop 2025]]+Tabla2[[#This Row],[Meli Full 2025]]+Tabla2[[#This Row],[Amazon Drop 2025]]+Tabla2[[#This Row],[Amazon Full 2025]]+Tabla2[[#This Row],[TikTok 2025]]+Tabla2[[#This Row],[Shein 2025]]</f>
        <v>673446</v>
      </c>
      <c r="AR208" s="17">
        <f>Tabla2[[#This Row],[Web + APP 2026]]+Tabla2[[#This Row],[Afiliados 2026]]+Tabla2[[#This Row],[TMK 2026]]+Tabla2[[#This Row],[WA 2026]]+Tabla2[[#This Row],[Ent. en Tienda 2026]]</f>
        <v>2495966</v>
      </c>
      <c r="AS208" s="17">
        <f>Tabla2[[#This Row],[Meli Drop 2026]]+Tabla2[[#This Row],[Meli Full 2026]]+Tabla2[[#This Row],[Amazon Drop 2026]]+Tabla2[[#This Row],[Amazon Full 2026]]+Tabla2[[#This Row],[TikTok 2026]]+Tabla2[[#This Row],[Shein 2026]]</f>
        <v>14825</v>
      </c>
      <c r="AT208" s="18">
        <f t="shared" si="71"/>
        <v>3.3246232409083643E-2</v>
      </c>
      <c r="AU208" s="18">
        <f t="shared" si="71"/>
        <v>-0.9779863567383279</v>
      </c>
      <c r="AV208" s="49">
        <f t="shared" si="72"/>
        <v>3757108.2463078802</v>
      </c>
      <c r="AW208" s="49">
        <f t="shared" si="72"/>
        <v>1019984.01256931</v>
      </c>
      <c r="AX208" s="39">
        <f t="shared" si="73"/>
        <v>0.66433167116033776</v>
      </c>
      <c r="AY208" s="39">
        <f t="shared" si="73"/>
        <v>1.4534541539191636E-2</v>
      </c>
      <c r="AZ208" s="39">
        <f t="shared" si="74"/>
        <v>0.52558980734237226</v>
      </c>
      <c r="BA208" s="18">
        <v>3.2380444843470198E-2</v>
      </c>
      <c r="BB208" s="20">
        <v>3.1514580013009302E-2</v>
      </c>
      <c r="BC208" s="17">
        <f t="shared" si="75"/>
        <v>-1261142.2463078802</v>
      </c>
      <c r="BD208" s="17">
        <f t="shared" si="75"/>
        <v>-1005159.01256931</v>
      </c>
      <c r="BE208" s="17">
        <f t="shared" si="60"/>
        <v>80311.413793103304</v>
      </c>
      <c r="BF208" s="17">
        <f t="shared" si="60"/>
        <v>-658621</v>
      </c>
    </row>
    <row r="209" spans="1:58" ht="14.25" customHeight="1" x14ac:dyDescent="0.35">
      <c r="A209" s="19">
        <v>45864</v>
      </c>
      <c r="B209" s="17">
        <v>46933783</v>
      </c>
      <c r="C209" s="17">
        <f t="shared" si="63"/>
        <v>2553876.2068965519</v>
      </c>
      <c r="D209" s="18">
        <f>+Tabla22[[#This Row],[Share diario]]</f>
        <v>2.680872312500188E-2</v>
      </c>
      <c r="E209" s="17">
        <f>+Tabla22[[#This Row],[Global 2026]]</f>
        <v>43265279</v>
      </c>
      <c r="F209" s="19">
        <v>46228</v>
      </c>
      <c r="G209" s="17">
        <f t="shared" si="64"/>
        <v>4031932.8562442842</v>
      </c>
      <c r="H209" s="17">
        <v>3131852.8554466101</v>
      </c>
      <c r="I209" s="17">
        <v>900080.00079767394</v>
      </c>
      <c r="J209" s="17">
        <v>1814470</v>
      </c>
      <c r="K209" s="17">
        <f>+Tabla22[[#This Row],[Web + APP 2026]]</f>
        <v>2296703</v>
      </c>
      <c r="L209" s="17">
        <v>48636.206896551703</v>
      </c>
      <c r="M209" s="17">
        <f>+Tabla22[[#This Row],[Afiliados 2026]]</f>
        <v>40406</v>
      </c>
      <c r="N209" s="17">
        <v>22502</v>
      </c>
      <c r="O209" s="17">
        <f>+Tabla22[[#This Row],[TMK 2026]]</f>
        <v>-1119</v>
      </c>
      <c r="P209" s="17">
        <v>8441</v>
      </c>
      <c r="Q209" s="17">
        <f>+Tabla22[[#This Row],[WA 2026]]</f>
        <v>2696</v>
      </c>
      <c r="R209" s="17">
        <v>137101</v>
      </c>
      <c r="S209" s="17">
        <f>+Tabla22[[#This Row],[Ent. en Tienda 2026]]</f>
        <v>111534</v>
      </c>
      <c r="T209" s="17">
        <v>418048</v>
      </c>
      <c r="U209" s="17">
        <f>+Tabla22[[#This Row],[Meli Drop 2026]]</f>
        <v>213421</v>
      </c>
      <c r="V209" s="17">
        <v>74083</v>
      </c>
      <c r="W209" s="17">
        <f>+Tabla22[[#This Row],[Meli Full 2026]]</f>
        <v>59424</v>
      </c>
      <c r="X209" s="17">
        <v>22565</v>
      </c>
      <c r="Y209" s="17">
        <f>+Tabla22[[#This Row],[Amazon Drop 2026]]</f>
        <v>16459</v>
      </c>
      <c r="Z209" s="17">
        <v>8030</v>
      </c>
      <c r="AA209" s="17">
        <f>+Tabla22[[#This Row],[Amazon Full 2026]]</f>
        <v>2879</v>
      </c>
      <c r="AB209" s="17">
        <v>0</v>
      </c>
      <c r="AC209" s="17">
        <f>+Tabla22[[#This Row],[TikTok 2026]]</f>
        <v>4612</v>
      </c>
      <c r="AD209" s="17">
        <v>0</v>
      </c>
      <c r="AE209" s="17">
        <f>+Tabla22[[#This Row],[Shein 2026]]</f>
        <v>689</v>
      </c>
      <c r="AF209" s="17">
        <f t="shared" si="65"/>
        <v>2747704</v>
      </c>
      <c r="AG209" s="18">
        <f t="shared" si="66"/>
        <v>0.68148555493542273</v>
      </c>
      <c r="AH209" s="17">
        <f t="shared" si="67"/>
        <v>-1284228.8562442842</v>
      </c>
      <c r="AI209" s="20">
        <f t="shared" si="68"/>
        <v>7.5895531889929035E-2</v>
      </c>
      <c r="AJ209" s="20">
        <f t="shared" si="61"/>
        <v>5.4414454656181284E-2</v>
      </c>
      <c r="AK209" s="21">
        <f t="shared" si="69"/>
        <v>6.3508292642698555E-2</v>
      </c>
      <c r="AL209" s="21">
        <f t="shared" si="62"/>
        <v>-7.816339884641299E-2</v>
      </c>
      <c r="AO209" s="38">
        <f t="shared" si="70"/>
        <v>46228</v>
      </c>
      <c r="AP209" s="17">
        <f>Tabla2[[#This Row],[Web + APP 2025]]+Tabla2[[#This Row],[Afiliados 2025]]+Tabla2[[#This Row],[TMK 2025]]+Tabla2[[#This Row],[WA 2025]]+Tabla2[[#This Row],[Ent. en Tienda 2025]]</f>
        <v>2031150.2068965517</v>
      </c>
      <c r="AQ209" s="17">
        <f>Tabla2[[#This Row],[Meli Drop 2025]]+Tabla2[[#This Row],[Meli Full 2025]]+Tabla2[[#This Row],[Amazon Drop 2025]]+Tabla2[[#This Row],[Amazon Full 2025]]+Tabla2[[#This Row],[TikTok 2025]]+Tabla2[[#This Row],[Shein 2025]]</f>
        <v>522726</v>
      </c>
      <c r="AR209" s="17">
        <f>Tabla2[[#This Row],[Web + APP 2026]]+Tabla2[[#This Row],[Afiliados 2026]]+Tabla2[[#This Row],[TMK 2026]]+Tabla2[[#This Row],[WA 2026]]+Tabla2[[#This Row],[Ent. en Tienda 2026]]</f>
        <v>2450220</v>
      </c>
      <c r="AS209" s="17">
        <f>Tabla2[[#This Row],[Meli Drop 2026]]+Tabla2[[#This Row],[Meli Full 2026]]+Tabla2[[#This Row],[Amazon Drop 2026]]+Tabla2[[#This Row],[Amazon Full 2026]]+Tabla2[[#This Row],[TikTok 2026]]+Tabla2[[#This Row],[Shein 2026]]</f>
        <v>297484</v>
      </c>
      <c r="AT209" s="18">
        <f t="shared" si="71"/>
        <v>0.20632141910556001</v>
      </c>
      <c r="AU209" s="18">
        <f t="shared" si="71"/>
        <v>-0.43089878827531058</v>
      </c>
      <c r="AV209" s="49">
        <f t="shared" si="72"/>
        <v>3131852.8554466101</v>
      </c>
      <c r="AW209" s="49">
        <f t="shared" si="72"/>
        <v>900080.00079767394</v>
      </c>
      <c r="AX209" s="39">
        <f t="shared" si="73"/>
        <v>0.78235476348731348</v>
      </c>
      <c r="AY209" s="39">
        <f t="shared" si="73"/>
        <v>0.33050839896049466</v>
      </c>
      <c r="AZ209" s="39">
        <f t="shared" si="74"/>
        <v>0.68148555493542273</v>
      </c>
      <c r="BA209" s="18">
        <v>2.85739682792913E-2</v>
      </c>
      <c r="BB209" s="20">
        <v>2.6269945109762501E-2</v>
      </c>
      <c r="BC209" s="17">
        <f t="shared" si="75"/>
        <v>-681632.85544661013</v>
      </c>
      <c r="BD209" s="17">
        <f t="shared" si="75"/>
        <v>-602596.00079767394</v>
      </c>
      <c r="BE209" s="17">
        <f t="shared" si="60"/>
        <v>419069.79310344835</v>
      </c>
      <c r="BF209" s="17">
        <f t="shared" si="60"/>
        <v>-225242</v>
      </c>
    </row>
    <row r="210" spans="1:58" ht="14.25" customHeight="1" x14ac:dyDescent="0.35">
      <c r="A210" s="16">
        <v>45865</v>
      </c>
      <c r="B210" s="17">
        <v>47081332</v>
      </c>
      <c r="C210" s="17">
        <f t="shared" si="63"/>
        <v>3234996.3103448278</v>
      </c>
      <c r="D210" s="18">
        <f>+Tabla22[[#This Row],[Share diario]]</f>
        <v>2.2163784640722627E-2</v>
      </c>
      <c r="E210" s="17">
        <f>+Tabla22[[#This Row],[Global 2026]]</f>
        <v>43046323</v>
      </c>
      <c r="F210" s="19">
        <v>46229</v>
      </c>
      <c r="G210" s="17">
        <f t="shared" si="64"/>
        <v>3331988.1964123314</v>
      </c>
      <c r="H210" s="17">
        <v>2633349.8222933002</v>
      </c>
      <c r="I210" s="17">
        <v>698638.37411903101</v>
      </c>
      <c r="J210" s="17">
        <v>2492742</v>
      </c>
      <c r="K210" s="17">
        <f>+Tabla22[[#This Row],[Web + APP 2026]]</f>
        <v>3026716</v>
      </c>
      <c r="L210" s="17">
        <v>46004.310344827602</v>
      </c>
      <c r="M210" s="17">
        <f>+Tabla22[[#This Row],[Afiliados 2026]]</f>
        <v>41577</v>
      </c>
      <c r="N210" s="17">
        <v>188</v>
      </c>
      <c r="O210" s="17">
        <f>+Tabla22[[#This Row],[TMK 2026]]</f>
        <v>-2437</v>
      </c>
      <c r="P210" s="17">
        <v>5260</v>
      </c>
      <c r="Q210" s="17">
        <f>+Tabla22[[#This Row],[WA 2026]]</f>
        <v>-2118</v>
      </c>
      <c r="R210" s="17">
        <v>96913</v>
      </c>
      <c r="S210" s="17">
        <f>+Tabla22[[#This Row],[Ent. en Tienda 2026]]</f>
        <v>77488</v>
      </c>
      <c r="T210" s="17">
        <v>456920</v>
      </c>
      <c r="U210" s="17">
        <f>+Tabla22[[#This Row],[Meli Drop 2026]]</f>
        <v>286083</v>
      </c>
      <c r="V210" s="17">
        <v>102581</v>
      </c>
      <c r="W210" s="17">
        <f>+Tabla22[[#This Row],[Meli Full 2026]]</f>
        <v>100894</v>
      </c>
      <c r="X210" s="17">
        <v>25564</v>
      </c>
      <c r="Y210" s="17">
        <f>+Tabla22[[#This Row],[Amazon Drop 2026]]</f>
        <v>1340</v>
      </c>
      <c r="Z210" s="17">
        <v>8824</v>
      </c>
      <c r="AA210" s="17">
        <f>+Tabla22[[#This Row],[Amazon Full 2026]]</f>
        <v>3747</v>
      </c>
      <c r="AB210" s="17">
        <v>0</v>
      </c>
      <c r="AC210" s="17">
        <f>+Tabla22[[#This Row],[TikTok 2026]]</f>
        <v>7694</v>
      </c>
      <c r="AD210" s="17">
        <v>0</v>
      </c>
      <c r="AE210" s="17">
        <f>+Tabla22[[#This Row],[Shein 2026]]</f>
        <v>0</v>
      </c>
      <c r="AF210" s="17">
        <f t="shared" si="65"/>
        <v>3540984</v>
      </c>
      <c r="AG210" s="18">
        <f t="shared" si="66"/>
        <v>1.0627240528080806</v>
      </c>
      <c r="AH210" s="17">
        <f t="shared" si="67"/>
        <v>208995.80358766858</v>
      </c>
      <c r="AI210" s="20">
        <f t="shared" si="68"/>
        <v>9.4586719829227839E-2</v>
      </c>
      <c r="AJ210" s="20">
        <f t="shared" si="61"/>
        <v>6.8710806872346514E-2</v>
      </c>
      <c r="AK210" s="21">
        <f t="shared" si="69"/>
        <v>8.225984830341955E-2</v>
      </c>
      <c r="AL210" s="21">
        <f t="shared" si="62"/>
        <v>-8.5702949100930237E-2</v>
      </c>
      <c r="AO210" s="38">
        <f t="shared" si="70"/>
        <v>46229</v>
      </c>
      <c r="AP210" s="17">
        <f>Tabla2[[#This Row],[Web + APP 2025]]+Tabla2[[#This Row],[Afiliados 2025]]+Tabla2[[#This Row],[TMK 2025]]+Tabla2[[#This Row],[WA 2025]]+Tabla2[[#This Row],[Ent. en Tienda 2025]]</f>
        <v>2641107.3103448278</v>
      </c>
      <c r="AQ210" s="17">
        <f>Tabla2[[#This Row],[Meli Drop 2025]]+Tabla2[[#This Row],[Meli Full 2025]]+Tabla2[[#This Row],[Amazon Drop 2025]]+Tabla2[[#This Row],[Amazon Full 2025]]+Tabla2[[#This Row],[TikTok 2025]]+Tabla2[[#This Row],[Shein 2025]]</f>
        <v>593889</v>
      </c>
      <c r="AR210" s="17">
        <f>Tabla2[[#This Row],[Web + APP 2026]]+Tabla2[[#This Row],[Afiliados 2026]]+Tabla2[[#This Row],[TMK 2026]]+Tabla2[[#This Row],[WA 2026]]+Tabla2[[#This Row],[Ent. en Tienda 2026]]</f>
        <v>3141226</v>
      </c>
      <c r="AS210" s="17">
        <f>Tabla2[[#This Row],[Meli Drop 2026]]+Tabla2[[#This Row],[Meli Full 2026]]+Tabla2[[#This Row],[Amazon Drop 2026]]+Tabla2[[#This Row],[Amazon Full 2026]]+Tabla2[[#This Row],[TikTok 2026]]+Tabla2[[#This Row],[Shein 2026]]</f>
        <v>399758</v>
      </c>
      <c r="AT210" s="18">
        <f t="shared" si="71"/>
        <v>0.18935947346640591</v>
      </c>
      <c r="AU210" s="18">
        <f t="shared" si="71"/>
        <v>-0.32688094913359234</v>
      </c>
      <c r="AV210" s="49">
        <f t="shared" si="72"/>
        <v>2633349.8222933002</v>
      </c>
      <c r="AW210" s="49">
        <f t="shared" si="72"/>
        <v>698638.37411903101</v>
      </c>
      <c r="AX210" s="39">
        <f t="shared" si="73"/>
        <v>1.192863163643183</v>
      </c>
      <c r="AY210" s="39">
        <f t="shared" si="73"/>
        <v>0.57219588102941932</v>
      </c>
      <c r="AZ210" s="39">
        <f t="shared" si="74"/>
        <v>1.0627240528080806</v>
      </c>
      <c r="BA210" s="18">
        <v>2.21789960037788E-2</v>
      </c>
      <c r="BB210" s="20">
        <v>2.2088507500006099E-2</v>
      </c>
      <c r="BC210" s="17">
        <f t="shared" si="75"/>
        <v>507876.17770669982</v>
      </c>
      <c r="BD210" s="17">
        <f t="shared" si="75"/>
        <v>-298880.37411903101</v>
      </c>
      <c r="BE210" s="17">
        <f t="shared" si="60"/>
        <v>500118.68965517217</v>
      </c>
      <c r="BF210" s="17">
        <f t="shared" si="60"/>
        <v>-194131</v>
      </c>
    </row>
    <row r="211" spans="1:58" ht="14.25" customHeight="1" x14ac:dyDescent="0.35">
      <c r="A211" s="19">
        <v>45866</v>
      </c>
      <c r="B211" s="17">
        <v>31605607</v>
      </c>
      <c r="C211" s="17">
        <f t="shared" si="63"/>
        <v>4663929.6896551717</v>
      </c>
      <c r="D211" s="18">
        <f>+Tabla22[[#This Row],[Share diario]]</f>
        <v>2.8074877451927861E-2</v>
      </c>
      <c r="E211" s="17">
        <f>+Tabla22[[#This Row],[Global 2026]]</f>
        <v>29411304</v>
      </c>
      <c r="F211" s="19">
        <v>46230</v>
      </c>
      <c r="G211" s="17">
        <f t="shared" si="64"/>
        <v>4217898.0455742115</v>
      </c>
      <c r="H211" s="17">
        <v>3424148.2696549399</v>
      </c>
      <c r="I211" s="17">
        <v>793749.77591927198</v>
      </c>
      <c r="J211" s="17">
        <v>3484387</v>
      </c>
      <c r="K211" s="17">
        <f>+Tabla22[[#This Row],[Web + APP 2026]]</f>
        <v>4417927</v>
      </c>
      <c r="L211" s="17">
        <v>44995.689655172398</v>
      </c>
      <c r="M211" s="17">
        <f>+Tabla22[[#This Row],[Afiliados 2026]]</f>
        <v>45240</v>
      </c>
      <c r="N211" s="17">
        <v>50334</v>
      </c>
      <c r="O211" s="17">
        <f>+Tabla22[[#This Row],[TMK 2026]]</f>
        <v>73371</v>
      </c>
      <c r="P211" s="17">
        <v>7472</v>
      </c>
      <c r="Q211" s="17">
        <f>+Tabla22[[#This Row],[WA 2026]]</f>
        <v>3507</v>
      </c>
      <c r="R211" s="17">
        <v>92406</v>
      </c>
      <c r="S211" s="17">
        <f>+Tabla22[[#This Row],[Ent. en Tienda 2026]]</f>
        <v>87576</v>
      </c>
      <c r="T211" s="17">
        <v>769591</v>
      </c>
      <c r="U211" s="17">
        <f>+Tabla22[[#This Row],[Meli Drop 2026]]</f>
        <v>340627</v>
      </c>
      <c r="V211" s="17">
        <v>185943</v>
      </c>
      <c r="W211" s="17">
        <f>+Tabla22[[#This Row],[Meli Full 2026]]</f>
        <v>129532</v>
      </c>
      <c r="X211" s="17">
        <v>24718</v>
      </c>
      <c r="Y211" s="17">
        <f>+Tabla22[[#This Row],[Amazon Drop 2026]]</f>
        <v>9756</v>
      </c>
      <c r="Z211" s="17">
        <v>4083</v>
      </c>
      <c r="AA211" s="17">
        <f>+Tabla22[[#This Row],[Amazon Full 2026]]</f>
        <v>10295</v>
      </c>
      <c r="AB211" s="17">
        <v>0</v>
      </c>
      <c r="AC211" s="17">
        <f>+Tabla22[[#This Row],[TikTok 2026]]</f>
        <v>6328</v>
      </c>
      <c r="AD211" s="17">
        <v>0</v>
      </c>
      <c r="AE211" s="17">
        <f>+Tabla22[[#This Row],[Shein 2026]]</f>
        <v>3358</v>
      </c>
      <c r="AF211" s="17">
        <f t="shared" si="65"/>
        <v>5127517</v>
      </c>
      <c r="AG211" s="18">
        <f t="shared" si="66"/>
        <v>1.2156569325757507</v>
      </c>
      <c r="AH211" s="17">
        <f t="shared" si="67"/>
        <v>909618.95442578848</v>
      </c>
      <c r="AI211" s="20">
        <f t="shared" si="68"/>
        <v>9.9398434623293674E-2</v>
      </c>
      <c r="AJ211" s="20">
        <f t="shared" si="61"/>
        <v>0.14756652797888589</v>
      </c>
      <c r="AK211" s="21">
        <f t="shared" si="69"/>
        <v>0.1743383088352696</v>
      </c>
      <c r="AL211" s="21">
        <f t="shared" si="62"/>
        <v>-6.9427649340827458E-2</v>
      </c>
      <c r="AO211" s="38">
        <f t="shared" si="70"/>
        <v>46230</v>
      </c>
      <c r="AP211" s="17">
        <f>Tabla2[[#This Row],[Web + APP 2025]]+Tabla2[[#This Row],[Afiliados 2025]]+Tabla2[[#This Row],[TMK 2025]]+Tabla2[[#This Row],[WA 2025]]+Tabla2[[#This Row],[Ent. en Tienda 2025]]</f>
        <v>3679594.6896551722</v>
      </c>
      <c r="AQ211" s="17">
        <f>Tabla2[[#This Row],[Meli Drop 2025]]+Tabla2[[#This Row],[Meli Full 2025]]+Tabla2[[#This Row],[Amazon Drop 2025]]+Tabla2[[#This Row],[Amazon Full 2025]]+Tabla2[[#This Row],[TikTok 2025]]+Tabla2[[#This Row],[Shein 2025]]</f>
        <v>984335</v>
      </c>
      <c r="AR211" s="17">
        <f>Tabla2[[#This Row],[Web + APP 2026]]+Tabla2[[#This Row],[Afiliados 2026]]+Tabla2[[#This Row],[TMK 2026]]+Tabla2[[#This Row],[WA 2026]]+Tabla2[[#This Row],[Ent. en Tienda 2026]]</f>
        <v>4627621</v>
      </c>
      <c r="AS211" s="17">
        <f>Tabla2[[#This Row],[Meli Drop 2026]]+Tabla2[[#This Row],[Meli Full 2026]]+Tabla2[[#This Row],[Amazon Drop 2026]]+Tabla2[[#This Row],[Amazon Full 2026]]+Tabla2[[#This Row],[TikTok 2026]]+Tabla2[[#This Row],[Shein 2026]]</f>
        <v>499896</v>
      </c>
      <c r="AT211" s="18">
        <f t="shared" si="71"/>
        <v>0.25764422179706714</v>
      </c>
      <c r="AU211" s="18">
        <f t="shared" si="71"/>
        <v>-0.49214850635200413</v>
      </c>
      <c r="AV211" s="49">
        <f t="shared" si="72"/>
        <v>3424148.2696549399</v>
      </c>
      <c r="AW211" s="49">
        <f t="shared" si="72"/>
        <v>793749.77591927198</v>
      </c>
      <c r="AX211" s="39">
        <f t="shared" si="73"/>
        <v>1.3514663021488662</v>
      </c>
      <c r="AY211" s="39">
        <f t="shared" si="73"/>
        <v>0.6297904140143552</v>
      </c>
      <c r="AZ211" s="39">
        <f t="shared" si="74"/>
        <v>1.2156569325757507</v>
      </c>
      <c r="BA211" s="18">
        <v>2.5198405584738799E-2</v>
      </c>
      <c r="BB211" s="20">
        <v>2.87217156243747E-2</v>
      </c>
      <c r="BC211" s="17">
        <f t="shared" si="75"/>
        <v>1203472.7303450601</v>
      </c>
      <c r="BD211" s="17">
        <f t="shared" si="75"/>
        <v>-293853.77591927198</v>
      </c>
      <c r="BE211" s="17">
        <f t="shared" si="60"/>
        <v>948026.31034482783</v>
      </c>
      <c r="BF211" s="17">
        <f t="shared" si="60"/>
        <v>-484439</v>
      </c>
    </row>
    <row r="212" spans="1:58" ht="14.25" customHeight="1" x14ac:dyDescent="0.35">
      <c r="A212" s="16">
        <v>45867</v>
      </c>
      <c r="B212" s="17">
        <v>34983760</v>
      </c>
      <c r="C212" s="17">
        <f t="shared" si="63"/>
        <v>4911503.0344827585</v>
      </c>
      <c r="D212" s="18">
        <f>+Tabla22[[#This Row],[Share diario]]</f>
        <v>4.0475858987152814E-2</v>
      </c>
      <c r="E212" s="17">
        <f>+Tabla22[[#This Row],[Global 2026]]</f>
        <v>31625771</v>
      </c>
      <c r="F212" s="19">
        <v>46231</v>
      </c>
      <c r="G212" s="17">
        <f t="shared" si="64"/>
        <v>6086120.65077102</v>
      </c>
      <c r="H212" s="17">
        <v>4770528.5356123</v>
      </c>
      <c r="I212" s="17">
        <v>1315592.1151587199</v>
      </c>
      <c r="J212" s="17">
        <v>3757033</v>
      </c>
      <c r="K212" s="17">
        <f>+Tabla22[[#This Row],[Web + APP 2026]]</f>
        <v>3634734</v>
      </c>
      <c r="L212" s="17">
        <v>48606.034482758601</v>
      </c>
      <c r="M212" s="17">
        <f>+Tabla22[[#This Row],[Afiliados 2026]]</f>
        <v>42976</v>
      </c>
      <c r="N212" s="17">
        <v>41706</v>
      </c>
      <c r="O212" s="17">
        <f>+Tabla22[[#This Row],[TMK 2026]]</f>
        <v>19778</v>
      </c>
      <c r="P212" s="17">
        <v>2828</v>
      </c>
      <c r="Q212" s="17">
        <f>+Tabla22[[#This Row],[WA 2026]]</f>
        <v>1549</v>
      </c>
      <c r="R212" s="17">
        <v>125933</v>
      </c>
      <c r="S212" s="17">
        <f>+Tabla22[[#This Row],[Ent. en Tienda 2026]]</f>
        <v>119572</v>
      </c>
      <c r="T212" s="17">
        <v>723558</v>
      </c>
      <c r="U212" s="17">
        <f>+Tabla22[[#This Row],[Meli Drop 2026]]</f>
        <v>359776</v>
      </c>
      <c r="V212" s="17">
        <v>178272</v>
      </c>
      <c r="W212" s="17">
        <f>+Tabla22[[#This Row],[Meli Full 2026]]</f>
        <v>124232</v>
      </c>
      <c r="X212" s="17">
        <v>20718</v>
      </c>
      <c r="Y212" s="17">
        <f>+Tabla22[[#This Row],[Amazon Drop 2026]]</f>
        <v>3776</v>
      </c>
      <c r="Z212" s="17">
        <v>12849</v>
      </c>
      <c r="AA212" s="17">
        <f>+Tabla22[[#This Row],[Amazon Full 2026]]</f>
        <v>12332</v>
      </c>
      <c r="AB212" s="17">
        <v>0</v>
      </c>
      <c r="AC212" s="17">
        <f>+Tabla22[[#This Row],[TikTok 2026]]</f>
        <v>4861</v>
      </c>
      <c r="AD212" s="17">
        <v>0</v>
      </c>
      <c r="AE212" s="17">
        <f>+Tabla22[[#This Row],[Shein 2026]]</f>
        <v>1636</v>
      </c>
      <c r="AF212" s="17">
        <f t="shared" si="65"/>
        <v>4325222</v>
      </c>
      <c r="AG212" s="18">
        <f t="shared" si="66"/>
        <v>0.71066977606696957</v>
      </c>
      <c r="AH212" s="17">
        <f t="shared" si="67"/>
        <v>-1760898.65077102</v>
      </c>
      <c r="AI212" s="20">
        <f t="shared" si="68"/>
        <v>-0.11936896513482476</v>
      </c>
      <c r="AJ212" s="20">
        <f t="shared" si="61"/>
        <v>0.14039380085167399</v>
      </c>
      <c r="AK212" s="21">
        <f t="shared" si="69"/>
        <v>0.13676257884748486</v>
      </c>
      <c r="AL212" s="21">
        <f t="shared" si="62"/>
        <v>-9.5987080862663166E-2</v>
      </c>
      <c r="AO212" s="38">
        <f t="shared" si="70"/>
        <v>46231</v>
      </c>
      <c r="AP212" s="17">
        <f>Tabla2[[#This Row],[Web + APP 2025]]+Tabla2[[#This Row],[Afiliados 2025]]+Tabla2[[#This Row],[TMK 2025]]+Tabla2[[#This Row],[WA 2025]]+Tabla2[[#This Row],[Ent. en Tienda 2025]]</f>
        <v>3976106.0344827585</v>
      </c>
      <c r="AQ212" s="17">
        <f>Tabla2[[#This Row],[Meli Drop 2025]]+Tabla2[[#This Row],[Meli Full 2025]]+Tabla2[[#This Row],[Amazon Drop 2025]]+Tabla2[[#This Row],[Amazon Full 2025]]+Tabla2[[#This Row],[TikTok 2025]]+Tabla2[[#This Row],[Shein 2025]]</f>
        <v>935397</v>
      </c>
      <c r="AR212" s="17">
        <f>Tabla2[[#This Row],[Web + APP 2026]]+Tabla2[[#This Row],[Afiliados 2026]]+Tabla2[[#This Row],[TMK 2026]]+Tabla2[[#This Row],[WA 2026]]+Tabla2[[#This Row],[Ent. en Tienda 2026]]</f>
        <v>3818609</v>
      </c>
      <c r="AS212" s="17">
        <f>Tabla2[[#This Row],[Meli Drop 2026]]+Tabla2[[#This Row],[Meli Full 2026]]+Tabla2[[#This Row],[Amazon Drop 2026]]+Tabla2[[#This Row],[Amazon Full 2026]]+Tabla2[[#This Row],[TikTok 2026]]+Tabla2[[#This Row],[Shein 2026]]</f>
        <v>506613</v>
      </c>
      <c r="AT212" s="18">
        <f t="shared" si="71"/>
        <v>-3.9610873834064364E-2</v>
      </c>
      <c r="AU212" s="18">
        <f t="shared" si="71"/>
        <v>-0.45839787812019928</v>
      </c>
      <c r="AV212" s="49">
        <f t="shared" si="72"/>
        <v>4770528.5356123</v>
      </c>
      <c r="AW212" s="49">
        <f t="shared" si="72"/>
        <v>1315592.1151587199</v>
      </c>
      <c r="AX212" s="39">
        <f t="shared" si="73"/>
        <v>0.80045826610067206</v>
      </c>
      <c r="AY212" s="39">
        <f t="shared" si="73"/>
        <v>0.38508363964987702</v>
      </c>
      <c r="AZ212" s="39">
        <f t="shared" si="74"/>
        <v>0.71066977606696957</v>
      </c>
      <c r="BA212" s="18">
        <v>4.1764829052657798E-2</v>
      </c>
      <c r="BB212" s="20">
        <v>4.0015137542986398E-2</v>
      </c>
      <c r="BC212" s="17">
        <f t="shared" si="75"/>
        <v>-951919.53561230004</v>
      </c>
      <c r="BD212" s="17">
        <f t="shared" si="75"/>
        <v>-808979.11515871994</v>
      </c>
      <c r="BE212" s="17">
        <f t="shared" si="60"/>
        <v>-157497.03448275849</v>
      </c>
      <c r="BF212" s="17">
        <f t="shared" si="60"/>
        <v>-428784</v>
      </c>
    </row>
    <row r="213" spans="1:58" ht="14.25" customHeight="1" x14ac:dyDescent="0.35">
      <c r="A213" s="19">
        <v>45868</v>
      </c>
      <c r="B213" s="17">
        <v>38292331</v>
      </c>
      <c r="C213" s="17">
        <f t="shared" si="63"/>
        <v>4557922.9655172415</v>
      </c>
      <c r="D213" s="18">
        <f>+Tabla22[[#This Row],[Share diario]]</f>
        <v>4.2624421350012973E-2</v>
      </c>
      <c r="E213" s="17">
        <f>+Tabla22[[#This Row],[Global 2026]]</f>
        <v>34751018</v>
      </c>
      <c r="F213" s="19">
        <v>46232</v>
      </c>
      <c r="G213" s="17">
        <f t="shared" si="64"/>
        <v>6405135.2441936303</v>
      </c>
      <c r="H213" s="17">
        <v>5154950.1773788603</v>
      </c>
      <c r="I213" s="17">
        <v>1250185.06681477</v>
      </c>
      <c r="J213" s="17">
        <v>3422418</v>
      </c>
      <c r="K213" s="17">
        <f>+Tabla22[[#This Row],[Web + APP 2026]]</f>
        <v>3823589</v>
      </c>
      <c r="L213" s="17">
        <v>44943.965517241399</v>
      </c>
      <c r="M213" s="17">
        <f>+Tabla22[[#This Row],[Afiliados 2026]]</f>
        <v>45162</v>
      </c>
      <c r="N213" s="17">
        <v>35371</v>
      </c>
      <c r="O213" s="17">
        <f>+Tabla22[[#This Row],[TMK 2026]]</f>
        <v>9832</v>
      </c>
      <c r="P213" s="17">
        <v>6861</v>
      </c>
      <c r="Q213" s="17">
        <f>+Tabla22[[#This Row],[WA 2026]]</f>
        <v>6476</v>
      </c>
      <c r="R213" s="17">
        <v>146730</v>
      </c>
      <c r="S213" s="17">
        <f>+Tabla22[[#This Row],[Ent. en Tienda 2026]]</f>
        <v>73400</v>
      </c>
      <c r="T213" s="17">
        <v>716501</v>
      </c>
      <c r="U213" s="17">
        <f>+Tabla22[[#This Row],[Meli Drop 2026]]</f>
        <v>422769</v>
      </c>
      <c r="V213" s="17">
        <v>157888</v>
      </c>
      <c r="W213" s="17">
        <f>+Tabla22[[#This Row],[Meli Full 2026]]</f>
        <v>119136</v>
      </c>
      <c r="X213" s="17">
        <v>21031</v>
      </c>
      <c r="Y213" s="17">
        <f>+Tabla22[[#This Row],[Amazon Drop 2026]]</f>
        <v>13325</v>
      </c>
      <c r="Z213" s="17">
        <v>6179</v>
      </c>
      <c r="AA213" s="17">
        <f>+Tabla22[[#This Row],[Amazon Full 2026]]</f>
        <v>8955</v>
      </c>
      <c r="AB213" s="17">
        <v>0</v>
      </c>
      <c r="AC213" s="17">
        <f>+Tabla22[[#This Row],[TikTok 2026]]</f>
        <v>9537</v>
      </c>
      <c r="AD213" s="17">
        <v>0</v>
      </c>
      <c r="AE213" s="17">
        <f>+Tabla22[[#This Row],[Shein 2026]]</f>
        <v>689</v>
      </c>
      <c r="AF213" s="17">
        <f t="shared" si="65"/>
        <v>4532870</v>
      </c>
      <c r="AG213" s="18">
        <f t="shared" si="66"/>
        <v>0.70769309736420127</v>
      </c>
      <c r="AH213" s="17">
        <f t="shared" si="67"/>
        <v>-1872265.2441936303</v>
      </c>
      <c r="AI213" s="20">
        <f t="shared" si="68"/>
        <v>-5.4965750204157837E-3</v>
      </c>
      <c r="AJ213" s="20">
        <f t="shared" si="61"/>
        <v>0.11902965545548119</v>
      </c>
      <c r="AK213" s="21">
        <f t="shared" si="69"/>
        <v>0.13043848096766547</v>
      </c>
      <c r="AL213" s="21">
        <f t="shared" si="62"/>
        <v>-9.248099834925172E-2</v>
      </c>
      <c r="AO213" s="38">
        <f t="shared" si="70"/>
        <v>46232</v>
      </c>
      <c r="AP213" s="17">
        <f>Tabla2[[#This Row],[Web + APP 2025]]+Tabla2[[#This Row],[Afiliados 2025]]+Tabla2[[#This Row],[TMK 2025]]+Tabla2[[#This Row],[WA 2025]]+Tabla2[[#This Row],[Ent. en Tienda 2025]]</f>
        <v>3656323.9655172415</v>
      </c>
      <c r="AQ213" s="17">
        <f>Tabla2[[#This Row],[Meli Drop 2025]]+Tabla2[[#This Row],[Meli Full 2025]]+Tabla2[[#This Row],[Amazon Drop 2025]]+Tabla2[[#This Row],[Amazon Full 2025]]+Tabla2[[#This Row],[TikTok 2025]]+Tabla2[[#This Row],[Shein 2025]]</f>
        <v>901599</v>
      </c>
      <c r="AR213" s="17">
        <f>Tabla2[[#This Row],[Web + APP 2026]]+Tabla2[[#This Row],[Afiliados 2026]]+Tabla2[[#This Row],[TMK 2026]]+Tabla2[[#This Row],[WA 2026]]+Tabla2[[#This Row],[Ent. en Tienda 2026]]</f>
        <v>3958459</v>
      </c>
      <c r="AS213" s="17">
        <f>Tabla2[[#This Row],[Meli Drop 2026]]+Tabla2[[#This Row],[Meli Full 2026]]+Tabla2[[#This Row],[Amazon Drop 2026]]+Tabla2[[#This Row],[Amazon Full 2026]]+Tabla2[[#This Row],[TikTok 2026]]+Tabla2[[#This Row],[Shein 2026]]</f>
        <v>574411</v>
      </c>
      <c r="AT213" s="18">
        <f t="shared" si="71"/>
        <v>8.2633551439148079E-2</v>
      </c>
      <c r="AU213" s="18">
        <f t="shared" si="71"/>
        <v>-0.36289747437608066</v>
      </c>
      <c r="AV213" s="49">
        <f t="shared" si="72"/>
        <v>5154950.1773788603</v>
      </c>
      <c r="AW213" s="49">
        <f t="shared" si="72"/>
        <v>1250185.06681477</v>
      </c>
      <c r="AX213" s="39">
        <f t="shared" si="73"/>
        <v>0.76789471552424571</v>
      </c>
      <c r="AY213" s="39">
        <f t="shared" si="73"/>
        <v>0.45946077524625073</v>
      </c>
      <c r="AZ213" s="39">
        <f t="shared" si="74"/>
        <v>0.70769309736420127</v>
      </c>
      <c r="BA213" s="18">
        <v>3.9688414819516599E-2</v>
      </c>
      <c r="BB213" s="20">
        <v>4.3239661776508301E-2</v>
      </c>
      <c r="BC213" s="17">
        <f t="shared" si="75"/>
        <v>-1196491.1773788603</v>
      </c>
      <c r="BD213" s="17">
        <f t="shared" si="75"/>
        <v>-675774.06681476999</v>
      </c>
      <c r="BE213" s="17">
        <f t="shared" si="60"/>
        <v>302135.03448275849</v>
      </c>
      <c r="BF213" s="17">
        <f t="shared" si="60"/>
        <v>-327188</v>
      </c>
    </row>
    <row r="214" spans="1:58" ht="14.25" customHeight="1" x14ac:dyDescent="0.35">
      <c r="A214" s="16">
        <v>45869</v>
      </c>
      <c r="B214" s="17">
        <v>42257151</v>
      </c>
      <c r="C214" s="17">
        <f t="shared" si="63"/>
        <v>4406171.068965517</v>
      </c>
      <c r="D214" s="18">
        <f>+Tabla22[[#This Row],[Share diario]]</f>
        <v>3.955588087783142E-2</v>
      </c>
      <c r="E214" s="17">
        <f>+Tabla22[[#This Row],[Global 2026]]</f>
        <v>39086770</v>
      </c>
      <c r="F214" s="19">
        <v>46233</v>
      </c>
      <c r="G214" s="17">
        <f t="shared" si="64"/>
        <v>5945371.52413911</v>
      </c>
      <c r="H214" s="17">
        <v>4740358.4590393398</v>
      </c>
      <c r="I214" s="17">
        <v>1205013.06509977</v>
      </c>
      <c r="J214" s="17">
        <v>3229434</v>
      </c>
      <c r="K214" s="17">
        <f>+Tabla22[[#This Row],[Web + APP 2026]]</f>
        <v>3050571</v>
      </c>
      <c r="L214" s="17">
        <v>53487.068965517203</v>
      </c>
      <c r="M214" s="17">
        <f>+Tabla22[[#This Row],[Afiliados 2026]]</f>
        <v>48847</v>
      </c>
      <c r="N214" s="17">
        <v>38487</v>
      </c>
      <c r="O214" s="17">
        <f>+Tabla22[[#This Row],[TMK 2026]]</f>
        <v>5466</v>
      </c>
      <c r="P214" s="17">
        <v>4745</v>
      </c>
      <c r="Q214" s="17">
        <f>+Tabla22[[#This Row],[WA 2026]]</f>
        <v>0</v>
      </c>
      <c r="R214" s="17">
        <v>157866</v>
      </c>
      <c r="S214" s="17">
        <f>+Tabla22[[#This Row],[Ent. en Tienda 2026]]</f>
        <v>119208</v>
      </c>
      <c r="T214" s="17">
        <v>760045</v>
      </c>
      <c r="U214" s="17">
        <f>+Tabla22[[#This Row],[Meli Drop 2026]]</f>
        <v>525363</v>
      </c>
      <c r="V214" s="17">
        <v>130193</v>
      </c>
      <c r="W214" s="17">
        <f>+Tabla22[[#This Row],[Meli Full 2026]]</f>
        <v>148304</v>
      </c>
      <c r="X214" s="17">
        <v>26548</v>
      </c>
      <c r="Y214" s="17">
        <f>+Tabla22[[#This Row],[Amazon Drop 2026]]</f>
        <v>15409</v>
      </c>
      <c r="Z214" s="17">
        <v>5366</v>
      </c>
      <c r="AA214" s="17">
        <f>+Tabla22[[#This Row],[Amazon Full 2026]]</f>
        <v>8317</v>
      </c>
      <c r="AB214" s="17">
        <v>0</v>
      </c>
      <c r="AC214" s="17">
        <f>+Tabla22[[#This Row],[TikTok 2026]]</f>
        <v>9625</v>
      </c>
      <c r="AD214" s="17">
        <v>0</v>
      </c>
      <c r="AE214" s="17">
        <f>+Tabla22[[#This Row],[Shein 2026]]</f>
        <v>3832</v>
      </c>
      <c r="AF214" s="17">
        <f t="shared" si="65"/>
        <v>3934942</v>
      </c>
      <c r="AG214" s="18">
        <f t="shared" si="66"/>
        <v>0.66184963950924491</v>
      </c>
      <c r="AH214" s="17">
        <f t="shared" si="67"/>
        <v>-2010429.52413911</v>
      </c>
      <c r="AI214" s="20">
        <f t="shared" si="68"/>
        <v>-0.10694752010074637</v>
      </c>
      <c r="AJ214" s="20">
        <f t="shared" si="61"/>
        <v>0.10427042440616778</v>
      </c>
      <c r="AK214" s="21">
        <f t="shared" si="69"/>
        <v>0.10067196649915049</v>
      </c>
      <c r="AL214" s="21">
        <f t="shared" si="62"/>
        <v>-7.5025905082905409E-2</v>
      </c>
      <c r="AO214" s="38">
        <f t="shared" si="70"/>
        <v>46233</v>
      </c>
      <c r="AP214" s="17">
        <f>Tabla2[[#This Row],[Web + APP 2025]]+Tabla2[[#This Row],[Afiliados 2025]]+Tabla2[[#This Row],[TMK 2025]]+Tabla2[[#This Row],[WA 2025]]+Tabla2[[#This Row],[Ent. en Tienda 2025]]</f>
        <v>3484019.068965517</v>
      </c>
      <c r="AQ214" s="17">
        <f>Tabla2[[#This Row],[Meli Drop 2025]]+Tabla2[[#This Row],[Meli Full 2025]]+Tabla2[[#This Row],[Amazon Drop 2025]]+Tabla2[[#This Row],[Amazon Full 2025]]+Tabla2[[#This Row],[TikTok 2025]]+Tabla2[[#This Row],[Shein 2025]]</f>
        <v>922152</v>
      </c>
      <c r="AR214" s="17">
        <f>Tabla2[[#This Row],[Web + APP 2026]]+Tabla2[[#This Row],[Afiliados 2026]]+Tabla2[[#This Row],[TMK 2026]]+Tabla2[[#This Row],[WA 2026]]+Tabla2[[#This Row],[Ent. en Tienda 2026]]</f>
        <v>3224092</v>
      </c>
      <c r="AS214" s="17">
        <f>Tabla2[[#This Row],[Meli Drop 2026]]+Tabla2[[#This Row],[Meli Full 2026]]+Tabla2[[#This Row],[Amazon Drop 2026]]+Tabla2[[#This Row],[Amazon Full 2026]]+Tabla2[[#This Row],[TikTok 2026]]+Tabla2[[#This Row],[Shein 2026]]</f>
        <v>710850</v>
      </c>
      <c r="AT214" s="18">
        <f t="shared" si="71"/>
        <v>-7.4605524200731521E-2</v>
      </c>
      <c r="AU214" s="18">
        <f t="shared" si="71"/>
        <v>-0.2291400983785753</v>
      </c>
      <c r="AV214" s="49">
        <f t="shared" si="72"/>
        <v>4740358.4590393398</v>
      </c>
      <c r="AW214" s="49">
        <f t="shared" si="72"/>
        <v>1205013.06509977</v>
      </c>
      <c r="AX214" s="39">
        <f t="shared" si="73"/>
        <v>0.68013675080879443</v>
      </c>
      <c r="AY214" s="39">
        <f t="shared" si="73"/>
        <v>0.58991061639746178</v>
      </c>
      <c r="AZ214" s="39">
        <f t="shared" si="74"/>
        <v>0.66184963950924491</v>
      </c>
      <c r="BA214" s="18">
        <v>3.8254383019040501E-2</v>
      </c>
      <c r="BB214" s="20">
        <v>3.9762071293673103E-2</v>
      </c>
      <c r="BC214" s="17">
        <f t="shared" si="75"/>
        <v>-1516266.4590393398</v>
      </c>
      <c r="BD214" s="17">
        <f t="shared" si="75"/>
        <v>-494163.06509976997</v>
      </c>
      <c r="BE214" s="17">
        <f t="shared" si="60"/>
        <v>-259927.06896551698</v>
      </c>
      <c r="BF214" s="17">
        <f t="shared" si="60"/>
        <v>-211302</v>
      </c>
    </row>
    <row r="215" spans="1:58" ht="14.25" customHeight="1" x14ac:dyDescent="0.35">
      <c r="A215" s="19">
        <v>45870</v>
      </c>
      <c r="B215" s="17">
        <v>42166401</v>
      </c>
      <c r="C215" s="17">
        <f t="shared" si="63"/>
        <v>3719323.8275862071</v>
      </c>
      <c r="D215" s="18">
        <f>+Tabla22[[#This Row],[Share diario]]</f>
        <v>3.8238903827451674E-2</v>
      </c>
      <c r="E215" s="17">
        <f>+Tabla22[[#This Row],[Global 2026]]</f>
        <v>38926840</v>
      </c>
      <c r="F215" s="19">
        <v>46234</v>
      </c>
      <c r="G215" s="17">
        <f t="shared" si="64"/>
        <v>5749450.9926290801</v>
      </c>
      <c r="H215" s="17">
        <v>4516968.2502925303</v>
      </c>
      <c r="I215" s="17">
        <v>1232482.74233655</v>
      </c>
      <c r="J215" s="17">
        <v>2745483</v>
      </c>
      <c r="K215" s="17">
        <f>+Tabla22[[#This Row],[Web + APP 2026]]</f>
        <v>2903566</v>
      </c>
      <c r="L215" s="17">
        <v>43694.827586206899</v>
      </c>
      <c r="M215" s="17">
        <f>+Tabla22[[#This Row],[Afiliados 2026]]</f>
        <v>49697</v>
      </c>
      <c r="N215" s="17">
        <v>12201</v>
      </c>
      <c r="O215" s="17">
        <f>+Tabla22[[#This Row],[TMK 2026]]</f>
        <v>28578</v>
      </c>
      <c r="P215" s="17">
        <v>2825</v>
      </c>
      <c r="Q215" s="17">
        <f>+Tabla22[[#This Row],[WA 2026]]</f>
        <v>11071</v>
      </c>
      <c r="R215" s="17">
        <v>168709</v>
      </c>
      <c r="S215" s="17">
        <f>+Tabla22[[#This Row],[Ent. en Tienda 2026]]</f>
        <v>72428</v>
      </c>
      <c r="T215" s="17">
        <v>619607</v>
      </c>
      <c r="U215" s="17">
        <f>+Tabla22[[#This Row],[Meli Drop 2026]]</f>
        <v>381868</v>
      </c>
      <c r="V215" s="17">
        <v>90655</v>
      </c>
      <c r="W215" s="17">
        <f>+Tabla22[[#This Row],[Meli Full 2026]]</f>
        <v>115054</v>
      </c>
      <c r="X215" s="17">
        <v>24972</v>
      </c>
      <c r="Y215" s="17">
        <f>+Tabla22[[#This Row],[Amazon Drop 2026]]</f>
        <v>16287</v>
      </c>
      <c r="Z215" s="17">
        <v>11177</v>
      </c>
      <c r="AA215" s="17">
        <f>+Tabla22[[#This Row],[Amazon Full 2026]]</f>
        <v>8524</v>
      </c>
      <c r="AB215" s="17">
        <v>0</v>
      </c>
      <c r="AC215" s="17">
        <f>+Tabla22[[#This Row],[TikTok 2026]]</f>
        <v>12321</v>
      </c>
      <c r="AD215" s="17">
        <v>0</v>
      </c>
      <c r="AE215" s="17">
        <f>+Tabla22[[#This Row],[Shein 2026]]</f>
        <v>3617</v>
      </c>
      <c r="AF215" s="17">
        <f t="shared" si="65"/>
        <v>3603011</v>
      </c>
      <c r="AG215" s="18">
        <f t="shared" si="66"/>
        <v>0.62667044290300722</v>
      </c>
      <c r="AH215" s="17">
        <f t="shared" si="67"/>
        <v>-2146439.9926290801</v>
      </c>
      <c r="AI215" s="20">
        <f t="shared" si="68"/>
        <v>-3.1272573450989993E-2</v>
      </c>
      <c r="AJ215" s="20">
        <f t="shared" si="61"/>
        <v>8.8205863895906289E-2</v>
      </c>
      <c r="AK215" s="21">
        <f t="shared" si="69"/>
        <v>9.2558527740756763E-2</v>
      </c>
      <c r="AL215" s="21">
        <f t="shared" si="62"/>
        <v>-7.682801764371594E-2</v>
      </c>
      <c r="AO215" s="38">
        <f t="shared" si="70"/>
        <v>46234</v>
      </c>
      <c r="AP215" s="17">
        <f>Tabla2[[#This Row],[Web + APP 2025]]+Tabla2[[#This Row],[Afiliados 2025]]+Tabla2[[#This Row],[TMK 2025]]+Tabla2[[#This Row],[WA 2025]]+Tabla2[[#This Row],[Ent. en Tienda 2025]]</f>
        <v>2972912.8275862071</v>
      </c>
      <c r="AQ215" s="17">
        <f>Tabla2[[#This Row],[Meli Drop 2025]]+Tabla2[[#This Row],[Meli Full 2025]]+Tabla2[[#This Row],[Amazon Drop 2025]]+Tabla2[[#This Row],[Amazon Full 2025]]+Tabla2[[#This Row],[TikTok 2025]]+Tabla2[[#This Row],[Shein 2025]]</f>
        <v>746411</v>
      </c>
      <c r="AR215" s="17">
        <f>Tabla2[[#This Row],[Web + APP 2026]]+Tabla2[[#This Row],[Afiliados 2026]]+Tabla2[[#This Row],[TMK 2026]]+Tabla2[[#This Row],[WA 2026]]+Tabla2[[#This Row],[Ent. en Tienda 2026]]</f>
        <v>3065340</v>
      </c>
      <c r="AS215" s="17">
        <f>Tabla2[[#This Row],[Meli Drop 2026]]+Tabla2[[#This Row],[Meli Full 2026]]+Tabla2[[#This Row],[Amazon Drop 2026]]+Tabla2[[#This Row],[Amazon Full 2026]]+Tabla2[[#This Row],[TikTok 2026]]+Tabla2[[#This Row],[Shein 2026]]</f>
        <v>537671</v>
      </c>
      <c r="AT215" s="18">
        <f t="shared" si="71"/>
        <v>3.1089768780350413E-2</v>
      </c>
      <c r="AU215" s="18">
        <f t="shared" si="71"/>
        <v>-0.27965825798387212</v>
      </c>
      <c r="AV215" s="49">
        <f t="shared" si="72"/>
        <v>4516968.2502925303</v>
      </c>
      <c r="AW215" s="49">
        <f t="shared" si="72"/>
        <v>1232482.74233655</v>
      </c>
      <c r="AX215" s="39">
        <f t="shared" si="73"/>
        <v>0.67862774988544161</v>
      </c>
      <c r="AY215" s="39">
        <f t="shared" si="73"/>
        <v>0.43625032751426546</v>
      </c>
      <c r="AZ215" s="39">
        <f t="shared" si="74"/>
        <v>0.62667044290300722</v>
      </c>
      <c r="BA215" s="18">
        <v>3.9126436264652197E-2</v>
      </c>
      <c r="BB215" s="20">
        <v>3.78882768363022E-2</v>
      </c>
      <c r="BC215" s="17">
        <f t="shared" ref="BC215:BD226" si="76">+AR215-AV215</f>
        <v>-1451628.2502925303</v>
      </c>
      <c r="BD215" s="17">
        <f t="shared" si="76"/>
        <v>-694811.74233655003</v>
      </c>
      <c r="BE215" s="17">
        <f t="shared" ref="BE215:BF226" si="77">AR215-AP215</f>
        <v>92427.172413792927</v>
      </c>
      <c r="BF215" s="17">
        <f t="shared" si="77"/>
        <v>-208740</v>
      </c>
    </row>
    <row r="216" spans="1:58" ht="14.25" customHeight="1" x14ac:dyDescent="0.35">
      <c r="A216" s="16">
        <v>45871</v>
      </c>
      <c r="B216" s="17">
        <v>52987530</v>
      </c>
      <c r="C216" s="17">
        <f t="shared" si="63"/>
        <v>3065174.4827586208</v>
      </c>
      <c r="D216" s="18">
        <f>+Tabla22[[#This Row],[Share diario]]</f>
        <v>2.5617418980320671E-2</v>
      </c>
      <c r="E216" s="17">
        <f>+Tabla22[[#This Row],[Global 2026]]</f>
        <v>47869700</v>
      </c>
      <c r="F216" s="19">
        <v>46235</v>
      </c>
      <c r="G216" s="17">
        <f t="shared" si="64"/>
        <v>4918875.4135660902</v>
      </c>
      <c r="H216" s="17">
        <v>3866025.8284156998</v>
      </c>
      <c r="I216" s="17">
        <v>1052849.5851503899</v>
      </c>
      <c r="J216" s="17">
        <v>2144459</v>
      </c>
      <c r="K216" s="17">
        <f>+Tabla22[[#This Row],[Web + APP 2026]]</f>
        <v>2446126</v>
      </c>
      <c r="L216" s="17">
        <v>42634.482758620703</v>
      </c>
      <c r="M216" s="17">
        <f>+Tabla22[[#This Row],[Afiliados 2026]]</f>
        <v>48403</v>
      </c>
      <c r="N216" s="17">
        <v>10464</v>
      </c>
      <c r="O216" s="17">
        <f>+Tabla22[[#This Row],[TMK 2026]]</f>
        <v>6004</v>
      </c>
      <c r="P216" s="17">
        <v>4246</v>
      </c>
      <c r="Q216" s="17">
        <f>+Tabla22[[#This Row],[WA 2026]]</f>
        <v>1786</v>
      </c>
      <c r="R216" s="17">
        <v>87668</v>
      </c>
      <c r="S216" s="17">
        <f>+Tabla22[[#This Row],[Ent. en Tienda 2026]]</f>
        <v>85521</v>
      </c>
      <c r="T216" s="17">
        <v>684341</v>
      </c>
      <c r="U216" s="17">
        <f>+Tabla22[[#This Row],[Meli Drop 2026]]</f>
        <v>329279</v>
      </c>
      <c r="V216" s="17">
        <v>63880</v>
      </c>
      <c r="W216" s="17">
        <f>+Tabla22[[#This Row],[Meli Full 2026]]</f>
        <v>108433</v>
      </c>
      <c r="X216" s="17">
        <v>21198</v>
      </c>
      <c r="Y216" s="17">
        <f>+Tabla22[[#This Row],[Amazon Drop 2026]]</f>
        <v>26082</v>
      </c>
      <c r="Z216" s="17">
        <v>6284</v>
      </c>
      <c r="AA216" s="17">
        <f>+Tabla22[[#This Row],[Amazon Full 2026]]</f>
        <v>12102</v>
      </c>
      <c r="AB216" s="17">
        <v>0</v>
      </c>
      <c r="AC216" s="17">
        <f>+Tabla22[[#This Row],[TikTok 2026]]</f>
        <v>5795</v>
      </c>
      <c r="AD216" s="17">
        <v>0</v>
      </c>
      <c r="AE216" s="17">
        <f>+Tabla22[[#This Row],[Shein 2026]]</f>
        <v>2041</v>
      </c>
      <c r="AF216" s="17">
        <f t="shared" si="65"/>
        <v>3071572</v>
      </c>
      <c r="AG216" s="18">
        <f t="shared" si="66"/>
        <v>0.62444598444772748</v>
      </c>
      <c r="AH216" s="17">
        <f t="shared" si="67"/>
        <v>-1847303.4135660902</v>
      </c>
      <c r="AI216" s="20">
        <f t="shared" si="68"/>
        <v>2.0871625016340989E-3</v>
      </c>
      <c r="AJ216" s="20">
        <f t="shared" si="61"/>
        <v>5.7847091245027286E-2</v>
      </c>
      <c r="AK216" s="21">
        <f t="shared" si="69"/>
        <v>6.4165265293076826E-2</v>
      </c>
      <c r="AL216" s="21">
        <f t="shared" si="62"/>
        <v>-9.6585555129669154E-2</v>
      </c>
      <c r="AO216" s="38">
        <f t="shared" si="70"/>
        <v>46235</v>
      </c>
      <c r="AP216" s="17">
        <f>Tabla2[[#This Row],[Web + APP 2025]]+Tabla2[[#This Row],[Afiliados 2025]]+Tabla2[[#This Row],[TMK 2025]]+Tabla2[[#This Row],[WA 2025]]+Tabla2[[#This Row],[Ent. en Tienda 2025]]</f>
        <v>2289471.4827586208</v>
      </c>
      <c r="AQ216" s="17">
        <f>Tabla2[[#This Row],[Meli Drop 2025]]+Tabla2[[#This Row],[Meli Full 2025]]+Tabla2[[#This Row],[Amazon Drop 2025]]+Tabla2[[#This Row],[Amazon Full 2025]]+Tabla2[[#This Row],[TikTok 2025]]+Tabla2[[#This Row],[Shein 2025]]</f>
        <v>775703</v>
      </c>
      <c r="AR216" s="17">
        <f>Tabla2[[#This Row],[Web + APP 2026]]+Tabla2[[#This Row],[Afiliados 2026]]+Tabla2[[#This Row],[TMK 2026]]+Tabla2[[#This Row],[WA 2026]]+Tabla2[[#This Row],[Ent. en Tienda 2026]]</f>
        <v>2587840</v>
      </c>
      <c r="AS216" s="17">
        <f>Tabla2[[#This Row],[Meli Drop 2026]]+Tabla2[[#This Row],[Meli Full 2026]]+Tabla2[[#This Row],[Amazon Drop 2026]]+Tabla2[[#This Row],[Amazon Full 2026]]+Tabla2[[#This Row],[TikTok 2026]]+Tabla2[[#This Row],[Shein 2026]]</f>
        <v>483732</v>
      </c>
      <c r="AT216" s="18">
        <f t="shared" si="71"/>
        <v>0.13032200640554392</v>
      </c>
      <c r="AU216" s="18">
        <f t="shared" si="71"/>
        <v>-0.37639534718829237</v>
      </c>
      <c r="AV216" s="49">
        <f>+H216</f>
        <v>3866025.8284156998</v>
      </c>
      <c r="AW216" s="49">
        <f t="shared" si="72"/>
        <v>1052849.5851503899</v>
      </c>
      <c r="AX216" s="39">
        <f t="shared" si="73"/>
        <v>0.66937990454670571</v>
      </c>
      <c r="AY216" s="39">
        <f t="shared" si="73"/>
        <v>0.45945024514674937</v>
      </c>
      <c r="AZ216" s="39">
        <f t="shared" si="74"/>
        <v>0.62444598444772748</v>
      </c>
      <c r="BA216" s="18">
        <v>2.53698695216962E-2</v>
      </c>
      <c r="BB216" s="20">
        <v>2.56795879631725E-2</v>
      </c>
      <c r="BC216" s="17">
        <f t="shared" si="76"/>
        <v>-1278185.8284156998</v>
      </c>
      <c r="BD216" s="17">
        <f t="shared" si="76"/>
        <v>-569117.58515038993</v>
      </c>
      <c r="BE216" s="17">
        <f t="shared" si="77"/>
        <v>298368.51724137925</v>
      </c>
      <c r="BF216" s="17">
        <f t="shared" si="77"/>
        <v>-291971</v>
      </c>
    </row>
    <row r="217" spans="1:58" ht="14.25" customHeight="1" x14ac:dyDescent="0.35">
      <c r="A217" s="19">
        <v>45872</v>
      </c>
      <c r="B217" s="17">
        <v>54307415</v>
      </c>
      <c r="C217" s="17">
        <f t="shared" si="63"/>
        <v>3585173.9310344825</v>
      </c>
      <c r="D217" s="18">
        <f>+Tabla22[[#This Row],[Share diario]]</f>
        <v>2.1111864041043975E-2</v>
      </c>
      <c r="E217" s="17">
        <f>+Tabla22[[#This Row],[Global 2026]]</f>
        <v>49204889</v>
      </c>
      <c r="F217" s="19">
        <v>46236</v>
      </c>
      <c r="G217" s="17">
        <f t="shared" si="64"/>
        <v>4071434.6100753602</v>
      </c>
      <c r="H217" s="17">
        <v>2977267.21201998</v>
      </c>
      <c r="I217" s="17">
        <v>1094167.39805538</v>
      </c>
      <c r="J217" s="17">
        <v>2587395</v>
      </c>
      <c r="K217" s="17">
        <f>+Tabla22[[#This Row],[Web + APP 2026]]</f>
        <v>2980176</v>
      </c>
      <c r="L217" s="17">
        <v>45812.931034482703</v>
      </c>
      <c r="M217" s="17">
        <f>+Tabla22[[#This Row],[Afiliados 2026]]</f>
        <v>54927</v>
      </c>
      <c r="N217" s="17">
        <v>9328</v>
      </c>
      <c r="O217" s="17">
        <f>+Tabla22[[#This Row],[TMK 2026]]</f>
        <v>0</v>
      </c>
      <c r="P217" s="17">
        <v>2300</v>
      </c>
      <c r="Q217" s="17">
        <f>+Tabla22[[#This Row],[WA 2026]]</f>
        <v>2470</v>
      </c>
      <c r="R217" s="17">
        <v>132317</v>
      </c>
      <c r="S217" s="17">
        <f>+Tabla22[[#This Row],[Ent. en Tienda 2026]]</f>
        <v>72324</v>
      </c>
      <c r="T217" s="17">
        <v>692254</v>
      </c>
      <c r="U217" s="17">
        <f>+Tabla22[[#This Row],[Meli Drop 2026]]</f>
        <v>378023</v>
      </c>
      <c r="V217" s="17">
        <v>69290</v>
      </c>
      <c r="W217" s="17">
        <f>+Tabla22[[#This Row],[Meli Full 2026]]</f>
        <v>109603</v>
      </c>
      <c r="X217" s="17">
        <v>36198</v>
      </c>
      <c r="Y217" s="17">
        <f>+Tabla22[[#This Row],[Amazon Drop 2026]]</f>
        <v>27620</v>
      </c>
      <c r="Z217" s="17">
        <v>10279</v>
      </c>
      <c r="AA217" s="17">
        <f>+Tabla22[[#This Row],[Amazon Full 2026]]</f>
        <v>16588</v>
      </c>
      <c r="AB217" s="17">
        <v>0</v>
      </c>
      <c r="AC217" s="17">
        <f>+Tabla22[[#This Row],[TikTok 2026]]</f>
        <v>6225</v>
      </c>
      <c r="AD217" s="17">
        <v>0</v>
      </c>
      <c r="AE217" s="17">
        <f>+Tabla22[[#This Row],[Shein 2026]]</f>
        <v>861</v>
      </c>
      <c r="AF217" s="17">
        <f t="shared" si="65"/>
        <v>3648817</v>
      </c>
      <c r="AG217" s="18">
        <f t="shared" si="66"/>
        <v>0.89619933744495583</v>
      </c>
      <c r="AH217" s="17">
        <f t="shared" si="67"/>
        <v>-422617.61007536016</v>
      </c>
      <c r="AI217" s="20">
        <f t="shared" si="68"/>
        <v>1.7751738183356069E-2</v>
      </c>
      <c r="AJ217" s="20">
        <f t="shared" si="61"/>
        <v>6.6016287665956533E-2</v>
      </c>
      <c r="AK217" s="21">
        <f t="shared" si="69"/>
        <v>7.415557832068273E-2</v>
      </c>
      <c r="AL217" s="21">
        <f t="shared" si="62"/>
        <v>-9.3956340952704109E-2</v>
      </c>
      <c r="AO217" s="38">
        <f t="shared" si="70"/>
        <v>46236</v>
      </c>
      <c r="AP217" s="17">
        <f>Tabla2[[#This Row],[Web + APP 2025]]+Tabla2[[#This Row],[Afiliados 2025]]+Tabla2[[#This Row],[TMK 2025]]+Tabla2[[#This Row],[WA 2025]]+Tabla2[[#This Row],[Ent. en Tienda 2025]]</f>
        <v>2777152.9310344825</v>
      </c>
      <c r="AQ217" s="17">
        <f>Tabla2[[#This Row],[Meli Drop 2025]]+Tabla2[[#This Row],[Meli Full 2025]]+Tabla2[[#This Row],[Amazon Drop 2025]]+Tabla2[[#This Row],[Amazon Full 2025]]+Tabla2[[#This Row],[TikTok 2025]]+Tabla2[[#This Row],[Shein 2025]]</f>
        <v>808021</v>
      </c>
      <c r="AR217" s="17">
        <f>Tabla2[[#This Row],[Web + APP 2026]]+Tabla2[[#This Row],[Afiliados 2026]]+Tabla2[[#This Row],[TMK 2026]]+Tabla2[[#This Row],[WA 2026]]+Tabla2[[#This Row],[Ent. en Tienda 2026]]</f>
        <v>3109897</v>
      </c>
      <c r="AS217" s="17">
        <f>Tabla2[[#This Row],[Meli Drop 2026]]+Tabla2[[#This Row],[Meli Full 2026]]+Tabla2[[#This Row],[Amazon Drop 2026]]+Tabla2[[#This Row],[Amazon Full 2026]]+Tabla2[[#This Row],[TikTok 2026]]+Tabla2[[#This Row],[Shein 2026]]</f>
        <v>538920</v>
      </c>
      <c r="AT217" s="18">
        <f t="shared" si="71"/>
        <v>0.1198148165508377</v>
      </c>
      <c r="AU217" s="18">
        <f t="shared" si="71"/>
        <v>-0.33303713641105859</v>
      </c>
      <c r="AV217" s="49">
        <f t="shared" si="72"/>
        <v>2977267.21201998</v>
      </c>
      <c r="AW217" s="49">
        <f t="shared" si="72"/>
        <v>1094167.39805538</v>
      </c>
      <c r="AX217" s="39">
        <f t="shared" si="73"/>
        <v>1.0445474922252729</v>
      </c>
      <c r="AY217" s="39">
        <f t="shared" si="73"/>
        <v>0.49253889391860972</v>
      </c>
      <c r="AZ217" s="39">
        <f t="shared" si="74"/>
        <v>0.89619933744495583</v>
      </c>
      <c r="BA217" s="18">
        <v>2.6365479471213999E-2</v>
      </c>
      <c r="BB217" s="20">
        <v>1.9776121178235299E-2</v>
      </c>
      <c r="BC217" s="17">
        <f t="shared" si="76"/>
        <v>132629.78798002005</v>
      </c>
      <c r="BD217" s="17">
        <f t="shared" si="76"/>
        <v>-555247.39805537998</v>
      </c>
      <c r="BE217" s="17">
        <f t="shared" si="77"/>
        <v>332744.06896551745</v>
      </c>
      <c r="BF217" s="17">
        <f t="shared" si="77"/>
        <v>-269101</v>
      </c>
    </row>
    <row r="218" spans="1:58" ht="14.25" customHeight="1" x14ac:dyDescent="0.35">
      <c r="A218" s="16">
        <v>45873</v>
      </c>
      <c r="B218" s="17">
        <v>34014104</v>
      </c>
      <c r="C218" s="17">
        <f t="shared" si="63"/>
        <v>4860602.7931034481</v>
      </c>
      <c r="D218" s="18">
        <f>+Tabla22[[#This Row],[Share diario]]</f>
        <v>2.4693440788197914E-2</v>
      </c>
      <c r="E218" s="17">
        <f>+Tabla22[[#This Row],[Global 2026]]</f>
        <v>31269737</v>
      </c>
      <c r="F218" s="19">
        <v>46237</v>
      </c>
      <c r="G218" s="17">
        <f t="shared" si="64"/>
        <v>4751209.9008082803</v>
      </c>
      <c r="H218" s="17">
        <v>3611456.3673758898</v>
      </c>
      <c r="I218" s="17">
        <v>1139753.5334323901</v>
      </c>
      <c r="J218" s="17">
        <v>3838217</v>
      </c>
      <c r="K218" s="17">
        <f>+Tabla22[[#This Row],[Web + APP 2026]]</f>
        <v>4221939</v>
      </c>
      <c r="L218" s="17">
        <v>45938.793103448297</v>
      </c>
      <c r="M218" s="17">
        <f>+Tabla22[[#This Row],[Afiliados 2026]]</f>
        <v>46928</v>
      </c>
      <c r="N218" s="17">
        <v>56057</v>
      </c>
      <c r="O218" s="17">
        <f>+Tabla22[[#This Row],[TMK 2026]]</f>
        <v>52670</v>
      </c>
      <c r="P218" s="17">
        <v>1839</v>
      </c>
      <c r="Q218" s="17">
        <f>+Tabla22[[#This Row],[WA 2026]]</f>
        <v>2247</v>
      </c>
      <c r="R218" s="17">
        <v>73598</v>
      </c>
      <c r="S218" s="17">
        <f>+Tabla22[[#This Row],[Ent. en Tienda 2026]]</f>
        <v>65922</v>
      </c>
      <c r="T218" s="17">
        <v>691486</v>
      </c>
      <c r="U218" s="17">
        <f>+Tabla22[[#This Row],[Meli Drop 2026]]</f>
        <v>437544</v>
      </c>
      <c r="V218" s="17">
        <v>97155</v>
      </c>
      <c r="W218" s="17">
        <f>+Tabla22[[#This Row],[Meli Full 2026]]</f>
        <v>118991</v>
      </c>
      <c r="X218" s="17">
        <v>44478</v>
      </c>
      <c r="Y218" s="17">
        <f>+Tabla22[[#This Row],[Amazon Drop 2026]]</f>
        <v>35120</v>
      </c>
      <c r="Z218" s="17">
        <v>11834</v>
      </c>
      <c r="AA218" s="17">
        <f>+Tabla22[[#This Row],[Amazon Full 2026]]</f>
        <v>9760</v>
      </c>
      <c r="AB218" s="17">
        <v>0</v>
      </c>
      <c r="AC218" s="17">
        <f>+Tabla22[[#This Row],[TikTok 2026]]</f>
        <v>11524</v>
      </c>
      <c r="AD218" s="17">
        <v>0</v>
      </c>
      <c r="AE218" s="17">
        <f>+Tabla22[[#This Row],[Shein 2026]]</f>
        <v>1378</v>
      </c>
      <c r="AF218" s="17">
        <f t="shared" si="65"/>
        <v>5004023</v>
      </c>
      <c r="AG218" s="18">
        <f t="shared" si="66"/>
        <v>1.0532102568545143</v>
      </c>
      <c r="AH218" s="17">
        <f t="shared" si="67"/>
        <v>252813.09919171967</v>
      </c>
      <c r="AI218" s="20">
        <f t="shared" si="68"/>
        <v>2.9506670880419694E-2</v>
      </c>
      <c r="AJ218" s="20">
        <f t="shared" si="61"/>
        <v>0.14289962755166058</v>
      </c>
      <c r="AK218" s="21">
        <f t="shared" si="69"/>
        <v>0.16002766508717359</v>
      </c>
      <c r="AL218" s="21">
        <f t="shared" si="62"/>
        <v>-8.0683207177822514E-2</v>
      </c>
      <c r="AO218" s="38">
        <f t="shared" si="70"/>
        <v>46237</v>
      </c>
      <c r="AP218" s="17">
        <f>Tabla2[[#This Row],[Web + APP 2025]]+Tabla2[[#This Row],[Afiliados 2025]]+Tabla2[[#This Row],[TMK 2025]]+Tabla2[[#This Row],[WA 2025]]+Tabla2[[#This Row],[Ent. en Tienda 2025]]</f>
        <v>4015649.7931034481</v>
      </c>
      <c r="AQ218" s="17">
        <f>Tabla2[[#This Row],[Meli Drop 2025]]+Tabla2[[#This Row],[Meli Full 2025]]+Tabla2[[#This Row],[Amazon Drop 2025]]+Tabla2[[#This Row],[Amazon Full 2025]]+Tabla2[[#This Row],[TikTok 2025]]+Tabla2[[#This Row],[Shein 2025]]</f>
        <v>844953</v>
      </c>
      <c r="AR218" s="17">
        <f>Tabla2[[#This Row],[Web + APP 2026]]+Tabla2[[#This Row],[Afiliados 2026]]+Tabla2[[#This Row],[TMK 2026]]+Tabla2[[#This Row],[WA 2026]]+Tabla2[[#This Row],[Ent. en Tienda 2026]]</f>
        <v>4389706</v>
      </c>
      <c r="AS218" s="17">
        <f>Tabla2[[#This Row],[Meli Drop 2026]]+Tabla2[[#This Row],[Meli Full 2026]]+Tabla2[[#This Row],[Amazon Drop 2026]]+Tabla2[[#This Row],[Amazon Full 2026]]+Tabla2[[#This Row],[TikTok 2026]]+Tabla2[[#This Row],[Shein 2026]]</f>
        <v>614317</v>
      </c>
      <c r="AT218" s="18">
        <f t="shared" si="71"/>
        <v>9.3149608698189557E-2</v>
      </c>
      <c r="AU218" s="18">
        <f t="shared" si="71"/>
        <v>-0.27295719406878249</v>
      </c>
      <c r="AV218" s="49">
        <f t="shared" si="72"/>
        <v>3611456.3673758898</v>
      </c>
      <c r="AW218" s="49">
        <f t="shared" si="72"/>
        <v>1139753.5334323901</v>
      </c>
      <c r="AX218" s="39">
        <f t="shared" si="73"/>
        <v>1.2154946795576522</v>
      </c>
      <c r="AY218" s="39">
        <f t="shared" si="73"/>
        <v>0.53899109060006367</v>
      </c>
      <c r="AZ218" s="39">
        <f t="shared" si="74"/>
        <v>1.0532102568545143</v>
      </c>
      <c r="BA218" s="18">
        <v>2.74639405646359E-2</v>
      </c>
      <c r="BB218" s="20">
        <v>2.3988642491608501E-2</v>
      </c>
      <c r="BC218" s="17">
        <f t="shared" si="76"/>
        <v>778249.63262411021</v>
      </c>
      <c r="BD218" s="17">
        <f t="shared" si="76"/>
        <v>-525436.53343239008</v>
      </c>
      <c r="BE218" s="17">
        <f t="shared" si="77"/>
        <v>374056.20689655188</v>
      </c>
      <c r="BF218" s="17">
        <f t="shared" si="77"/>
        <v>-230636</v>
      </c>
    </row>
    <row r="219" spans="1:58" ht="14.25" customHeight="1" x14ac:dyDescent="0.35">
      <c r="A219" s="19">
        <v>45874</v>
      </c>
      <c r="B219" s="17">
        <v>36175205</v>
      </c>
      <c r="C219" s="17">
        <f t="shared" si="63"/>
        <v>4811715.7931034481</v>
      </c>
      <c r="D219" s="18">
        <f>+Tabla22[[#This Row],[Share diario]]</f>
        <v>3.3478154637763088E-2</v>
      </c>
      <c r="E219" s="17">
        <f>+Tabla22[[#This Row],[Global 2026]]</f>
        <v>34390488</v>
      </c>
      <c r="F219" s="19">
        <v>46238</v>
      </c>
      <c r="G219" s="17">
        <f t="shared" si="64"/>
        <v>6413866.4549796497</v>
      </c>
      <c r="H219" s="17">
        <v>5222018.5112575199</v>
      </c>
      <c r="I219" s="17">
        <v>1191847.94372213</v>
      </c>
      <c r="J219" s="17">
        <v>3763555</v>
      </c>
      <c r="K219" s="17">
        <f>+Tabla22[[#This Row],[Web + APP 2026]]</f>
        <v>4338817</v>
      </c>
      <c r="L219" s="17">
        <v>44913.793103448297</v>
      </c>
      <c r="M219" s="17">
        <f>+Tabla22[[#This Row],[Afiliados 2026]]</f>
        <v>52837</v>
      </c>
      <c r="N219" s="17">
        <v>51008</v>
      </c>
      <c r="O219" s="17">
        <f>+Tabla22[[#This Row],[TMK 2026]]</f>
        <v>38712</v>
      </c>
      <c r="P219" s="17">
        <v>6626</v>
      </c>
      <c r="Q219" s="17">
        <f>+Tabla22[[#This Row],[WA 2026]]</f>
        <v>7853</v>
      </c>
      <c r="R219" s="17">
        <v>103650</v>
      </c>
      <c r="S219" s="17">
        <f>+Tabla22[[#This Row],[Ent. en Tienda 2026]]</f>
        <v>80292</v>
      </c>
      <c r="T219" s="17">
        <v>708997</v>
      </c>
      <c r="U219" s="17">
        <f>+Tabla22[[#This Row],[Meli Drop 2026]]</f>
        <v>401548</v>
      </c>
      <c r="V219" s="17">
        <v>83531</v>
      </c>
      <c r="W219" s="17">
        <f>+Tabla22[[#This Row],[Meli Full 2026]]</f>
        <v>100971</v>
      </c>
      <c r="X219" s="17">
        <v>38553</v>
      </c>
      <c r="Y219" s="17">
        <f>+Tabla22[[#This Row],[Amazon Drop 2026]]</f>
        <v>28918</v>
      </c>
      <c r="Z219" s="17">
        <v>10882</v>
      </c>
      <c r="AA219" s="17">
        <f>+Tabla22[[#This Row],[Amazon Full 2026]]</f>
        <v>15532</v>
      </c>
      <c r="AB219" s="17">
        <v>0</v>
      </c>
      <c r="AC219" s="17">
        <f>+Tabla22[[#This Row],[TikTok 2026]]</f>
        <v>6075</v>
      </c>
      <c r="AD219" s="17">
        <v>0</v>
      </c>
      <c r="AE219" s="17">
        <f>+Tabla22[[#This Row],[Shein 2026]]</f>
        <v>1809</v>
      </c>
      <c r="AF219" s="17">
        <f t="shared" si="65"/>
        <v>5073364</v>
      </c>
      <c r="AG219" s="18">
        <f t="shared" si="66"/>
        <v>0.79099931930467626</v>
      </c>
      <c r="AH219" s="17">
        <f t="shared" si="67"/>
        <v>-1340502.4549796497</v>
      </c>
      <c r="AI219" s="20">
        <f t="shared" si="68"/>
        <v>5.4377319473350338E-2</v>
      </c>
      <c r="AJ219" s="20">
        <f t="shared" si="61"/>
        <v>0.13301143125805226</v>
      </c>
      <c r="AK219" s="21">
        <f t="shared" si="69"/>
        <v>0.14752230326013402</v>
      </c>
      <c r="AL219" s="21">
        <f t="shared" si="62"/>
        <v>-4.9335366586035878E-2</v>
      </c>
      <c r="AO219" s="38">
        <f t="shared" si="70"/>
        <v>46238</v>
      </c>
      <c r="AP219" s="17">
        <f>Tabla2[[#This Row],[Web + APP 2025]]+Tabla2[[#This Row],[Afiliados 2025]]+Tabla2[[#This Row],[TMK 2025]]+Tabla2[[#This Row],[WA 2025]]+Tabla2[[#This Row],[Ent. en Tienda 2025]]</f>
        <v>3969752.7931034481</v>
      </c>
      <c r="AQ219" s="17">
        <f>Tabla2[[#This Row],[Meli Drop 2025]]+Tabla2[[#This Row],[Meli Full 2025]]+Tabla2[[#This Row],[Amazon Drop 2025]]+Tabla2[[#This Row],[Amazon Full 2025]]+Tabla2[[#This Row],[TikTok 2025]]+Tabla2[[#This Row],[Shein 2025]]</f>
        <v>841963</v>
      </c>
      <c r="AR219" s="17">
        <f>Tabla2[[#This Row],[Web + APP 2026]]+Tabla2[[#This Row],[Afiliados 2026]]+Tabla2[[#This Row],[TMK 2026]]+Tabla2[[#This Row],[WA 2026]]+Tabla2[[#This Row],[Ent. en Tienda 2026]]</f>
        <v>4518511</v>
      </c>
      <c r="AS219" s="17">
        <f>Tabla2[[#This Row],[Meli Drop 2026]]+Tabla2[[#This Row],[Meli Full 2026]]+Tabla2[[#This Row],[Amazon Drop 2026]]+Tabla2[[#This Row],[Amazon Full 2026]]+Tabla2[[#This Row],[TikTok 2026]]+Tabla2[[#This Row],[Shein 2026]]</f>
        <v>554853</v>
      </c>
      <c r="AT219" s="18">
        <f t="shared" si="71"/>
        <v>0.13823485629883447</v>
      </c>
      <c r="AU219" s="18">
        <f t="shared" si="71"/>
        <v>-0.34100073281129928</v>
      </c>
      <c r="AV219" s="49">
        <f t="shared" si="72"/>
        <v>5222018.5112575199</v>
      </c>
      <c r="AW219" s="49">
        <f t="shared" si="72"/>
        <v>1191847.94372213</v>
      </c>
      <c r="AX219" s="39">
        <f t="shared" si="73"/>
        <v>0.86528054051495362</v>
      </c>
      <c r="AY219" s="39">
        <f t="shared" si="73"/>
        <v>0.46554009085017944</v>
      </c>
      <c r="AZ219" s="39">
        <f t="shared" si="74"/>
        <v>0.79099931930467626</v>
      </c>
      <c r="BA219" s="18">
        <v>2.8719227559569401E-2</v>
      </c>
      <c r="BB219" s="20">
        <v>3.4686597983776699E-2</v>
      </c>
      <c r="BC219" s="17">
        <f t="shared" si="76"/>
        <v>-703507.51125751995</v>
      </c>
      <c r="BD219" s="17">
        <f t="shared" si="76"/>
        <v>-636994.94372213003</v>
      </c>
      <c r="BE219" s="17">
        <f t="shared" si="77"/>
        <v>548758.20689655188</v>
      </c>
      <c r="BF219" s="17">
        <f t="shared" si="77"/>
        <v>-287110</v>
      </c>
    </row>
    <row r="220" spans="1:58" ht="14.25" customHeight="1" x14ac:dyDescent="0.35">
      <c r="A220" s="16">
        <v>45875</v>
      </c>
      <c r="B220" s="17">
        <v>37816388</v>
      </c>
      <c r="C220" s="17">
        <f t="shared" si="63"/>
        <v>4851603.7586206896</v>
      </c>
      <c r="D220" s="18">
        <f>+Tabla22[[#This Row],[Share diario]]</f>
        <v>3.3141437852738292E-2</v>
      </c>
      <c r="E220" s="17">
        <f>+Tabla22[[#This Row],[Global 2026]]</f>
        <v>37626260</v>
      </c>
      <c r="F220" s="19">
        <v>46239</v>
      </c>
      <c r="G220" s="17">
        <f t="shared" si="64"/>
        <v>6349963.68176034</v>
      </c>
      <c r="H220" s="17">
        <v>5162333.2807319798</v>
      </c>
      <c r="I220" s="17">
        <v>1187630.40102836</v>
      </c>
      <c r="J220" s="17">
        <v>3783964</v>
      </c>
      <c r="K220" s="17">
        <f>+Tabla22[[#This Row],[Web + APP 2026]]</f>
        <v>3961812</v>
      </c>
      <c r="L220" s="17">
        <v>41382.758620689601</v>
      </c>
      <c r="M220" s="17">
        <f>+Tabla22[[#This Row],[Afiliados 2026]]</f>
        <v>50879</v>
      </c>
      <c r="N220" s="17">
        <v>54972</v>
      </c>
      <c r="O220" s="17">
        <f>+Tabla22[[#This Row],[TMK 2026]]</f>
        <v>36417</v>
      </c>
      <c r="P220" s="17">
        <v>5869</v>
      </c>
      <c r="Q220" s="17">
        <f>+Tabla22[[#This Row],[WA 2026]]</f>
        <v>15109</v>
      </c>
      <c r="R220" s="17">
        <v>93840</v>
      </c>
      <c r="S220" s="17">
        <f>+Tabla22[[#This Row],[Ent. en Tienda 2026]]</f>
        <v>79655</v>
      </c>
      <c r="T220" s="17">
        <v>761176</v>
      </c>
      <c r="U220" s="17">
        <f>+Tabla22[[#This Row],[Meli Drop 2026]]</f>
        <v>395590</v>
      </c>
      <c r="V220" s="17">
        <v>70344</v>
      </c>
      <c r="W220" s="17">
        <f>+Tabla22[[#This Row],[Meli Full 2026]]</f>
        <v>91725</v>
      </c>
      <c r="X220" s="17">
        <v>37254</v>
      </c>
      <c r="Y220" s="17">
        <f>+Tabla22[[#This Row],[Amazon Drop 2026]]</f>
        <v>30739</v>
      </c>
      <c r="Z220" s="17">
        <v>2802</v>
      </c>
      <c r="AA220" s="17">
        <f>+Tabla22[[#This Row],[Amazon Full 2026]]</f>
        <v>8694</v>
      </c>
      <c r="AB220" s="17">
        <v>0</v>
      </c>
      <c r="AC220" s="17">
        <f>+Tabla22[[#This Row],[TikTok 2026]]</f>
        <v>8108</v>
      </c>
      <c r="AD220" s="17">
        <v>0</v>
      </c>
      <c r="AE220" s="17">
        <f>+Tabla22[[#This Row],[Shein 2026]]</f>
        <v>904</v>
      </c>
      <c r="AF220" s="17">
        <f t="shared" si="65"/>
        <v>4679632</v>
      </c>
      <c r="AG220" s="18">
        <f t="shared" si="66"/>
        <v>0.7369541362010924</v>
      </c>
      <c r="AH220" s="17">
        <f t="shared" si="67"/>
        <v>-1670331.68176034</v>
      </c>
      <c r="AI220" s="20">
        <f t="shared" si="68"/>
        <v>-3.5446373442002077E-2</v>
      </c>
      <c r="AJ220" s="20">
        <f t="shared" si="61"/>
        <v>0.12829368470147623</v>
      </c>
      <c r="AK220" s="21">
        <f t="shared" si="69"/>
        <v>0.12437143633196603</v>
      </c>
      <c r="AL220" s="21">
        <f t="shared" si="62"/>
        <v>-5.027661552446494E-3</v>
      </c>
      <c r="AO220" s="38">
        <f t="shared" si="70"/>
        <v>46239</v>
      </c>
      <c r="AP220" s="17">
        <f>Tabla2[[#This Row],[Web + APP 2025]]+Tabla2[[#This Row],[Afiliados 2025]]+Tabla2[[#This Row],[TMK 2025]]+Tabla2[[#This Row],[WA 2025]]+Tabla2[[#This Row],[Ent. en Tienda 2025]]</f>
        <v>3980027.7586206896</v>
      </c>
      <c r="AQ220" s="17">
        <f>Tabla2[[#This Row],[Meli Drop 2025]]+Tabla2[[#This Row],[Meli Full 2025]]+Tabla2[[#This Row],[Amazon Drop 2025]]+Tabla2[[#This Row],[Amazon Full 2025]]+Tabla2[[#This Row],[TikTok 2025]]+Tabla2[[#This Row],[Shein 2025]]</f>
        <v>871576</v>
      </c>
      <c r="AR220" s="17">
        <f>Tabla2[[#This Row],[Web + APP 2026]]+Tabla2[[#This Row],[Afiliados 2026]]+Tabla2[[#This Row],[TMK 2026]]+Tabla2[[#This Row],[WA 2026]]+Tabla2[[#This Row],[Ent. en Tienda 2026]]</f>
        <v>4143872</v>
      </c>
      <c r="AS220" s="17">
        <f>Tabla2[[#This Row],[Meli Drop 2026]]+Tabla2[[#This Row],[Meli Full 2026]]+Tabla2[[#This Row],[Amazon Drop 2026]]+Tabla2[[#This Row],[Amazon Full 2026]]+Tabla2[[#This Row],[TikTok 2026]]+Tabla2[[#This Row],[Shein 2026]]</f>
        <v>535760</v>
      </c>
      <c r="AT220" s="18">
        <f t="shared" si="71"/>
        <v>4.1166607701271785E-2</v>
      </c>
      <c r="AU220" s="18">
        <f t="shared" si="71"/>
        <v>-0.38529743820389728</v>
      </c>
      <c r="AV220" s="49">
        <f t="shared" si="72"/>
        <v>5162333.2807319798</v>
      </c>
      <c r="AW220" s="49">
        <f t="shared" si="72"/>
        <v>1187630.40102836</v>
      </c>
      <c r="AX220" s="39">
        <f t="shared" si="73"/>
        <v>0.80271299326347068</v>
      </c>
      <c r="AY220" s="39">
        <f t="shared" si="73"/>
        <v>0.45111677802798711</v>
      </c>
      <c r="AZ220" s="39">
        <f t="shared" si="74"/>
        <v>0.7369541362010924</v>
      </c>
      <c r="BA220" s="18">
        <v>2.8617600024779699E-2</v>
      </c>
      <c r="BB220" s="20">
        <v>3.42901463832423E-2</v>
      </c>
      <c r="BC220" s="17">
        <f t="shared" si="76"/>
        <v>-1018461.2807319798</v>
      </c>
      <c r="BD220" s="17">
        <f t="shared" si="76"/>
        <v>-651870.40102836001</v>
      </c>
      <c r="BE220" s="17">
        <f t="shared" si="77"/>
        <v>163844.24137931038</v>
      </c>
      <c r="BF220" s="17">
        <f t="shared" si="77"/>
        <v>-335816</v>
      </c>
    </row>
    <row r="221" spans="1:58" ht="14.25" customHeight="1" x14ac:dyDescent="0.35">
      <c r="A221" s="19">
        <v>45876</v>
      </c>
      <c r="B221" s="17">
        <v>42821886</v>
      </c>
      <c r="C221" s="17">
        <f t="shared" si="63"/>
        <v>4267874.9655172415</v>
      </c>
      <c r="D221" s="18">
        <f>+Tabla22[[#This Row],[Share diario]]</f>
        <v>3.3416172393825813E-2</v>
      </c>
      <c r="E221" s="17">
        <f>+Tabla22[[#This Row],[Global 2026]]</f>
        <v>42043061</v>
      </c>
      <c r="F221" s="19">
        <v>46240</v>
      </c>
      <c r="G221" s="17">
        <f t="shared" si="64"/>
        <v>6405096.0189463003</v>
      </c>
      <c r="H221" s="17">
        <v>5175695.0186568704</v>
      </c>
      <c r="I221" s="17">
        <v>1229401.0002894299</v>
      </c>
      <c r="J221" s="17">
        <v>3146416</v>
      </c>
      <c r="K221" s="17">
        <f>+Tabla22[[#This Row],[Web + APP 2026]]</f>
        <v>3534572</v>
      </c>
      <c r="L221" s="17">
        <v>39518.965517241399</v>
      </c>
      <c r="M221" s="17">
        <f>+Tabla22[[#This Row],[Afiliados 2026]]</f>
        <v>51525</v>
      </c>
      <c r="N221" s="17">
        <v>64553</v>
      </c>
      <c r="O221" s="17">
        <f>+Tabla22[[#This Row],[TMK 2026]]</f>
        <v>41165</v>
      </c>
      <c r="P221" s="17">
        <v>11511</v>
      </c>
      <c r="Q221" s="17">
        <f>+Tabla22[[#This Row],[WA 2026]]</f>
        <v>14122</v>
      </c>
      <c r="R221" s="17">
        <v>133747</v>
      </c>
      <c r="S221" s="17">
        <f>+Tabla22[[#This Row],[Ent. en Tienda 2026]]</f>
        <v>85303</v>
      </c>
      <c r="T221" s="17">
        <v>769223</v>
      </c>
      <c r="U221" s="17">
        <f>+Tabla22[[#This Row],[Meli Drop 2026]]</f>
        <v>451607</v>
      </c>
      <c r="V221" s="17">
        <v>62096</v>
      </c>
      <c r="W221" s="17">
        <f>+Tabla22[[#This Row],[Meli Full 2026]]</f>
        <v>155591</v>
      </c>
      <c r="X221" s="17">
        <v>32591</v>
      </c>
      <c r="Y221" s="17">
        <f>+Tabla22[[#This Row],[Amazon Drop 2026]]</f>
        <v>25766</v>
      </c>
      <c r="Z221" s="17">
        <v>8219</v>
      </c>
      <c r="AA221" s="17">
        <f>+Tabla22[[#This Row],[Amazon Full 2026]]</f>
        <v>15513</v>
      </c>
      <c r="AB221" s="17">
        <v>0</v>
      </c>
      <c r="AC221" s="17">
        <f>+Tabla22[[#This Row],[TikTok 2026]]</f>
        <v>6476</v>
      </c>
      <c r="AD221" s="17">
        <v>0</v>
      </c>
      <c r="AE221" s="17">
        <f>+Tabla22[[#This Row],[Shein 2026]]</f>
        <v>2153</v>
      </c>
      <c r="AF221" s="17">
        <f t="shared" si="65"/>
        <v>4383793</v>
      </c>
      <c r="AG221" s="18">
        <f t="shared" si="66"/>
        <v>0.6844226826627926</v>
      </c>
      <c r="AH221" s="17">
        <f t="shared" si="67"/>
        <v>-2021303.0189463003</v>
      </c>
      <c r="AI221" s="20">
        <f t="shared" si="68"/>
        <v>2.7160597585292656E-2</v>
      </c>
      <c r="AJ221" s="20">
        <f t="shared" si="61"/>
        <v>9.9665740213246132E-2</v>
      </c>
      <c r="AK221" s="21">
        <f t="shared" si="69"/>
        <v>0.104269120652276</v>
      </c>
      <c r="AL221" s="21">
        <f t="shared" si="62"/>
        <v>-1.8187545499513957E-2</v>
      </c>
      <c r="AO221" s="38">
        <f t="shared" si="70"/>
        <v>46240</v>
      </c>
      <c r="AP221" s="17">
        <f>Tabla2[[#This Row],[Web + APP 2025]]+Tabla2[[#This Row],[Afiliados 2025]]+Tabla2[[#This Row],[TMK 2025]]+Tabla2[[#This Row],[WA 2025]]+Tabla2[[#This Row],[Ent. en Tienda 2025]]</f>
        <v>3395745.9655172415</v>
      </c>
      <c r="AQ221" s="17">
        <f>Tabla2[[#This Row],[Meli Drop 2025]]+Tabla2[[#This Row],[Meli Full 2025]]+Tabla2[[#This Row],[Amazon Drop 2025]]+Tabla2[[#This Row],[Amazon Full 2025]]+Tabla2[[#This Row],[TikTok 2025]]+Tabla2[[#This Row],[Shein 2025]]</f>
        <v>872129</v>
      </c>
      <c r="AR221" s="17">
        <f>Tabla2[[#This Row],[Web + APP 2026]]+Tabla2[[#This Row],[Afiliados 2026]]+Tabla2[[#This Row],[TMK 2026]]+Tabla2[[#This Row],[WA 2026]]+Tabla2[[#This Row],[Ent. en Tienda 2026]]</f>
        <v>3726687</v>
      </c>
      <c r="AS221" s="17">
        <f>Tabla2[[#This Row],[Meli Drop 2026]]+Tabla2[[#This Row],[Meli Full 2026]]+Tabla2[[#This Row],[Amazon Drop 2026]]+Tabla2[[#This Row],[Amazon Full 2026]]+Tabla2[[#This Row],[TikTok 2026]]+Tabla2[[#This Row],[Shein 2026]]</f>
        <v>657106</v>
      </c>
      <c r="AT221" s="18">
        <f t="shared" si="71"/>
        <v>9.7457535941546602E-2</v>
      </c>
      <c r="AU221" s="18">
        <f t="shared" si="71"/>
        <v>-0.24654953567648819</v>
      </c>
      <c r="AV221" s="49">
        <f t="shared" si="72"/>
        <v>5175695.0186568704</v>
      </c>
      <c r="AW221" s="49">
        <f t="shared" si="72"/>
        <v>1229401.0002894299</v>
      </c>
      <c r="AX221" s="39">
        <f t="shared" si="73"/>
        <v>0.72003605053357678</v>
      </c>
      <c r="AY221" s="39">
        <f t="shared" si="73"/>
        <v>0.53449281385430936</v>
      </c>
      <c r="AZ221" s="39">
        <f t="shared" si="74"/>
        <v>0.6844226826627926</v>
      </c>
      <c r="BA221" s="18">
        <v>2.9624120488901999E-2</v>
      </c>
      <c r="BB221" s="20">
        <v>3.4378900038704398E-2</v>
      </c>
      <c r="BC221" s="17">
        <f t="shared" si="76"/>
        <v>-1449008.0186568704</v>
      </c>
      <c r="BD221" s="17">
        <f t="shared" si="76"/>
        <v>-572295.00028942991</v>
      </c>
      <c r="BE221" s="17">
        <f t="shared" si="77"/>
        <v>330941.03448275849</v>
      </c>
      <c r="BF221" s="17">
        <f t="shared" si="77"/>
        <v>-215023</v>
      </c>
    </row>
    <row r="222" spans="1:58" ht="14.25" customHeight="1" x14ac:dyDescent="0.35">
      <c r="A222" s="16">
        <v>45877</v>
      </c>
      <c r="B222" s="17">
        <v>44195500</v>
      </c>
      <c r="C222" s="17">
        <f t="shared" si="63"/>
        <v>3766393.7241379311</v>
      </c>
      <c r="D222" s="18">
        <f>+Tabla22[[#This Row],[Share diario]]</f>
        <v>2.9395649912589576E-2</v>
      </c>
      <c r="E222" s="17">
        <f>+Tabla22[[#This Row],[Global 2026]]</f>
        <v>42322930</v>
      </c>
      <c r="F222" s="19">
        <v>46241</v>
      </c>
      <c r="G222" s="17">
        <f t="shared" si="64"/>
        <v>5646066.1847261796</v>
      </c>
      <c r="H222" s="17">
        <v>4415885.1506208098</v>
      </c>
      <c r="I222" s="17">
        <v>1230181.0341053701</v>
      </c>
      <c r="J222" s="17">
        <v>2760929</v>
      </c>
      <c r="K222" s="17">
        <f>+Tabla22[[#This Row],[Web + APP 2026]]</f>
        <v>3007032</v>
      </c>
      <c r="L222" s="17">
        <v>36501.724137931</v>
      </c>
      <c r="M222" s="17">
        <f>+Tabla22[[#This Row],[Afiliados 2026]]</f>
        <v>49458</v>
      </c>
      <c r="N222" s="17">
        <v>22813</v>
      </c>
      <c r="O222" s="17">
        <f>+Tabla22[[#This Row],[TMK 2026]]</f>
        <v>15410</v>
      </c>
      <c r="P222" s="17">
        <v>1010</v>
      </c>
      <c r="Q222" s="17">
        <f>+Tabla22[[#This Row],[WA 2026]]</f>
        <v>753</v>
      </c>
      <c r="R222" s="17">
        <v>84465</v>
      </c>
      <c r="S222" s="17">
        <f>+Tabla22[[#This Row],[Ent. en Tienda 2026]]</f>
        <v>96092</v>
      </c>
      <c r="T222" s="17">
        <v>765638</v>
      </c>
      <c r="U222" s="17">
        <f>+Tabla22[[#This Row],[Meli Drop 2026]]</f>
        <v>376897</v>
      </c>
      <c r="V222" s="17">
        <v>51057</v>
      </c>
      <c r="W222" s="17">
        <f>+Tabla22[[#This Row],[Meli Full 2026]]</f>
        <v>182901</v>
      </c>
      <c r="X222" s="17">
        <v>38417</v>
      </c>
      <c r="Y222" s="17">
        <f>+Tabla22[[#This Row],[Amazon Drop 2026]]</f>
        <v>15451</v>
      </c>
      <c r="Z222" s="17">
        <v>5563</v>
      </c>
      <c r="AA222" s="17">
        <f>+Tabla22[[#This Row],[Amazon Full 2026]]</f>
        <v>10998</v>
      </c>
      <c r="AB222" s="17">
        <v>0</v>
      </c>
      <c r="AC222" s="17">
        <f>+Tabla22[[#This Row],[TikTok 2026]]</f>
        <v>6179</v>
      </c>
      <c r="AD222" s="17">
        <v>0</v>
      </c>
      <c r="AE222" s="17">
        <f>+Tabla22[[#This Row],[Shein 2026]]</f>
        <v>4565</v>
      </c>
      <c r="AF222" s="17">
        <f t="shared" si="65"/>
        <v>3765736</v>
      </c>
      <c r="AG222" s="18">
        <f t="shared" si="66"/>
        <v>0.66696632253215948</v>
      </c>
      <c r="AH222" s="17">
        <f t="shared" si="67"/>
        <v>-1880330.1847261796</v>
      </c>
      <c r="AI222" s="20">
        <f t="shared" si="68"/>
        <v>-1.746296818933013E-4</v>
      </c>
      <c r="AJ222" s="20">
        <f t="shared" si="61"/>
        <v>8.5221204062357725E-2</v>
      </c>
      <c r="AK222" s="21">
        <f t="shared" si="69"/>
        <v>8.8976259441395006E-2</v>
      </c>
      <c r="AL222" s="21">
        <f t="shared" si="62"/>
        <v>-4.2370150807208851E-2</v>
      </c>
      <c r="AO222" s="38">
        <f t="shared" si="70"/>
        <v>46241</v>
      </c>
      <c r="AP222" s="17">
        <f>Tabla2[[#This Row],[Web + APP 2025]]+Tabla2[[#This Row],[Afiliados 2025]]+Tabla2[[#This Row],[TMK 2025]]+Tabla2[[#This Row],[WA 2025]]+Tabla2[[#This Row],[Ent. en Tienda 2025]]</f>
        <v>2905718.7241379311</v>
      </c>
      <c r="AQ222" s="17">
        <f>Tabla2[[#This Row],[Meli Drop 2025]]+Tabla2[[#This Row],[Meli Full 2025]]+Tabla2[[#This Row],[Amazon Drop 2025]]+Tabla2[[#This Row],[Amazon Full 2025]]+Tabla2[[#This Row],[TikTok 2025]]+Tabla2[[#This Row],[Shein 2025]]</f>
        <v>860675</v>
      </c>
      <c r="AR222" s="17">
        <f>Tabla2[[#This Row],[Web + APP 2026]]+Tabla2[[#This Row],[Afiliados 2026]]+Tabla2[[#This Row],[TMK 2026]]+Tabla2[[#This Row],[WA 2026]]+Tabla2[[#This Row],[Ent. en Tienda 2026]]</f>
        <v>3168745</v>
      </c>
      <c r="AS222" s="17">
        <f>Tabla2[[#This Row],[Meli Drop 2026]]+Tabla2[[#This Row],[Meli Full 2026]]+Tabla2[[#This Row],[Amazon Drop 2026]]+Tabla2[[#This Row],[Amazon Full 2026]]+Tabla2[[#This Row],[TikTok 2026]]+Tabla2[[#This Row],[Shein 2026]]</f>
        <v>596991</v>
      </c>
      <c r="AT222" s="18">
        <f t="shared" si="71"/>
        <v>9.0520212323752514E-2</v>
      </c>
      <c r="AU222" s="18">
        <f t="shared" si="71"/>
        <v>-0.3063688384117117</v>
      </c>
      <c r="AV222" s="49">
        <f t="shared" si="72"/>
        <v>4415885.1506208098</v>
      </c>
      <c r="AW222" s="49">
        <f t="shared" si="72"/>
        <v>1230181.0341053701</v>
      </c>
      <c r="AX222" s="39">
        <f t="shared" si="73"/>
        <v>0.71757867152738797</v>
      </c>
      <c r="AY222" s="39">
        <f t="shared" si="73"/>
        <v>0.48528711096099153</v>
      </c>
      <c r="AZ222" s="39">
        <f t="shared" si="74"/>
        <v>0.66696632253215948</v>
      </c>
      <c r="BA222" s="18">
        <v>2.9642916484466798E-2</v>
      </c>
      <c r="BB222" s="20">
        <v>2.93319590177454E-2</v>
      </c>
      <c r="BC222" s="17">
        <f t="shared" si="76"/>
        <v>-1247140.1506208098</v>
      </c>
      <c r="BD222" s="17">
        <f t="shared" si="76"/>
        <v>-633190.03410537005</v>
      </c>
      <c r="BE222" s="17">
        <f t="shared" si="77"/>
        <v>263026.27586206887</v>
      </c>
      <c r="BF222" s="17">
        <f t="shared" si="77"/>
        <v>-263684</v>
      </c>
    </row>
    <row r="223" spans="1:58" ht="14.25" customHeight="1" x14ac:dyDescent="0.35">
      <c r="A223" s="19">
        <v>45878</v>
      </c>
      <c r="B223" s="17">
        <v>52547670</v>
      </c>
      <c r="C223" s="17">
        <f t="shared" si="63"/>
        <v>2958518.7241379311</v>
      </c>
      <c r="D223" s="18">
        <f>+Tabla22[[#This Row],[Share diario]]</f>
        <v>2.5941620183878796E-2</v>
      </c>
      <c r="E223" s="17">
        <f>+Tabla22[[#This Row],[Global 2026]]</f>
        <v>54566301</v>
      </c>
      <c r="F223" s="19">
        <v>46242</v>
      </c>
      <c r="G223" s="17">
        <f t="shared" si="64"/>
        <v>4992670.0877949502</v>
      </c>
      <c r="H223" s="17">
        <v>3778645.48647033</v>
      </c>
      <c r="I223" s="17">
        <v>1214024.60132462</v>
      </c>
      <c r="J223" s="17">
        <v>2172261</v>
      </c>
      <c r="K223" s="17">
        <f>+Tabla22[[#This Row],[Web + APP 2026]]</f>
        <v>3117315</v>
      </c>
      <c r="L223" s="17">
        <v>36326.724137931</v>
      </c>
      <c r="M223" s="17">
        <f>+Tabla22[[#This Row],[Afiliados 2026]]</f>
        <v>49755</v>
      </c>
      <c r="N223" s="17">
        <v>7009</v>
      </c>
      <c r="O223" s="17">
        <f>+Tabla22[[#This Row],[TMK 2026]]</f>
        <v>-2143</v>
      </c>
      <c r="P223" s="17">
        <v>11103</v>
      </c>
      <c r="Q223" s="17">
        <f>+Tabla22[[#This Row],[WA 2026]]</f>
        <v>16358</v>
      </c>
      <c r="R223" s="17">
        <v>91684</v>
      </c>
      <c r="S223" s="17">
        <f>+Tabla22[[#This Row],[Ent. en Tienda 2026]]</f>
        <v>107597</v>
      </c>
      <c r="T223" s="17">
        <v>517547</v>
      </c>
      <c r="U223" s="17">
        <f>+Tabla22[[#This Row],[Meli Drop 2026]]</f>
        <v>405849</v>
      </c>
      <c r="V223" s="17">
        <v>91885</v>
      </c>
      <c r="W223" s="17">
        <f>+Tabla22[[#This Row],[Meli Full 2026]]</f>
        <v>220499</v>
      </c>
      <c r="X223" s="17">
        <v>25396</v>
      </c>
      <c r="Y223" s="17">
        <f>+Tabla22[[#This Row],[Amazon Drop 2026]]</f>
        <v>32535</v>
      </c>
      <c r="Z223" s="17">
        <v>5307</v>
      </c>
      <c r="AA223" s="17">
        <f>+Tabla22[[#This Row],[Amazon Full 2026]]</f>
        <v>11591</v>
      </c>
      <c r="AB223" s="17">
        <v>0</v>
      </c>
      <c r="AC223" s="17">
        <f>+Tabla22[[#This Row],[TikTok 2026]]</f>
        <v>10109</v>
      </c>
      <c r="AD223" s="17">
        <v>0</v>
      </c>
      <c r="AE223" s="17">
        <f>+Tabla22[[#This Row],[Shein 2026]]</f>
        <v>2067</v>
      </c>
      <c r="AF223" s="17">
        <f t="shared" si="65"/>
        <v>3971532</v>
      </c>
      <c r="AG223" s="18">
        <f t="shared" si="66"/>
        <v>0.79547254878882989</v>
      </c>
      <c r="AH223" s="17">
        <f t="shared" si="67"/>
        <v>-1021138.0877949502</v>
      </c>
      <c r="AI223" s="20">
        <f t="shared" si="68"/>
        <v>0.34240556518946685</v>
      </c>
      <c r="AJ223" s="20">
        <f t="shared" si="61"/>
        <v>5.6301615735539393E-2</v>
      </c>
      <c r="AK223" s="21">
        <f t="shared" si="69"/>
        <v>7.2783603198611532E-2</v>
      </c>
      <c r="AL223" s="21">
        <f t="shared" si="62"/>
        <v>3.8415233253919823E-2</v>
      </c>
      <c r="AO223" s="38">
        <f t="shared" si="70"/>
        <v>46242</v>
      </c>
      <c r="AP223" s="17">
        <f>Tabla2[[#This Row],[Web + APP 2025]]+Tabla2[[#This Row],[Afiliados 2025]]+Tabla2[[#This Row],[TMK 2025]]+Tabla2[[#This Row],[WA 2025]]+Tabla2[[#This Row],[Ent. en Tienda 2025]]</f>
        <v>2318383.7241379311</v>
      </c>
      <c r="AQ223" s="17">
        <f>Tabla2[[#This Row],[Meli Drop 2025]]+Tabla2[[#This Row],[Meli Full 2025]]+Tabla2[[#This Row],[Amazon Drop 2025]]+Tabla2[[#This Row],[Amazon Full 2025]]+Tabla2[[#This Row],[TikTok 2025]]+Tabla2[[#This Row],[Shein 2025]]</f>
        <v>640135</v>
      </c>
      <c r="AR223" s="17">
        <f>Tabla2[[#This Row],[Web + APP 2026]]+Tabla2[[#This Row],[Afiliados 2026]]+Tabla2[[#This Row],[TMK 2026]]+Tabla2[[#This Row],[WA 2026]]+Tabla2[[#This Row],[Ent. en Tienda 2026]]</f>
        <v>3288882</v>
      </c>
      <c r="AS223" s="17">
        <f>Tabla2[[#This Row],[Meli Drop 2026]]+Tabla2[[#This Row],[Meli Full 2026]]+Tabla2[[#This Row],[Amazon Drop 2026]]+Tabla2[[#This Row],[Amazon Full 2026]]+Tabla2[[#This Row],[TikTok 2026]]+Tabla2[[#This Row],[Shein 2026]]</f>
        <v>682650</v>
      </c>
      <c r="AT223" s="18">
        <f t="shared" si="71"/>
        <v>0.41860985554621233</v>
      </c>
      <c r="AU223" s="18">
        <f t="shared" si="71"/>
        <v>6.6415677942933904E-2</v>
      </c>
      <c r="AV223" s="49">
        <f t="shared" si="72"/>
        <v>3778645.48647033</v>
      </c>
      <c r="AW223" s="49">
        <f t="shared" si="72"/>
        <v>1214024.60132462</v>
      </c>
      <c r="AX223" s="39">
        <f t="shared" si="73"/>
        <v>0.87038649478392249</v>
      </c>
      <c r="AY223" s="39">
        <f t="shared" si="73"/>
        <v>0.5623032673762639</v>
      </c>
      <c r="AZ223" s="39">
        <f t="shared" si="74"/>
        <v>0.79547254878882989</v>
      </c>
      <c r="BA223" s="18">
        <v>2.92536048511957E-2</v>
      </c>
      <c r="BB223" s="20">
        <v>2.5099175085238401E-2</v>
      </c>
      <c r="BC223" s="17">
        <f>+AR223-AV223</f>
        <v>-489763.48647033004</v>
      </c>
      <c r="BD223" s="17">
        <f t="shared" si="76"/>
        <v>-531374.60132461996</v>
      </c>
      <c r="BE223" s="17">
        <f t="shared" si="77"/>
        <v>970498.27586206887</v>
      </c>
      <c r="BF223" s="17">
        <f t="shared" si="77"/>
        <v>42515</v>
      </c>
    </row>
    <row r="224" spans="1:58" ht="14.25" customHeight="1" x14ac:dyDescent="0.35">
      <c r="A224" s="16">
        <v>45879</v>
      </c>
      <c r="B224" s="17">
        <v>53492448</v>
      </c>
      <c r="C224" s="17">
        <f t="shared" si="63"/>
        <v>3499537.5172413792</v>
      </c>
      <c r="D224" s="18">
        <f>+Tabla22[[#This Row],[Share diario]]</f>
        <v>2.0377255982722969E-2</v>
      </c>
      <c r="E224" s="17">
        <f>+Tabla22[[#This Row],[Global 2026]]</f>
        <v>56796162</v>
      </c>
      <c r="F224" s="19">
        <v>46243</v>
      </c>
      <c r="G224" s="17">
        <f t="shared" si="64"/>
        <v>3917807.2143991757</v>
      </c>
      <c r="H224" s="17">
        <v>3014865.1768484898</v>
      </c>
      <c r="I224" s="17">
        <v>902942.03755068604</v>
      </c>
      <c r="J224" s="17">
        <v>2525352</v>
      </c>
      <c r="K224" s="17">
        <f>+Tabla22[[#This Row],[Web + APP 2026]]</f>
        <v>3596880</v>
      </c>
      <c r="L224" s="17">
        <v>36340.517241379297</v>
      </c>
      <c r="M224" s="17">
        <f>+Tabla22[[#This Row],[Afiliados 2026]]</f>
        <v>57414</v>
      </c>
      <c r="N224" s="17">
        <v>7272</v>
      </c>
      <c r="O224" s="17">
        <f>+Tabla22[[#This Row],[TMK 2026]]</f>
        <v>14662</v>
      </c>
      <c r="P224" s="17">
        <v>5023</v>
      </c>
      <c r="Q224" s="17">
        <f>+Tabla22[[#This Row],[WA 2026]]</f>
        <v>6852</v>
      </c>
      <c r="R224" s="17">
        <v>153753</v>
      </c>
      <c r="S224" s="17">
        <f>+Tabla22[[#This Row],[Ent. en Tienda 2026]]</f>
        <v>58728</v>
      </c>
      <c r="T224" s="17">
        <v>597616</v>
      </c>
      <c r="U224" s="17">
        <f>+Tabla22[[#This Row],[Meli Drop 2026]]</f>
        <v>433070</v>
      </c>
      <c r="V224" s="17">
        <v>139394</v>
      </c>
      <c r="W224" s="17">
        <f>+Tabla22[[#This Row],[Meli Full 2026]]</f>
        <v>212540</v>
      </c>
      <c r="X224" s="17">
        <v>29128</v>
      </c>
      <c r="Y224" s="17">
        <f>+Tabla22[[#This Row],[Amazon Drop 2026]]</f>
        <v>26298</v>
      </c>
      <c r="Z224" s="17">
        <v>5659</v>
      </c>
      <c r="AA224" s="17">
        <f>+Tabla22[[#This Row],[Amazon Full 2026]]</f>
        <v>11364</v>
      </c>
      <c r="AB224" s="17">
        <v>0</v>
      </c>
      <c r="AC224" s="17">
        <f>+Tabla22[[#This Row],[TikTok 2026]]</f>
        <v>5631</v>
      </c>
      <c r="AD224" s="17">
        <v>0</v>
      </c>
      <c r="AE224" s="17">
        <f>+Tabla22[[#This Row],[Shein 2026]]</f>
        <v>2540</v>
      </c>
      <c r="AF224" s="17">
        <f t="shared" si="65"/>
        <v>4425979</v>
      </c>
      <c r="AG224" s="18">
        <f t="shared" si="66"/>
        <v>1.1297082163035315</v>
      </c>
      <c r="AH224" s="17">
        <f t="shared" si="67"/>
        <v>508171.78560082428</v>
      </c>
      <c r="AI224" s="20">
        <f t="shared" si="68"/>
        <v>0.26473254771359533</v>
      </c>
      <c r="AJ224" s="20">
        <f t="shared" si="61"/>
        <v>6.5421150986422968E-2</v>
      </c>
      <c r="AK224" s="21">
        <f t="shared" si="69"/>
        <v>7.7927431082403062E-2</v>
      </c>
      <c r="AL224" s="21">
        <f t="shared" si="62"/>
        <v>6.1760381577601331E-2</v>
      </c>
      <c r="AO224" s="38">
        <f t="shared" si="70"/>
        <v>46243</v>
      </c>
      <c r="AP224" s="17">
        <f>Tabla2[[#This Row],[Web + APP 2025]]+Tabla2[[#This Row],[Afiliados 2025]]+Tabla2[[#This Row],[TMK 2025]]+Tabla2[[#This Row],[WA 2025]]+Tabla2[[#This Row],[Ent. en Tienda 2025]]</f>
        <v>2727740.5172413792</v>
      </c>
      <c r="AQ224" s="17">
        <f>Tabla2[[#This Row],[Meli Drop 2025]]+Tabla2[[#This Row],[Meli Full 2025]]+Tabla2[[#This Row],[Amazon Drop 2025]]+Tabla2[[#This Row],[Amazon Full 2025]]+Tabla2[[#This Row],[TikTok 2025]]+Tabla2[[#This Row],[Shein 2025]]</f>
        <v>771797</v>
      </c>
      <c r="AR224" s="17">
        <f>Tabla2[[#This Row],[Web + APP 2026]]+Tabla2[[#This Row],[Afiliados 2026]]+Tabla2[[#This Row],[TMK 2026]]+Tabla2[[#This Row],[WA 2026]]+Tabla2[[#This Row],[Ent. en Tienda 2026]]</f>
        <v>3734536</v>
      </c>
      <c r="AS224" s="17">
        <f>Tabla2[[#This Row],[Meli Drop 2026]]+Tabla2[[#This Row],[Meli Full 2026]]+Tabla2[[#This Row],[Amazon Drop 2026]]+Tabla2[[#This Row],[Amazon Full 2026]]+Tabla2[[#This Row],[TikTok 2026]]+Tabla2[[#This Row],[Shein 2026]]</f>
        <v>691443</v>
      </c>
      <c r="AT224" s="18">
        <f t="shared" si="71"/>
        <v>0.36909503539464739</v>
      </c>
      <c r="AU224" s="18">
        <f t="shared" si="71"/>
        <v>-0.10411286905753714</v>
      </c>
      <c r="AV224" s="49">
        <f t="shared" si="72"/>
        <v>3014865.1768484898</v>
      </c>
      <c r="AW224" s="49">
        <f t="shared" si="72"/>
        <v>902942.03755068604</v>
      </c>
      <c r="AX224" s="39">
        <f t="shared" si="73"/>
        <v>1.2387074648239491</v>
      </c>
      <c r="AY224" s="39">
        <f t="shared" si="73"/>
        <v>0.7657667615914785</v>
      </c>
      <c r="AZ224" s="39">
        <f t="shared" si="74"/>
        <v>1.1297082163035315</v>
      </c>
      <c r="BA224" s="18">
        <v>2.1757639459052701E-2</v>
      </c>
      <c r="BB224" s="20">
        <v>2.0025860907844299E-2</v>
      </c>
      <c r="BC224" s="17">
        <f t="shared" si="76"/>
        <v>719670.82315151021</v>
      </c>
      <c r="BD224" s="17">
        <f t="shared" si="76"/>
        <v>-211499.03755068604</v>
      </c>
      <c r="BE224" s="17">
        <f t="shared" si="77"/>
        <v>1006795.4827586208</v>
      </c>
      <c r="BF224" s="17">
        <f t="shared" si="77"/>
        <v>-80354</v>
      </c>
    </row>
    <row r="225" spans="1:58" ht="14.25" customHeight="1" x14ac:dyDescent="0.35">
      <c r="A225" s="19">
        <v>45880</v>
      </c>
      <c r="B225" s="17">
        <v>33293539</v>
      </c>
      <c r="C225" s="17">
        <f t="shared" si="63"/>
        <v>5333277.6896551717</v>
      </c>
      <c r="D225" s="18">
        <f>+Tabla22[[#This Row],[Share diario]]</f>
        <v>2.4103606723242677E-2</v>
      </c>
      <c r="E225" s="17">
        <f>+Tabla22[[#This Row],[Global 2026]]</f>
        <v>34686047</v>
      </c>
      <c r="F225" s="19">
        <v>46244</v>
      </c>
      <c r="G225" s="17">
        <f t="shared" si="64"/>
        <v>4635857.42575958</v>
      </c>
      <c r="H225" s="17">
        <v>3547199.63364462</v>
      </c>
      <c r="I225" s="17">
        <v>1088657.79211496</v>
      </c>
      <c r="J225" s="17">
        <v>3999839</v>
      </c>
      <c r="K225" s="17">
        <f>+Tabla22[[#This Row],[Web + APP 2026]]</f>
        <v>4582140</v>
      </c>
      <c r="L225" s="17">
        <v>32970.689655172398</v>
      </c>
      <c r="M225" s="17">
        <f>+Tabla22[[#This Row],[Afiliados 2026]]</f>
        <v>47910</v>
      </c>
      <c r="N225" s="17">
        <v>56378</v>
      </c>
      <c r="O225" s="17">
        <f>+Tabla22[[#This Row],[TMK 2026]]</f>
        <v>22732</v>
      </c>
      <c r="P225" s="17">
        <v>5019</v>
      </c>
      <c r="Q225" s="17">
        <f>+Tabla22[[#This Row],[WA 2026]]</f>
        <v>9417</v>
      </c>
      <c r="R225" s="17">
        <v>135073</v>
      </c>
      <c r="S225" s="17">
        <f>+Tabla22[[#This Row],[Ent. en Tienda 2026]]</f>
        <v>120697</v>
      </c>
      <c r="T225" s="17">
        <v>700812</v>
      </c>
      <c r="U225" s="17">
        <f>+Tabla22[[#This Row],[Meli Drop 2026]]</f>
        <v>489155</v>
      </c>
      <c r="V225" s="17">
        <v>356162</v>
      </c>
      <c r="W225" s="17">
        <f>+Tabla22[[#This Row],[Meli Full 2026]]</f>
        <v>205946</v>
      </c>
      <c r="X225" s="17">
        <v>39654</v>
      </c>
      <c r="Y225" s="17">
        <f>+Tabla22[[#This Row],[Amazon Drop 2026]]</f>
        <v>44324</v>
      </c>
      <c r="Z225" s="17">
        <v>7370</v>
      </c>
      <c r="AA225" s="17">
        <f>+Tabla22[[#This Row],[Amazon Full 2026]]</f>
        <v>9798</v>
      </c>
      <c r="AB225" s="17">
        <v>0</v>
      </c>
      <c r="AC225" s="17">
        <f>+Tabla22[[#This Row],[TikTok 2026]]</f>
        <v>7778</v>
      </c>
      <c r="AD225" s="17">
        <v>0</v>
      </c>
      <c r="AE225" s="17">
        <f>+Tabla22[[#This Row],[Shein 2026]]</f>
        <v>1464</v>
      </c>
      <c r="AF225" s="17">
        <f t="shared" si="65"/>
        <v>5541361</v>
      </c>
      <c r="AG225" s="18">
        <f t="shared" si="66"/>
        <v>1.195326018701288</v>
      </c>
      <c r="AH225" s="17">
        <f t="shared" si="67"/>
        <v>905503.57424042001</v>
      </c>
      <c r="AI225" s="20">
        <f t="shared" si="68"/>
        <v>3.9016027751272331E-2</v>
      </c>
      <c r="AJ225" s="20">
        <f t="shared" si="61"/>
        <v>0.160189569803774</v>
      </c>
      <c r="AK225" s="21">
        <f t="shared" si="69"/>
        <v>0.15975763972181667</v>
      </c>
      <c r="AL225" s="21">
        <f t="shared" si="62"/>
        <v>4.1825172145262268E-2</v>
      </c>
      <c r="AO225" s="38">
        <f t="shared" si="70"/>
        <v>46244</v>
      </c>
      <c r="AP225" s="17">
        <f>Tabla2[[#This Row],[Web + APP 2025]]+Tabla2[[#This Row],[Afiliados 2025]]+Tabla2[[#This Row],[TMK 2025]]+Tabla2[[#This Row],[WA 2025]]+Tabla2[[#This Row],[Ent. en Tienda 2025]]</f>
        <v>4229279.6896551717</v>
      </c>
      <c r="AQ225" s="17">
        <f>Tabla2[[#This Row],[Meli Drop 2025]]+Tabla2[[#This Row],[Meli Full 2025]]+Tabla2[[#This Row],[Amazon Drop 2025]]+Tabla2[[#This Row],[Amazon Full 2025]]+Tabla2[[#This Row],[TikTok 2025]]+Tabla2[[#This Row],[Shein 2025]]</f>
        <v>1103998</v>
      </c>
      <c r="AR225" s="17">
        <f>Tabla2[[#This Row],[Web + APP 2026]]+Tabla2[[#This Row],[Afiliados 2026]]+Tabla2[[#This Row],[TMK 2026]]+Tabla2[[#This Row],[WA 2026]]+Tabla2[[#This Row],[Ent. en Tienda 2026]]</f>
        <v>4782896</v>
      </c>
      <c r="AS225" s="17">
        <f>Tabla2[[#This Row],[Meli Drop 2026]]+Tabla2[[#This Row],[Meli Full 2026]]+Tabla2[[#This Row],[Amazon Drop 2026]]+Tabla2[[#This Row],[Amazon Full 2026]]+Tabla2[[#This Row],[TikTok 2026]]+Tabla2[[#This Row],[Shein 2026]]</f>
        <v>758465</v>
      </c>
      <c r="AT225" s="18">
        <f>+AR225/AP225-1</f>
        <v>0.13090085096499404</v>
      </c>
      <c r="AU225" s="18">
        <f t="shared" si="71"/>
        <v>-0.31298335685390732</v>
      </c>
      <c r="AV225" s="49">
        <f t="shared" si="72"/>
        <v>3547199.63364462</v>
      </c>
      <c r="AW225" s="49">
        <f t="shared" si="72"/>
        <v>1088657.79211496</v>
      </c>
      <c r="AX225" s="39">
        <f t="shared" si="73"/>
        <v>1.3483582808914949</v>
      </c>
      <c r="AY225" s="39">
        <f t="shared" si="73"/>
        <v>0.69669735108083231</v>
      </c>
      <c r="AZ225" s="39">
        <f t="shared" si="74"/>
        <v>1.195326018701288</v>
      </c>
      <c r="BA225" s="18">
        <v>2.6232717882288099E-2</v>
      </c>
      <c r="BB225" s="20">
        <v>2.3561825258792801E-2</v>
      </c>
      <c r="BC225" s="17">
        <f t="shared" si="76"/>
        <v>1235696.36635538</v>
      </c>
      <c r="BD225" s="17">
        <f t="shared" si="76"/>
        <v>-330192.79211496003</v>
      </c>
      <c r="BE225" s="17">
        <f t="shared" si="77"/>
        <v>553616.31034482829</v>
      </c>
      <c r="BF225" s="17">
        <f t="shared" si="77"/>
        <v>-345533</v>
      </c>
    </row>
    <row r="226" spans="1:58" ht="14.25" customHeight="1" x14ac:dyDescent="0.35">
      <c r="A226" s="16">
        <v>45881</v>
      </c>
      <c r="B226" s="17">
        <v>36360304</v>
      </c>
      <c r="C226" s="17">
        <f t="shared" si="63"/>
        <v>5661373.8620689651</v>
      </c>
      <c r="D226" s="18">
        <f>+Tabla22[[#This Row],[Share diario]]</f>
        <v>3.6733776204413184E-2</v>
      </c>
      <c r="E226" s="17">
        <f>+Tabla22[[#This Row],[Global 2026]]</f>
        <v>39106187</v>
      </c>
      <c r="F226" s="19">
        <v>46245</v>
      </c>
      <c r="G226" s="17">
        <f t="shared" si="64"/>
        <v>7057070.1327542793</v>
      </c>
      <c r="H226" s="17">
        <v>5499826.4207687099</v>
      </c>
      <c r="I226" s="17">
        <v>1557243.7119855699</v>
      </c>
      <c r="J226" s="17">
        <v>4225069</v>
      </c>
      <c r="K226" s="17">
        <f>+Tabla22[[#This Row],[Web + APP 2026]]</f>
        <v>4741330</v>
      </c>
      <c r="L226" s="17">
        <v>32825.8620689655</v>
      </c>
      <c r="M226" s="17">
        <f>+Tabla22[[#This Row],[Afiliados 2026]]</f>
        <v>54809</v>
      </c>
      <c r="N226" s="17">
        <v>72043</v>
      </c>
      <c r="O226" s="17">
        <f>+Tabla22[[#This Row],[TMK 2026]]</f>
        <v>44133</v>
      </c>
      <c r="P226" s="17">
        <v>15704</v>
      </c>
      <c r="Q226" s="17">
        <f>+Tabla22[[#This Row],[WA 2026]]</f>
        <v>4828</v>
      </c>
      <c r="R226" s="17">
        <v>97751</v>
      </c>
      <c r="S226" s="17">
        <f>+Tabla22[[#This Row],[Ent. en Tienda 2026]]</f>
        <v>136695</v>
      </c>
      <c r="T226" s="17">
        <v>651028</v>
      </c>
      <c r="U226" s="17">
        <f>+Tabla22[[#This Row],[Meli Drop 2026]]</f>
        <v>425261</v>
      </c>
      <c r="V226" s="17">
        <v>527190</v>
      </c>
      <c r="W226" s="17">
        <f>+Tabla22[[#This Row],[Meli Full 2026]]</f>
        <v>184068</v>
      </c>
      <c r="X226" s="17">
        <v>34217</v>
      </c>
      <c r="Y226" s="17">
        <f>+Tabla22[[#This Row],[Amazon Drop 2026]]</f>
        <v>28255</v>
      </c>
      <c r="Z226" s="17">
        <v>5546</v>
      </c>
      <c r="AA226" s="17">
        <f>+Tabla22[[#This Row],[Amazon Full 2026]]</f>
        <v>12530</v>
      </c>
      <c r="AB226" s="17">
        <v>0</v>
      </c>
      <c r="AC226" s="17">
        <f>+Tabla22[[#This Row],[TikTok 2026]]</f>
        <v>14828</v>
      </c>
      <c r="AD226" s="17">
        <v>0</v>
      </c>
      <c r="AE226" s="17">
        <f>+Tabla22[[#This Row],[Shein 2026]]</f>
        <v>6805</v>
      </c>
      <c r="AF226" s="17">
        <f t="shared" si="65"/>
        <v>5653542</v>
      </c>
      <c r="AG226" s="18">
        <f t="shared" si="66"/>
        <v>0.80111744585900813</v>
      </c>
      <c r="AH226" s="17">
        <f t="shared" si="67"/>
        <v>-1403528.1327542793</v>
      </c>
      <c r="AI226" s="20">
        <f t="shared" si="68"/>
        <v>-1.3833854219447161E-3</v>
      </c>
      <c r="AJ226" s="20">
        <f t="shared" si="61"/>
        <v>0.15570204974273497</v>
      </c>
      <c r="AK226" s="21">
        <f t="shared" si="69"/>
        <v>0.14456899109084709</v>
      </c>
      <c r="AL226" s="21">
        <f t="shared" si="62"/>
        <v>7.5518703033945922E-2</v>
      </c>
      <c r="AO226" s="38">
        <f t="shared" si="70"/>
        <v>46245</v>
      </c>
      <c r="AP226" s="17">
        <f>Tabla2[[#This Row],[Web + APP 2025]]+Tabla2[[#This Row],[Afiliados 2025]]+Tabla2[[#This Row],[TMK 2025]]+Tabla2[[#This Row],[WA 2025]]+Tabla2[[#This Row],[Ent. en Tienda 2025]]</f>
        <v>4443392.8620689651</v>
      </c>
      <c r="AQ226" s="17">
        <f>Tabla2[[#This Row],[Meli Drop 2025]]+Tabla2[[#This Row],[Meli Full 2025]]+Tabla2[[#This Row],[Amazon Drop 2025]]+Tabla2[[#This Row],[Amazon Full 2025]]+Tabla2[[#This Row],[TikTok 2025]]+Tabla2[[#This Row],[Shein 2025]]</f>
        <v>1217981</v>
      </c>
      <c r="AR226" s="17">
        <f>Tabla2[[#This Row],[Web + APP 2026]]+Tabla2[[#This Row],[Afiliados 2026]]+Tabla2[[#This Row],[TMK 2026]]+Tabla2[[#This Row],[WA 2026]]+Tabla2[[#This Row],[Ent. en Tienda 2026]]</f>
        <v>4981795</v>
      </c>
      <c r="AS226" s="17">
        <f>Tabla2[[#This Row],[Meli Drop 2026]]+Tabla2[[#This Row],[Meli Full 2026]]+Tabla2[[#This Row],[Amazon Drop 2026]]+Tabla2[[#This Row],[Amazon Full 2026]]+Tabla2[[#This Row],[TikTok 2026]]+Tabla2[[#This Row],[Shein 2026]]</f>
        <v>671747</v>
      </c>
      <c r="AT226" s="18">
        <f t="shared" si="71"/>
        <v>0.12116915038665743</v>
      </c>
      <c r="AU226" s="18">
        <f t="shared" si="71"/>
        <v>-0.44847497621063059</v>
      </c>
      <c r="AV226" s="49">
        <f t="shared" si="72"/>
        <v>5499826.4207687099</v>
      </c>
      <c r="AW226" s="49">
        <f t="shared" si="72"/>
        <v>1557243.7119855699</v>
      </c>
      <c r="AX226" s="39">
        <f t="shared" si="73"/>
        <v>0.9058094963120118</v>
      </c>
      <c r="AY226" s="39">
        <f t="shared" si="73"/>
        <v>0.43136921653932142</v>
      </c>
      <c r="AZ226" s="39">
        <f t="shared" si="74"/>
        <v>0.80111744585900813</v>
      </c>
      <c r="BA226" s="18">
        <v>3.7523944867122197E-2</v>
      </c>
      <c r="BB226" s="20">
        <v>3.6531901912354198E-2</v>
      </c>
      <c r="BC226" s="17">
        <f t="shared" si="76"/>
        <v>-518031.42076870985</v>
      </c>
      <c r="BD226" s="17">
        <f t="shared" si="76"/>
        <v>-885496.71198556991</v>
      </c>
      <c r="BE226" s="17">
        <f t="shared" si="77"/>
        <v>538402.1379310349</v>
      </c>
      <c r="BF226" s="17">
        <f t="shared" si="77"/>
        <v>-546234</v>
      </c>
    </row>
    <row r="227" spans="1:58" ht="14.25" customHeight="1" x14ac:dyDescent="0.35">
      <c r="A227" s="19">
        <v>45882</v>
      </c>
      <c r="B227" s="17">
        <v>39197019</v>
      </c>
      <c r="C227" s="17">
        <f t="shared" si="63"/>
        <v>5613852.4482758623</v>
      </c>
      <c r="D227" s="18">
        <f>+Tabla22[[#This Row],[Share diario]]</f>
        <v>3.8993589413530386E-2</v>
      </c>
      <c r="E227" s="17">
        <f>+Tabla22[[#This Row],[Global 2026]]</f>
        <v>41672796</v>
      </c>
      <c r="F227" s="19">
        <v>46246</v>
      </c>
      <c r="G227" s="17">
        <f t="shared" si="64"/>
        <v>7496285.1541164294</v>
      </c>
      <c r="H227" s="17">
        <v>5778262.7903368799</v>
      </c>
      <c r="I227" s="17">
        <v>1718022.36377955</v>
      </c>
      <c r="J227" s="17">
        <v>4089143</v>
      </c>
      <c r="K227" s="17">
        <f>+Tabla22[[#This Row],[Web + APP 2026]]</f>
        <v>4494722</v>
      </c>
      <c r="L227" s="17">
        <v>34528.448275862</v>
      </c>
      <c r="M227" s="17">
        <f>+Tabla22[[#This Row],[Afiliados 2026]]</f>
        <v>58059</v>
      </c>
      <c r="N227" s="17">
        <v>43939</v>
      </c>
      <c r="O227" s="17">
        <f>+Tabla22[[#This Row],[TMK 2026]]</f>
        <v>50719</v>
      </c>
      <c r="P227" s="17">
        <v>4540</v>
      </c>
      <c r="Q227" s="17">
        <f>+Tabla22[[#This Row],[WA 2026]]</f>
        <v>6868</v>
      </c>
      <c r="R227" s="17">
        <v>176005</v>
      </c>
      <c r="S227" s="17">
        <f>+Tabla22[[#This Row],[Ent. en Tienda 2026]]</f>
        <v>135678</v>
      </c>
      <c r="T227" s="17">
        <v>668270</v>
      </c>
      <c r="U227" s="17">
        <f>+Tabla22[[#This Row],[Meli Drop 2026]]</f>
        <v>452304</v>
      </c>
      <c r="V227" s="17">
        <v>554038</v>
      </c>
      <c r="W227" s="17">
        <f>+Tabla22[[#This Row],[Meli Full 2026]]</f>
        <v>214357</v>
      </c>
      <c r="X227" s="17">
        <v>35960</v>
      </c>
      <c r="Y227" s="17">
        <f>+Tabla22[[#This Row],[Amazon Drop 2026]]</f>
        <v>33975</v>
      </c>
      <c r="Z227" s="17">
        <v>7429</v>
      </c>
      <c r="AA227" s="17">
        <f>+Tabla22[[#This Row],[Amazon Full 2026]]</f>
        <v>9612</v>
      </c>
      <c r="AB227" s="17">
        <v>0</v>
      </c>
      <c r="AC227" s="17">
        <f>+Tabla22[[#This Row],[TikTok 2026]]</f>
        <v>10923</v>
      </c>
      <c r="AD227" s="17">
        <v>0</v>
      </c>
      <c r="AE227" s="17">
        <f>+Tabla22[[#This Row],[Shein 2026]]</f>
        <v>3591</v>
      </c>
      <c r="AF227" s="17">
        <f t="shared" si="65"/>
        <v>5470808</v>
      </c>
      <c r="AG227" s="18">
        <f t="shared" si="66"/>
        <v>0.72980254719843729</v>
      </c>
      <c r="AH227" s="17">
        <f t="shared" si="67"/>
        <v>-2025477.1541164294</v>
      </c>
      <c r="AI227" s="20">
        <f t="shared" si="68"/>
        <v>-2.548062130129447E-2</v>
      </c>
      <c r="AJ227" s="20">
        <f t="shared" si="61"/>
        <v>0.14322141304357514</v>
      </c>
      <c r="AK227" s="21">
        <f t="shared" si="69"/>
        <v>0.13128008017508591</v>
      </c>
      <c r="AL227" s="21">
        <f t="shared" si="62"/>
        <v>6.316237977178818E-2</v>
      </c>
      <c r="AO227" s="38">
        <f t="shared" si="70"/>
        <v>46246</v>
      </c>
      <c r="AP227" s="17">
        <f>Tabla2[[#This Row],[Web + APP 2025]]+Tabla2[[#This Row],[Afiliados 2025]]+Tabla2[[#This Row],[TMK 2025]]+Tabla2[[#This Row],[WA 2025]]+Tabla2[[#This Row],[Ent. en Tienda 2025]]</f>
        <v>4348155.4482758623</v>
      </c>
      <c r="AQ227" s="17">
        <f>Tabla2[[#This Row],[Meli Drop 2025]]+Tabla2[[#This Row],[Meli Full 2025]]+Tabla2[[#This Row],[Amazon Drop 2025]]+Tabla2[[#This Row],[Amazon Full 2025]]+Tabla2[[#This Row],[TikTok 2025]]+Tabla2[[#This Row],[Shein 2025]]</f>
        <v>1265697</v>
      </c>
      <c r="AR227" s="17">
        <f>Tabla2[[#This Row],[Web + APP 2026]]+Tabla2[[#This Row],[Afiliados 2026]]+Tabla2[[#This Row],[TMK 2026]]+Tabla2[[#This Row],[WA 2026]]+Tabla2[[#This Row],[Ent. en Tienda 2026]]</f>
        <v>4746046</v>
      </c>
      <c r="AS227" s="17">
        <f>Tabla2[[#This Row],[Meli Drop 2026]]+Tabla2[[#This Row],[Meli Full 2026]]+Tabla2[[#This Row],[Amazon Drop 2026]]+Tabla2[[#This Row],[Amazon Full 2026]]+Tabla2[[#This Row],[TikTok 2026]]+Tabla2[[#This Row],[Shein 2026]]</f>
        <v>724762</v>
      </c>
      <c r="AT227" s="18">
        <f t="shared" si="71"/>
        <v>9.1507894889523822E-2</v>
      </c>
      <c r="AU227" s="18">
        <f t="shared" si="71"/>
        <v>-0.42738111886178132</v>
      </c>
      <c r="AV227" s="49">
        <f t="shared" si="72"/>
        <v>5778262.7903368799</v>
      </c>
      <c r="AW227" s="49">
        <f t="shared" si="72"/>
        <v>1718022.36377955</v>
      </c>
      <c r="AX227" s="39">
        <f t="shared" si="73"/>
        <v>0.82136208964689539</v>
      </c>
      <c r="AY227" s="39">
        <f t="shared" si="73"/>
        <v>0.42185830364021892</v>
      </c>
      <c r="AZ227" s="39">
        <f t="shared" si="74"/>
        <v>0.72980254719843729</v>
      </c>
      <c r="BA227" s="18">
        <v>4.1398129247699998E-2</v>
      </c>
      <c r="BB227" s="20">
        <v>3.8381380307433197E-2</v>
      </c>
      <c r="BC227" s="17">
        <f t="shared" ref="BC227:BC233" si="78">+AR227-AV227</f>
        <v>-1032216.7903368799</v>
      </c>
      <c r="BD227" s="17">
        <f t="shared" ref="BD227:BD233" si="79">+AS227-AW227</f>
        <v>-993260.36377954995</v>
      </c>
      <c r="BE227" s="17">
        <f t="shared" ref="BE227:BE233" si="80">AR227-AP227</f>
        <v>397890.55172413774</v>
      </c>
      <c r="BF227" s="17">
        <f t="shared" ref="BF227:BF233" si="81">AS227-AQ227</f>
        <v>-540935</v>
      </c>
    </row>
    <row r="228" spans="1:58" ht="14.25" customHeight="1" x14ac:dyDescent="0.35">
      <c r="A228" s="16">
        <v>45883</v>
      </c>
      <c r="B228" s="17">
        <v>44165103</v>
      </c>
      <c r="C228" s="17">
        <f t="shared" si="63"/>
        <v>4652571.6551724132</v>
      </c>
      <c r="D228" s="18">
        <f>+Tabla22[[#This Row],[Share diario]]</f>
        <v>3.8643177120503212E-2</v>
      </c>
      <c r="E228" s="17">
        <f>+Tabla22[[#This Row],[Global 2026]]</f>
        <v>45632674</v>
      </c>
      <c r="F228" s="19">
        <v>46247</v>
      </c>
      <c r="G228" s="17">
        <f t="shared" si="64"/>
        <v>7439742.5948454794</v>
      </c>
      <c r="H228" s="17">
        <v>5654414.4560906999</v>
      </c>
      <c r="I228" s="17">
        <v>1785328.1387547799</v>
      </c>
      <c r="J228" s="17">
        <v>3070125</v>
      </c>
      <c r="K228" s="17">
        <f>+Tabla22[[#This Row],[Web + APP 2026]]</f>
        <v>3681443</v>
      </c>
      <c r="L228" s="17">
        <v>38764.655172413797</v>
      </c>
      <c r="M228" s="17">
        <f>+Tabla22[[#This Row],[Afiliados 2026]]</f>
        <v>51171</v>
      </c>
      <c r="N228" s="17">
        <v>46072</v>
      </c>
      <c r="O228" s="17">
        <f>+Tabla22[[#This Row],[TMK 2026]]</f>
        <v>38856</v>
      </c>
      <c r="P228" s="17">
        <v>4716</v>
      </c>
      <c r="Q228" s="17">
        <f>+Tabla22[[#This Row],[WA 2026]]</f>
        <v>15603</v>
      </c>
      <c r="R228" s="17">
        <v>195600</v>
      </c>
      <c r="S228" s="17">
        <f>+Tabla22[[#This Row],[Ent. en Tienda 2026]]</f>
        <v>100446</v>
      </c>
      <c r="T228" s="17">
        <v>651924</v>
      </c>
      <c r="U228" s="17">
        <f>+Tabla22[[#This Row],[Meli Drop 2026]]</f>
        <v>469013</v>
      </c>
      <c r="V228" s="17">
        <v>601203</v>
      </c>
      <c r="W228" s="17">
        <f>+Tabla22[[#This Row],[Meli Full 2026]]</f>
        <v>191108</v>
      </c>
      <c r="X228" s="17">
        <v>40376</v>
      </c>
      <c r="Y228" s="17">
        <f>+Tabla22[[#This Row],[Amazon Drop 2026]]</f>
        <v>37897</v>
      </c>
      <c r="Z228" s="17">
        <v>3791</v>
      </c>
      <c r="AA228" s="17">
        <f>+Tabla22[[#This Row],[Amazon Full 2026]]</f>
        <v>13748</v>
      </c>
      <c r="AB228" s="17">
        <v>0</v>
      </c>
      <c r="AC228" s="17">
        <f>+Tabla22[[#This Row],[TikTok 2026]]</f>
        <v>6868</v>
      </c>
      <c r="AD228" s="17">
        <v>0</v>
      </c>
      <c r="AE228" s="17">
        <f>+Tabla22[[#This Row],[Shein 2026]]</f>
        <v>2756</v>
      </c>
      <c r="AF228" s="17">
        <f t="shared" si="65"/>
        <v>4608909</v>
      </c>
      <c r="AG228" s="18">
        <f t="shared" si="66"/>
        <v>0.61949844920618857</v>
      </c>
      <c r="AH228" s="17">
        <f t="shared" si="67"/>
        <v>-2830833.5948454794</v>
      </c>
      <c r="AI228" s="20">
        <f t="shared" si="68"/>
        <v>-9.3846282031727624E-3</v>
      </c>
      <c r="AJ228" s="20">
        <f t="shared" si="61"/>
        <v>0.10534497463240182</v>
      </c>
      <c r="AK228" s="21">
        <f t="shared" si="69"/>
        <v>0.10100019560545587</v>
      </c>
      <c r="AL228" s="21">
        <f t="shared" si="62"/>
        <v>3.3229199080549998E-2</v>
      </c>
      <c r="AO228" s="38">
        <f t="shared" si="70"/>
        <v>46247</v>
      </c>
      <c r="AP228" s="17">
        <f>Tabla2[[#This Row],[Web + APP 2025]]+Tabla2[[#This Row],[Afiliados 2025]]+Tabla2[[#This Row],[TMK 2025]]+Tabla2[[#This Row],[WA 2025]]+Tabla2[[#This Row],[Ent. en Tienda 2025]]</f>
        <v>3355277.6551724137</v>
      </c>
      <c r="AQ228" s="17">
        <f>Tabla2[[#This Row],[Meli Drop 2025]]+Tabla2[[#This Row],[Meli Full 2025]]+Tabla2[[#This Row],[Amazon Drop 2025]]+Tabla2[[#This Row],[Amazon Full 2025]]+Tabla2[[#This Row],[TikTok 2025]]+Tabla2[[#This Row],[Shein 2025]]</f>
        <v>1297294</v>
      </c>
      <c r="AR228" s="17">
        <f>Tabla2[[#This Row],[Web + APP 2026]]+Tabla2[[#This Row],[Afiliados 2026]]+Tabla2[[#This Row],[TMK 2026]]+Tabla2[[#This Row],[WA 2026]]+Tabla2[[#This Row],[Ent. en Tienda 2026]]</f>
        <v>3887519</v>
      </c>
      <c r="AS228" s="17">
        <f>Tabla2[[#This Row],[Meli Drop 2026]]+Tabla2[[#This Row],[Meli Full 2026]]+Tabla2[[#This Row],[Amazon Drop 2026]]+Tabla2[[#This Row],[Amazon Full 2026]]+Tabla2[[#This Row],[TikTok 2026]]+Tabla2[[#This Row],[Shein 2026]]</f>
        <v>721390</v>
      </c>
      <c r="AT228" s="18">
        <f t="shared" si="71"/>
        <v>0.15862810757467294</v>
      </c>
      <c r="AU228" s="18">
        <f t="shared" si="71"/>
        <v>-0.44392712831478442</v>
      </c>
      <c r="AV228" s="49">
        <f t="shared" si="72"/>
        <v>5654414.4560906999</v>
      </c>
      <c r="AW228" s="49">
        <f t="shared" si="72"/>
        <v>1785328.1387547799</v>
      </c>
      <c r="AX228" s="39">
        <f t="shared" si="73"/>
        <v>0.68751928783934935</v>
      </c>
      <c r="AY228" s="39">
        <f t="shared" si="73"/>
        <v>0.40406577611169608</v>
      </c>
      <c r="AZ228" s="39">
        <f t="shared" si="74"/>
        <v>0.61949844920618857</v>
      </c>
      <c r="BA228" s="18">
        <v>4.3019955150717597E-2</v>
      </c>
      <c r="BB228" s="20">
        <v>3.7558733399595402E-2</v>
      </c>
      <c r="BC228" s="17">
        <f t="shared" si="78"/>
        <v>-1766895.4560906999</v>
      </c>
      <c r="BD228" s="17">
        <f t="shared" si="79"/>
        <v>-1063938.1387547799</v>
      </c>
      <c r="BE228" s="17">
        <f t="shared" si="80"/>
        <v>532241.34482758632</v>
      </c>
      <c r="BF228" s="17">
        <f t="shared" si="81"/>
        <v>-575904</v>
      </c>
    </row>
    <row r="229" spans="1:58" ht="14.25" customHeight="1" x14ac:dyDescent="0.35">
      <c r="A229" s="19">
        <v>45884</v>
      </c>
      <c r="B229" s="17">
        <v>44038774</v>
      </c>
      <c r="C229" s="17">
        <f t="shared" si="63"/>
        <v>3229228.931034483</v>
      </c>
      <c r="D229" s="18">
        <f>+Tabla22[[#This Row],[Share diario]]</f>
        <v>3.2045307951544102E-2</v>
      </c>
      <c r="E229" s="17">
        <f>+Tabla22[[#This Row],[Global 2026]]</f>
        <v>47566437</v>
      </c>
      <c r="F229" s="19">
        <v>46248</v>
      </c>
      <c r="G229" s="17">
        <f t="shared" si="64"/>
        <v>6193156.7474197801</v>
      </c>
      <c r="H229" s="17">
        <v>4363259.4794024397</v>
      </c>
      <c r="I229" s="17">
        <v>1829897.26801734</v>
      </c>
      <c r="J229" s="17">
        <v>2011046</v>
      </c>
      <c r="K229" s="17">
        <f>+Tabla22[[#This Row],[Web + APP 2026]]</f>
        <v>3263047</v>
      </c>
      <c r="L229" s="17">
        <v>34462.931034482703</v>
      </c>
      <c r="M229" s="17">
        <f>+Tabla22[[#This Row],[Afiliados 2026]]</f>
        <v>53656</v>
      </c>
      <c r="N229" s="17">
        <v>24847</v>
      </c>
      <c r="O229" s="17">
        <f>+Tabla22[[#This Row],[TMK 2026]]</f>
        <v>30164</v>
      </c>
      <c r="P229" s="17">
        <v>5456</v>
      </c>
      <c r="Q229" s="17">
        <f>+Tabla22[[#This Row],[WA 2026]]</f>
        <v>15984</v>
      </c>
      <c r="R229" s="17">
        <v>178158</v>
      </c>
      <c r="S229" s="17">
        <f>+Tabla22[[#This Row],[Ent. en Tienda 2026]]</f>
        <v>120703</v>
      </c>
      <c r="T229" s="17">
        <v>507359</v>
      </c>
      <c r="U229" s="17">
        <f>+Tabla22[[#This Row],[Meli Drop 2026]]</f>
        <v>516985</v>
      </c>
      <c r="V229" s="17">
        <v>433481</v>
      </c>
      <c r="W229" s="17">
        <f>+Tabla22[[#This Row],[Meli Full 2026]]</f>
        <v>216650</v>
      </c>
      <c r="X229" s="17">
        <v>26228</v>
      </c>
      <c r="Y229" s="17">
        <f>+Tabla22[[#This Row],[Amazon Drop 2026]]</f>
        <v>33945</v>
      </c>
      <c r="Z229" s="17">
        <v>8191</v>
      </c>
      <c r="AA229" s="17">
        <f>+Tabla22[[#This Row],[Amazon Full 2026]]</f>
        <v>10550</v>
      </c>
      <c r="AB229" s="17">
        <v>0</v>
      </c>
      <c r="AC229" s="17">
        <f>+Tabla22[[#This Row],[TikTok 2026]]</f>
        <v>10464</v>
      </c>
      <c r="AD229" s="17">
        <v>0</v>
      </c>
      <c r="AE229" s="17">
        <f>+Tabla22[[#This Row],[Shein 2026]]</f>
        <v>1903</v>
      </c>
      <c r="AF229" s="17">
        <f t="shared" si="65"/>
        <v>4274051</v>
      </c>
      <c r="AG229" s="18">
        <f t="shared" si="66"/>
        <v>0.69012479004034144</v>
      </c>
      <c r="AH229" s="17">
        <f t="shared" si="67"/>
        <v>-1919105.7474197801</v>
      </c>
      <c r="AI229" s="20">
        <f t="shared" si="68"/>
        <v>0.32355156332344892</v>
      </c>
      <c r="AJ229" s="20">
        <f t="shared" si="61"/>
        <v>7.3326948907217152E-2</v>
      </c>
      <c r="AK229" s="21">
        <f t="shared" si="69"/>
        <v>8.9854344146062484E-2</v>
      </c>
      <c r="AL229" s="21">
        <f t="shared" si="62"/>
        <v>8.0103569640698868E-2</v>
      </c>
      <c r="AO229" s="38">
        <f t="shared" si="70"/>
        <v>46248</v>
      </c>
      <c r="AP229" s="17">
        <f>Tabla2[[#This Row],[Web + APP 2025]]+Tabla2[[#This Row],[Afiliados 2025]]+Tabla2[[#This Row],[TMK 2025]]+Tabla2[[#This Row],[WA 2025]]+Tabla2[[#This Row],[Ent. en Tienda 2025]]</f>
        <v>2253969.931034483</v>
      </c>
      <c r="AQ229" s="17">
        <f>Tabla2[[#This Row],[Meli Drop 2025]]+Tabla2[[#This Row],[Meli Full 2025]]+Tabla2[[#This Row],[Amazon Drop 2025]]+Tabla2[[#This Row],[Amazon Full 2025]]+Tabla2[[#This Row],[TikTok 2025]]+Tabla2[[#This Row],[Shein 2025]]</f>
        <v>975259</v>
      </c>
      <c r="AR229" s="17">
        <f>Tabla2[[#This Row],[Web + APP 2026]]+Tabla2[[#This Row],[Afiliados 2026]]+Tabla2[[#This Row],[TMK 2026]]+Tabla2[[#This Row],[WA 2026]]+Tabla2[[#This Row],[Ent. en Tienda 2026]]</f>
        <v>3483554</v>
      </c>
      <c r="AS229" s="17">
        <f>Tabla2[[#This Row],[Meli Drop 2026]]+Tabla2[[#This Row],[Meli Full 2026]]+Tabla2[[#This Row],[Amazon Drop 2026]]+Tabla2[[#This Row],[Amazon Full 2026]]+Tabla2[[#This Row],[TikTok 2026]]+Tabla2[[#This Row],[Shein 2026]]</f>
        <v>790497</v>
      </c>
      <c r="AT229" s="18">
        <f t="shared" si="71"/>
        <v>0.54551928667530469</v>
      </c>
      <c r="AU229" s="18">
        <f t="shared" si="71"/>
        <v>-0.1894491617098637</v>
      </c>
      <c r="AV229" s="49">
        <f t="shared" si="72"/>
        <v>4363259.4794024397</v>
      </c>
      <c r="AW229" s="49">
        <f t="shared" si="72"/>
        <v>1829897.26801734</v>
      </c>
      <c r="AX229" s="39">
        <f t="shared" si="73"/>
        <v>0.79838341415282554</v>
      </c>
      <c r="AY229" s="39">
        <f t="shared" si="73"/>
        <v>0.43198982468370423</v>
      </c>
      <c r="AZ229" s="39">
        <f t="shared" si="74"/>
        <v>0.69012479004034144</v>
      </c>
      <c r="BA229" s="18">
        <v>4.4093910072707E-2</v>
      </c>
      <c r="BB229" s="20">
        <v>2.89823996476966E-2</v>
      </c>
      <c r="BC229" s="17">
        <f t="shared" si="78"/>
        <v>-879705.47940243967</v>
      </c>
      <c r="BD229" s="17">
        <f t="shared" si="79"/>
        <v>-1039400.26801734</v>
      </c>
      <c r="BE229" s="17">
        <f t="shared" si="80"/>
        <v>1229584.068965517</v>
      </c>
      <c r="BF229" s="17">
        <f t="shared" si="81"/>
        <v>-184762</v>
      </c>
    </row>
    <row r="230" spans="1:58" ht="14.25" customHeight="1" x14ac:dyDescent="0.35">
      <c r="A230" s="16">
        <v>45885</v>
      </c>
      <c r="B230" s="17">
        <v>60948845</v>
      </c>
      <c r="C230" s="17">
        <f t="shared" si="63"/>
        <v>4888870.137931034</v>
      </c>
      <c r="D230" s="18">
        <f>+Tabla22[[#This Row],[Share diario]]</f>
        <v>2.2241814465338055E-2</v>
      </c>
      <c r="E230" s="17">
        <f>+Tabla22[[#This Row],[Global 2026]]</f>
        <v>61569045</v>
      </c>
      <c r="F230" s="19">
        <v>46249</v>
      </c>
      <c r="G230" s="17">
        <f t="shared" si="64"/>
        <v>4306751.3905300098</v>
      </c>
      <c r="H230" s="17">
        <v>2931100.39722447</v>
      </c>
      <c r="I230" s="17">
        <v>1375650.9933055399</v>
      </c>
      <c r="J230" s="17">
        <v>3412516</v>
      </c>
      <c r="K230" s="17">
        <f>+Tabla22[[#This Row],[Web + APP 2026]]</f>
        <v>3131893</v>
      </c>
      <c r="L230" s="17">
        <v>47499.1379310345</v>
      </c>
      <c r="M230" s="17">
        <f>+Tabla22[[#This Row],[Afiliados 2026]]</f>
        <v>62359</v>
      </c>
      <c r="N230" s="17">
        <v>28829</v>
      </c>
      <c r="O230" s="17">
        <f>+Tabla22[[#This Row],[TMK 2026]]</f>
        <v>-4461</v>
      </c>
      <c r="P230" s="17">
        <v>2060</v>
      </c>
      <c r="Q230" s="17">
        <f>+Tabla22[[#This Row],[WA 2026]]</f>
        <v>3375</v>
      </c>
      <c r="R230" s="17">
        <v>162266</v>
      </c>
      <c r="S230" s="17">
        <f>+Tabla22[[#This Row],[Ent. en Tienda 2026]]</f>
        <v>200572</v>
      </c>
      <c r="T230" s="17">
        <v>782613</v>
      </c>
      <c r="U230" s="17">
        <f>+Tabla22[[#This Row],[Meli Drop 2026]]</f>
        <v>493567</v>
      </c>
      <c r="V230" s="17">
        <v>397386</v>
      </c>
      <c r="W230" s="17">
        <f>+Tabla22[[#This Row],[Meli Full 2026]]</f>
        <v>253687</v>
      </c>
      <c r="X230" s="17">
        <v>46230</v>
      </c>
      <c r="Y230" s="17">
        <f>+Tabla22[[#This Row],[Amazon Drop 2026]]</f>
        <v>29680</v>
      </c>
      <c r="Z230" s="17">
        <v>9471</v>
      </c>
      <c r="AA230" s="17">
        <f>+Tabla22[[#This Row],[Amazon Full 2026]]</f>
        <v>7085</v>
      </c>
      <c r="AB230" s="17">
        <v>0</v>
      </c>
      <c r="AC230" s="17">
        <f>+Tabla22[[#This Row],[TikTok 2026]]</f>
        <v>10393</v>
      </c>
      <c r="AD230" s="17">
        <v>0</v>
      </c>
      <c r="AE230" s="17">
        <f>+Tabla22[[#This Row],[Shein 2026]]</f>
        <v>6245</v>
      </c>
      <c r="AF230" s="17">
        <f t="shared" si="65"/>
        <v>4194395</v>
      </c>
      <c r="AG230" s="18">
        <f t="shared" si="66"/>
        <v>0.97391156806100609</v>
      </c>
      <c r="AH230" s="17">
        <f t="shared" si="67"/>
        <v>-112356.39053000975</v>
      </c>
      <c r="AI230" s="20">
        <f t="shared" si="68"/>
        <v>-0.14205227758922134</v>
      </c>
      <c r="AJ230" s="20">
        <f t="shared" si="61"/>
        <v>8.0212678975803961E-2</v>
      </c>
      <c r="AK230" s="21">
        <f t="shared" si="69"/>
        <v>6.8125061871594728E-2</v>
      </c>
      <c r="AL230" s="21">
        <f t="shared" si="62"/>
        <v>1.0175746562547605E-2</v>
      </c>
      <c r="AO230" s="38">
        <f t="shared" si="70"/>
        <v>46249</v>
      </c>
      <c r="AP230" s="17">
        <f>Tabla2[[#This Row],[Web + APP 2025]]+Tabla2[[#This Row],[Afiliados 2025]]+Tabla2[[#This Row],[TMK 2025]]+Tabla2[[#This Row],[WA 2025]]+Tabla2[[#This Row],[Ent. en Tienda 2025]]</f>
        <v>3653170.1379310344</v>
      </c>
      <c r="AQ230" s="17">
        <f>Tabla2[[#This Row],[Meli Drop 2025]]+Tabla2[[#This Row],[Meli Full 2025]]+Tabla2[[#This Row],[Amazon Drop 2025]]+Tabla2[[#This Row],[Amazon Full 2025]]+Tabla2[[#This Row],[TikTok 2025]]+Tabla2[[#This Row],[Shein 2025]]</f>
        <v>1235700</v>
      </c>
      <c r="AR230" s="17">
        <f>Tabla2[[#This Row],[Web + APP 2026]]+Tabla2[[#This Row],[Afiliados 2026]]+Tabla2[[#This Row],[TMK 2026]]+Tabla2[[#This Row],[WA 2026]]+Tabla2[[#This Row],[Ent. en Tienda 2026]]</f>
        <v>3393738</v>
      </c>
      <c r="AS230" s="17">
        <f>Tabla2[[#This Row],[Meli Drop 2026]]+Tabla2[[#This Row],[Meli Full 2026]]+Tabla2[[#This Row],[Amazon Drop 2026]]+Tabla2[[#This Row],[Amazon Full 2026]]+Tabla2[[#This Row],[TikTok 2026]]+Tabla2[[#This Row],[Shein 2026]]</f>
        <v>800657</v>
      </c>
      <c r="AT230" s="18">
        <f t="shared" si="71"/>
        <v>-7.1015618801144376E-2</v>
      </c>
      <c r="AU230" s="18">
        <f t="shared" si="71"/>
        <v>-0.352061989155944</v>
      </c>
      <c r="AV230" s="49">
        <f t="shared" si="72"/>
        <v>2931100.39722447</v>
      </c>
      <c r="AW230" s="49">
        <f t="shared" si="72"/>
        <v>1375650.9933055399</v>
      </c>
      <c r="AX230" s="39">
        <f t="shared" si="73"/>
        <v>1.1578375149529552</v>
      </c>
      <c r="AY230" s="39">
        <f t="shared" si="73"/>
        <v>0.58202044260958097</v>
      </c>
      <c r="AZ230" s="39">
        <f t="shared" si="74"/>
        <v>0.97391156806100609</v>
      </c>
      <c r="BA230" s="18">
        <v>3.3148216706157703E-2</v>
      </c>
      <c r="BB230" s="20">
        <v>1.9469463945682199E-2</v>
      </c>
      <c r="BC230" s="17">
        <f t="shared" si="78"/>
        <v>462637.60277552996</v>
      </c>
      <c r="BD230" s="17">
        <f t="shared" si="79"/>
        <v>-574993.99330553995</v>
      </c>
      <c r="BE230" s="17">
        <f t="shared" si="80"/>
        <v>-259432.13793103443</v>
      </c>
      <c r="BF230" s="17">
        <f t="shared" si="81"/>
        <v>-435043</v>
      </c>
    </row>
    <row r="231" spans="1:58" ht="14.25" customHeight="1" x14ac:dyDescent="0.35">
      <c r="A231" s="19">
        <v>45886</v>
      </c>
      <c r="B231" s="17">
        <v>62131899</v>
      </c>
      <c r="C231" s="17">
        <f t="shared" si="63"/>
        <v>3941924.6551724137</v>
      </c>
      <c r="D231" s="18">
        <f>+Tabla22[[#This Row],[Share diario]]</f>
        <v>3.3672850353833453E-2</v>
      </c>
      <c r="E231" s="17">
        <f>+Tabla22[[#This Row],[Global 2026]]</f>
        <v>65717622</v>
      </c>
      <c r="F231" s="19">
        <v>46250</v>
      </c>
      <c r="G231" s="17">
        <f t="shared" si="64"/>
        <v>6493659.7613584399</v>
      </c>
      <c r="H231" s="17">
        <v>4750643.8728327602</v>
      </c>
      <c r="I231" s="17">
        <v>1743015.8885256799</v>
      </c>
      <c r="J231" s="17">
        <v>2730517</v>
      </c>
      <c r="K231" s="17">
        <f>+Tabla22[[#This Row],[Web + APP 2026]]</f>
        <v>3769446</v>
      </c>
      <c r="L231" s="17">
        <v>40964.655172413797</v>
      </c>
      <c r="M231" s="17">
        <f>+Tabla22[[#This Row],[Afiliados 2026]]</f>
        <v>60816</v>
      </c>
      <c r="N231" s="17">
        <v>3525</v>
      </c>
      <c r="O231" s="17">
        <f>+Tabla22[[#This Row],[TMK 2026]]</f>
        <v>12907</v>
      </c>
      <c r="P231" s="17">
        <v>11086</v>
      </c>
      <c r="Q231" s="17">
        <f>+Tabla22[[#This Row],[WA 2026]]</f>
        <v>1416</v>
      </c>
      <c r="R231" s="17">
        <v>183162</v>
      </c>
      <c r="S231" s="17">
        <f>+Tabla22[[#This Row],[Ent. en Tienda 2026]]</f>
        <v>121507</v>
      </c>
      <c r="T231" s="17">
        <v>524015</v>
      </c>
      <c r="U231" s="17">
        <f>+Tabla22[[#This Row],[Meli Drop 2026]]</f>
        <v>480467</v>
      </c>
      <c r="V231" s="17">
        <v>403338</v>
      </c>
      <c r="W231" s="17">
        <f>+Tabla22[[#This Row],[Meli Full 2026]]</f>
        <v>261280</v>
      </c>
      <c r="X231" s="17">
        <v>35960</v>
      </c>
      <c r="Y231" s="17">
        <f>+Tabla22[[#This Row],[Amazon Drop 2026]]</f>
        <v>34538</v>
      </c>
      <c r="Z231" s="17">
        <v>7429</v>
      </c>
      <c r="AA231" s="17">
        <f>+Tabla22[[#This Row],[Amazon Full 2026]]</f>
        <v>2595</v>
      </c>
      <c r="AB231" s="17">
        <v>1928</v>
      </c>
      <c r="AC231" s="17">
        <f>+Tabla22[[#This Row],[TikTok 2026]]</f>
        <v>6215</v>
      </c>
      <c r="AD231" s="17">
        <v>0</v>
      </c>
      <c r="AE231" s="17">
        <f>+Tabla22[[#This Row],[Shein 2026]]</f>
        <v>2842</v>
      </c>
      <c r="AF231" s="17">
        <f t="shared" si="65"/>
        <v>4754029</v>
      </c>
      <c r="AG231" s="18">
        <f t="shared" si="66"/>
        <v>0.73210318598606128</v>
      </c>
      <c r="AH231" s="17">
        <f t="shared" si="67"/>
        <v>-1739630.7613584399</v>
      </c>
      <c r="AI231" s="20">
        <f t="shared" si="68"/>
        <v>0.20601721642801563</v>
      </c>
      <c r="AJ231" s="20">
        <f t="shared" si="61"/>
        <v>6.344445797757467E-2</v>
      </c>
      <c r="AK231" s="21">
        <f t="shared" si="69"/>
        <v>7.2340246882335452E-2</v>
      </c>
      <c r="AL231" s="21">
        <f t="shared" si="62"/>
        <v>5.7711466375750087E-2</v>
      </c>
      <c r="AO231" s="38">
        <f t="shared" si="70"/>
        <v>46250</v>
      </c>
      <c r="AP231" s="17">
        <f>Tabla2[[#This Row],[Web + APP 2025]]+Tabla2[[#This Row],[Afiliados 2025]]+Tabla2[[#This Row],[TMK 2025]]+Tabla2[[#This Row],[WA 2025]]+Tabla2[[#This Row],[Ent. en Tienda 2025]]</f>
        <v>2969254.6551724137</v>
      </c>
      <c r="AQ231" s="17">
        <f>Tabla2[[#This Row],[Meli Drop 2025]]+Tabla2[[#This Row],[Meli Full 2025]]+Tabla2[[#This Row],[Amazon Drop 2025]]+Tabla2[[#This Row],[Amazon Full 2025]]+Tabla2[[#This Row],[TikTok 2025]]+Tabla2[[#This Row],[Shein 2025]]</f>
        <v>972670</v>
      </c>
      <c r="AR231" s="17">
        <f>Tabla2[[#This Row],[Web + APP 2026]]+Tabla2[[#This Row],[Afiliados 2026]]+Tabla2[[#This Row],[TMK 2026]]+Tabla2[[#This Row],[WA 2026]]+Tabla2[[#This Row],[Ent. en Tienda 2026]]</f>
        <v>3966092</v>
      </c>
      <c r="AS231" s="17">
        <f>Tabla2[[#This Row],[Meli Drop 2026]]+Tabla2[[#This Row],[Meli Full 2026]]+Tabla2[[#This Row],[Amazon Drop 2026]]+Tabla2[[#This Row],[Amazon Full 2026]]+Tabla2[[#This Row],[TikTok 2026]]+Tabla2[[#This Row],[Shein 2026]]</f>
        <v>787937</v>
      </c>
      <c r="AT231" s="18">
        <f t="shared" si="71"/>
        <v>0.33571972113981707</v>
      </c>
      <c r="AU231" s="18">
        <f t="shared" si="71"/>
        <v>-0.18992361232483779</v>
      </c>
      <c r="AV231" s="49">
        <f t="shared" si="72"/>
        <v>4750643.8728327602</v>
      </c>
      <c r="AW231" s="49">
        <f t="shared" si="72"/>
        <v>1743015.8885256799</v>
      </c>
      <c r="AX231" s="39">
        <f t="shared" si="73"/>
        <v>0.83485357062453514</v>
      </c>
      <c r="AY231" s="39">
        <f t="shared" si="73"/>
        <v>0.45205382531909793</v>
      </c>
      <c r="AZ231" s="39">
        <f t="shared" si="74"/>
        <v>0.73210318598606128</v>
      </c>
      <c r="BA231" s="18">
        <v>4.2000382856040401E-2</v>
      </c>
      <c r="BB231" s="20">
        <v>3.1555551522041599E-2</v>
      </c>
      <c r="BC231" s="17">
        <f t="shared" si="78"/>
        <v>-784551.87283276021</v>
      </c>
      <c r="BD231" s="17">
        <f t="shared" si="79"/>
        <v>-955078.88852567994</v>
      </c>
      <c r="BE231" s="17">
        <f t="shared" si="80"/>
        <v>996837.34482758632</v>
      </c>
      <c r="BF231" s="17">
        <f t="shared" si="81"/>
        <v>-184733</v>
      </c>
    </row>
    <row r="232" spans="1:58" ht="14.25" customHeight="1" x14ac:dyDescent="0.35">
      <c r="A232" s="16">
        <v>45887</v>
      </c>
      <c r="B232" s="17">
        <v>38507747</v>
      </c>
      <c r="C232" s="17">
        <f t="shared" si="63"/>
        <v>6164465.0517241377</v>
      </c>
      <c r="D232" s="18">
        <f>+Tabla22[[#This Row],[Share diario]]</f>
        <v>2.7150616660863266E-2</v>
      </c>
      <c r="E232" s="17">
        <f>+Tabla22[[#This Row],[Global 2026]]</f>
        <v>40824335</v>
      </c>
      <c r="F232" s="19">
        <v>46251</v>
      </c>
      <c r="G232" s="17">
        <f t="shared" si="64"/>
        <v>5233267.7604187597</v>
      </c>
      <c r="H232" s="17">
        <v>3861268.6794992299</v>
      </c>
      <c r="I232" s="17">
        <v>1371999.08091953</v>
      </c>
      <c r="J232" s="17">
        <v>4641789</v>
      </c>
      <c r="K232" s="17">
        <f>+Tabla22[[#This Row],[Web + APP 2026]]</f>
        <v>5336867</v>
      </c>
      <c r="L232" s="17">
        <v>35684.482758620703</v>
      </c>
      <c r="M232" s="17">
        <f>+Tabla22[[#This Row],[Afiliados 2026]]</f>
        <v>56728</v>
      </c>
      <c r="N232" s="17">
        <v>59195</v>
      </c>
      <c r="O232" s="17">
        <f>+Tabla22[[#This Row],[TMK 2026]]</f>
        <v>55656</v>
      </c>
      <c r="P232" s="17">
        <v>10114</v>
      </c>
      <c r="Q232" s="17">
        <f>+Tabla22[[#This Row],[WA 2026]]</f>
        <v>16254</v>
      </c>
      <c r="R232" s="17">
        <v>136276</v>
      </c>
      <c r="S232" s="17">
        <f>+Tabla22[[#This Row],[Ent. en Tienda 2026]]</f>
        <v>166309</v>
      </c>
      <c r="T232" s="17">
        <v>856553</v>
      </c>
      <c r="U232" s="17">
        <f>+Tabla22[[#This Row],[Meli Drop 2026]]</f>
        <v>260464</v>
      </c>
      <c r="V232" s="17">
        <v>371767</v>
      </c>
      <c r="W232" s="17">
        <f>+Tabla22[[#This Row],[Meli Full 2026]]</f>
        <v>286210</v>
      </c>
      <c r="X232" s="17">
        <v>47937</v>
      </c>
      <c r="Y232" s="17">
        <f>+Tabla22[[#This Row],[Amazon Drop 2026]]</f>
        <v>20932</v>
      </c>
      <c r="Z232" s="17">
        <v>4445</v>
      </c>
      <c r="AA232" s="17">
        <f>+Tabla22[[#This Row],[Amazon Full 2026]]</f>
        <v>2353</v>
      </c>
      <c r="AB232" s="17">
        <v>704.56896551724196</v>
      </c>
      <c r="AC232" s="17">
        <f>+Tabla22[[#This Row],[TikTok 2026]]</f>
        <v>7205</v>
      </c>
      <c r="AD232" s="17">
        <v>0</v>
      </c>
      <c r="AE232" s="17">
        <f>+Tabla22[[#This Row],[Shein 2026]]</f>
        <v>3101</v>
      </c>
      <c r="AF232" s="17">
        <f t="shared" si="65"/>
        <v>6212079</v>
      </c>
      <c r="AG232" s="18">
        <f t="shared" si="66"/>
        <v>1.1870363383628812</v>
      </c>
      <c r="AH232" s="17">
        <f t="shared" si="67"/>
        <v>978811.23958124034</v>
      </c>
      <c r="AI232" s="20">
        <f t="shared" si="68"/>
        <v>7.723938391466012E-3</v>
      </c>
      <c r="AJ232" s="20">
        <f t="shared" si="61"/>
        <v>0.16008376318988846</v>
      </c>
      <c r="AK232" s="21">
        <f t="shared" si="69"/>
        <v>0.15216607937398122</v>
      </c>
      <c r="AL232" s="21">
        <f t="shared" si="62"/>
        <v>6.0159011639917548E-2</v>
      </c>
      <c r="AO232" s="38">
        <f t="shared" si="70"/>
        <v>46251</v>
      </c>
      <c r="AP232" s="17">
        <f>Tabla2[[#This Row],[Web + APP 2025]]+Tabla2[[#This Row],[Afiliados 2025]]+Tabla2[[#This Row],[TMK 2025]]+Tabla2[[#This Row],[WA 2025]]+Tabla2[[#This Row],[Ent. en Tienda 2025]]</f>
        <v>4883058.4827586208</v>
      </c>
      <c r="AQ232" s="17">
        <f>Tabla2[[#This Row],[Meli Drop 2025]]+Tabla2[[#This Row],[Meli Full 2025]]+Tabla2[[#This Row],[Amazon Drop 2025]]+Tabla2[[#This Row],[Amazon Full 2025]]+Tabla2[[#This Row],[TikTok 2025]]+Tabla2[[#This Row],[Shein 2025]]</f>
        <v>1281406.5689655172</v>
      </c>
      <c r="AR232" s="17">
        <f>Tabla2[[#This Row],[Web + APP 2026]]+Tabla2[[#This Row],[Afiliados 2026]]+Tabla2[[#This Row],[TMK 2026]]+Tabla2[[#This Row],[WA 2026]]+Tabla2[[#This Row],[Ent. en Tienda 2026]]</f>
        <v>5631814</v>
      </c>
      <c r="AS232" s="17">
        <f>Tabla2[[#This Row],[Meli Drop 2026]]+Tabla2[[#This Row],[Meli Full 2026]]+Tabla2[[#This Row],[Amazon Drop 2026]]+Tabla2[[#This Row],[Amazon Full 2026]]+Tabla2[[#This Row],[TikTok 2026]]+Tabla2[[#This Row],[Shein 2026]]</f>
        <v>580265</v>
      </c>
      <c r="AT232" s="18">
        <f t="shared" si="71"/>
        <v>0.15333740521132966</v>
      </c>
      <c r="AU232" s="18">
        <f t="shared" si="71"/>
        <v>-0.54716558034469154</v>
      </c>
      <c r="AV232" s="49">
        <f t="shared" si="72"/>
        <v>3861268.6794992299</v>
      </c>
      <c r="AW232" s="49">
        <f t="shared" si="72"/>
        <v>1371999.08091953</v>
      </c>
      <c r="AX232" s="39">
        <f t="shared" si="73"/>
        <v>1.4585397876871891</v>
      </c>
      <c r="AY232" s="39">
        <f t="shared" si="73"/>
        <v>0.42293395678596196</v>
      </c>
      <c r="AZ232" s="39">
        <f t="shared" si="74"/>
        <v>1.1870363383628812</v>
      </c>
      <c r="BA232" s="18">
        <v>3.3060218817338199E-2</v>
      </c>
      <c r="BB232" s="20">
        <v>2.5647989202720201E-2</v>
      </c>
      <c r="BC232" s="17">
        <f t="shared" si="78"/>
        <v>1770545.3205007701</v>
      </c>
      <c r="BD232" s="17">
        <f t="shared" si="79"/>
        <v>-791734.08091953001</v>
      </c>
      <c r="BE232" s="17">
        <f t="shared" si="80"/>
        <v>748755.51724137925</v>
      </c>
      <c r="BF232" s="17">
        <f t="shared" si="81"/>
        <v>-701141.56896551722</v>
      </c>
    </row>
    <row r="233" spans="1:58" ht="14.25" customHeight="1" x14ac:dyDescent="0.35">
      <c r="A233" s="19">
        <v>45888</v>
      </c>
      <c r="B233" s="17">
        <v>42791164</v>
      </c>
      <c r="C233" s="17">
        <f t="shared" si="63"/>
        <v>5908650.5517241377</v>
      </c>
      <c r="D233" s="18">
        <f>+Tabla22[[#This Row],[Share diario]]</f>
        <v>4.2458707910369799E-2</v>
      </c>
      <c r="E233" s="17">
        <f>+Tabla22[[#This Row],[Global 2026]]</f>
        <v>45092354</v>
      </c>
      <c r="F233" s="19">
        <v>46252</v>
      </c>
      <c r="G233" s="17">
        <f t="shared" si="64"/>
        <v>8157498.6179166595</v>
      </c>
      <c r="H233" s="17">
        <v>6350011.3561475696</v>
      </c>
      <c r="I233" s="17">
        <v>1807487.2617690901</v>
      </c>
      <c r="J233" s="17">
        <v>4674224</v>
      </c>
      <c r="K233" s="17">
        <f>+Tabla22[[#This Row],[Web + APP 2026]]</f>
        <v>5655220</v>
      </c>
      <c r="L233" s="17">
        <v>38029.310344827602</v>
      </c>
      <c r="M233" s="17">
        <f>+Tabla22[[#This Row],[Afiliados 2026]]</f>
        <v>49156</v>
      </c>
      <c r="N233" s="17">
        <v>63390</v>
      </c>
      <c r="O233" s="17">
        <f>+Tabla22[[#This Row],[TMK 2026]]</f>
        <v>49650</v>
      </c>
      <c r="P233" s="17">
        <v>4385</v>
      </c>
      <c r="Q233" s="17">
        <f>+Tabla22[[#This Row],[WA 2026]]</f>
        <v>13529</v>
      </c>
      <c r="R233" s="17">
        <v>133373</v>
      </c>
      <c r="S233" s="17">
        <f>+Tabla22[[#This Row],[Ent. en Tienda 2026]]</f>
        <v>131515</v>
      </c>
      <c r="T233" s="17">
        <v>669054</v>
      </c>
      <c r="U233" s="17">
        <f>+Tabla22[[#This Row],[Meli Drop 2026]]</f>
        <v>874101</v>
      </c>
      <c r="V233" s="17">
        <v>282672</v>
      </c>
      <c r="W233" s="17">
        <f>+Tabla22[[#This Row],[Meli Full 2026]]</f>
        <v>238455</v>
      </c>
      <c r="X233" s="17">
        <v>39386</v>
      </c>
      <c r="Y233" s="17">
        <f>+Tabla22[[#This Row],[Amazon Drop 2026]]</f>
        <v>52443</v>
      </c>
      <c r="Z233" s="17">
        <v>3720</v>
      </c>
      <c r="AA233" s="17">
        <f>+Tabla22[[#This Row],[Amazon Full 2026]]</f>
        <v>8603</v>
      </c>
      <c r="AB233" s="17">
        <v>73.275862068965495</v>
      </c>
      <c r="AC233" s="17">
        <f>+Tabla22[[#This Row],[TikTok 2026]]</f>
        <v>14092</v>
      </c>
      <c r="AD233" s="17">
        <v>343.96551724137902</v>
      </c>
      <c r="AE233" s="17">
        <f>+Tabla22[[#This Row],[Shein 2026]]</f>
        <v>8931</v>
      </c>
      <c r="AF233" s="17">
        <f t="shared" si="65"/>
        <v>7095695</v>
      </c>
      <c r="AG233" s="18">
        <f t="shared" si="66"/>
        <v>0.86983710722493102</v>
      </c>
      <c r="AH233" s="17">
        <f t="shared" si="67"/>
        <v>-1061803.6179166595</v>
      </c>
      <c r="AI233" s="20">
        <f t="shared" si="68"/>
        <v>0.20089941652235366</v>
      </c>
      <c r="AJ233" s="20">
        <f t="shared" si="61"/>
        <v>0.13808108963159166</v>
      </c>
      <c r="AK233" s="21">
        <f t="shared" si="69"/>
        <v>0.15735916115623505</v>
      </c>
      <c r="AL233" s="21">
        <f t="shared" si="62"/>
        <v>5.3777223727777157E-2</v>
      </c>
      <c r="AO233" s="38">
        <f t="shared" si="70"/>
        <v>46252</v>
      </c>
      <c r="AP233" s="17">
        <f>Tabla2[[#This Row],[Web + APP 2025]]+Tabla2[[#This Row],[Afiliados 2025]]+Tabla2[[#This Row],[TMK 2025]]+Tabla2[[#This Row],[WA 2025]]+Tabla2[[#This Row],[Ent. en Tienda 2025]]</f>
        <v>4913401.3103448274</v>
      </c>
      <c r="AQ233" s="17">
        <f>Tabla2[[#This Row],[Meli Drop 2025]]+Tabla2[[#This Row],[Meli Full 2025]]+Tabla2[[#This Row],[Amazon Drop 2025]]+Tabla2[[#This Row],[Amazon Full 2025]]+Tabla2[[#This Row],[TikTok 2025]]+Tabla2[[#This Row],[Shein 2025]]</f>
        <v>995249.24137931038</v>
      </c>
      <c r="AR233" s="17">
        <f>Tabla2[[#This Row],[Web + APP 2026]]+Tabla2[[#This Row],[Afiliados 2026]]+Tabla2[[#This Row],[TMK 2026]]+Tabla2[[#This Row],[WA 2026]]+Tabla2[[#This Row],[Ent. en Tienda 2026]]</f>
        <v>5899070</v>
      </c>
      <c r="AS233" s="17">
        <f>Tabla2[[#This Row],[Meli Drop 2026]]+Tabla2[[#This Row],[Meli Full 2026]]+Tabla2[[#This Row],[Amazon Drop 2026]]+Tabla2[[#This Row],[Amazon Full 2026]]+Tabla2[[#This Row],[TikTok 2026]]+Tabla2[[#This Row],[Shein 2026]]</f>
        <v>1196625</v>
      </c>
      <c r="AT233" s="18">
        <f t="shared" si="71"/>
        <v>0.20060821972345622</v>
      </c>
      <c r="AU233" s="18">
        <f t="shared" si="71"/>
        <v>0.2023370129291473</v>
      </c>
      <c r="AV233" s="49">
        <f t="shared" si="72"/>
        <v>6350011.3561475696</v>
      </c>
      <c r="AW233" s="49">
        <f t="shared" si="72"/>
        <v>1807487.2617690901</v>
      </c>
      <c r="AX233" s="39">
        <f t="shared" si="73"/>
        <v>0.92898574020485736</v>
      </c>
      <c r="AY233" s="39">
        <f t="shared" si="73"/>
        <v>0.66203786068666148</v>
      </c>
      <c r="AZ233" s="39">
        <f t="shared" si="74"/>
        <v>0.86983710722493102</v>
      </c>
      <c r="BA233" s="18">
        <v>4.3553909922146798E-2</v>
      </c>
      <c r="BB233" s="20">
        <v>4.2179147896215803E-2</v>
      </c>
      <c r="BC233" s="17">
        <f t="shared" si="78"/>
        <v>-450941.3561475696</v>
      </c>
      <c r="BD233" s="17">
        <f t="shared" si="79"/>
        <v>-610862.26176909008</v>
      </c>
      <c r="BE233" s="17">
        <f t="shared" si="80"/>
        <v>985668.68965517264</v>
      </c>
      <c r="BF233" s="17">
        <f t="shared" si="81"/>
        <v>201375.75862068962</v>
      </c>
    </row>
    <row r="234" spans="1:58" ht="14.25" customHeight="1" x14ac:dyDescent="0.35">
      <c r="A234" s="16">
        <v>45889</v>
      </c>
      <c r="B234" s="17">
        <v>46267625</v>
      </c>
      <c r="C234" s="17">
        <f t="shared" si="63"/>
        <v>5807236.9655172406</v>
      </c>
      <c r="D234" s="18">
        <f>+Tabla22[[#This Row],[Share diario]]</f>
        <v>4.069674591632793E-2</v>
      </c>
      <c r="E234" s="17">
        <f>+Tabla22[[#This Row],[Global 2026]]</f>
        <v>46969163</v>
      </c>
      <c r="F234" s="19">
        <v>46253</v>
      </c>
      <c r="G234" s="17">
        <f t="shared" si="64"/>
        <v>7793317.8955410402</v>
      </c>
      <c r="H234" s="17">
        <v>6389469.67933382</v>
      </c>
      <c r="I234" s="17">
        <v>1403848.21620722</v>
      </c>
      <c r="J234" s="17">
        <v>4567064</v>
      </c>
      <c r="K234" s="17">
        <f>+Tabla22[[#This Row],[Web + APP 2026]]</f>
        <v>5265416</v>
      </c>
      <c r="L234" s="17">
        <v>35700.8620689655</v>
      </c>
      <c r="M234" s="17">
        <f>+Tabla22[[#This Row],[Afiliados 2026]]</f>
        <v>58356</v>
      </c>
      <c r="N234" s="17">
        <v>58510</v>
      </c>
      <c r="O234" s="17">
        <f>+Tabla22[[#This Row],[TMK 2026]]</f>
        <v>21927</v>
      </c>
      <c r="P234" s="17">
        <v>15761</v>
      </c>
      <c r="Q234" s="17">
        <f>+Tabla22[[#This Row],[WA 2026]]</f>
        <v>11760</v>
      </c>
      <c r="R234" s="17">
        <v>230412</v>
      </c>
      <c r="S234" s="17">
        <f>+Tabla22[[#This Row],[Ent. en Tienda 2026]]</f>
        <v>132555</v>
      </c>
      <c r="T234" s="17">
        <v>657997</v>
      </c>
      <c r="U234" s="17">
        <f>+Tabla22[[#This Row],[Meli Drop 2026]]</f>
        <v>482072</v>
      </c>
      <c r="V234" s="17">
        <v>205256</v>
      </c>
      <c r="W234" s="17">
        <f>+Tabla22[[#This Row],[Meli Full 2026]]</f>
        <v>231761</v>
      </c>
      <c r="X234" s="17">
        <v>29971</v>
      </c>
      <c r="Y234" s="17">
        <f>+Tabla22[[#This Row],[Amazon Drop 2026]]</f>
        <v>38192</v>
      </c>
      <c r="Z234" s="17">
        <v>4086</v>
      </c>
      <c r="AA234" s="17">
        <f>+Tabla22[[#This Row],[Amazon Full 2026]]</f>
        <v>5870</v>
      </c>
      <c r="AB234" s="17">
        <v>2479.10344827586</v>
      </c>
      <c r="AC234" s="17">
        <f>+Tabla22[[#This Row],[TikTok 2026]]</f>
        <v>7522</v>
      </c>
      <c r="AD234" s="17">
        <v>0</v>
      </c>
      <c r="AE234" s="17">
        <f>+Tabla22[[#This Row],[Shein 2026]]</f>
        <v>4435</v>
      </c>
      <c r="AF234" s="17">
        <f t="shared" si="65"/>
        <v>6259866</v>
      </c>
      <c r="AG234" s="18">
        <f t="shared" si="66"/>
        <v>0.80323503851698297</v>
      </c>
      <c r="AH234" s="17">
        <f t="shared" si="67"/>
        <v>-1533451.8955410402</v>
      </c>
      <c r="AI234" s="20">
        <f t="shared" si="68"/>
        <v>7.7942236070341675E-2</v>
      </c>
      <c r="AJ234" s="20">
        <f t="shared" si="61"/>
        <v>0.12551404930590754</v>
      </c>
      <c r="AK234" s="21">
        <f t="shared" si="69"/>
        <v>0.13327608158569912</v>
      </c>
      <c r="AL234" s="21">
        <f t="shared" si="62"/>
        <v>1.5162611004995385E-2</v>
      </c>
      <c r="AO234" s="38">
        <f t="shared" si="70"/>
        <v>46253</v>
      </c>
      <c r="AP234" s="17">
        <f>Tabla2[[#This Row],[Web + APP 2025]]+Tabla2[[#This Row],[Afiliados 2025]]+Tabla2[[#This Row],[TMK 2025]]+Tabla2[[#This Row],[WA 2025]]+Tabla2[[#This Row],[Ent. en Tienda 2025]]</f>
        <v>4907447.8620689651</v>
      </c>
      <c r="AQ234" s="17">
        <f>Tabla2[[#This Row],[Meli Drop 2025]]+Tabla2[[#This Row],[Meli Full 2025]]+Tabla2[[#This Row],[Amazon Drop 2025]]+Tabla2[[#This Row],[Amazon Full 2025]]+Tabla2[[#This Row],[TikTok 2025]]+Tabla2[[#This Row],[Shein 2025]]</f>
        <v>899789.10344827583</v>
      </c>
      <c r="AR234" s="17">
        <f>Tabla2[[#This Row],[Web + APP 2026]]+Tabla2[[#This Row],[Afiliados 2026]]+Tabla2[[#This Row],[TMK 2026]]+Tabla2[[#This Row],[WA 2026]]+Tabla2[[#This Row],[Ent. en Tienda 2026]]</f>
        <v>5490014</v>
      </c>
      <c r="AS234" s="17">
        <f>Tabla2[[#This Row],[Meli Drop 2026]]+Tabla2[[#This Row],[Meli Full 2026]]+Tabla2[[#This Row],[Amazon Drop 2026]]+Tabla2[[#This Row],[Amazon Full 2026]]+Tabla2[[#This Row],[TikTok 2026]]+Tabla2[[#This Row],[Shein 2026]]</f>
        <v>769852</v>
      </c>
      <c r="AT234" s="18">
        <f t="shared" si="71"/>
        <v>0.11871061176907283</v>
      </c>
      <c r="AU234" s="18">
        <f t="shared" si="71"/>
        <v>-0.14440839853507437</v>
      </c>
      <c r="AV234" s="49">
        <f t="shared" si="72"/>
        <v>6389469.67933382</v>
      </c>
      <c r="AW234" s="49">
        <f t="shared" si="72"/>
        <v>1403848.21620722</v>
      </c>
      <c r="AX234" s="39">
        <f t="shared" si="73"/>
        <v>0.85922842982680858</v>
      </c>
      <c r="AY234" s="39">
        <f t="shared" si="73"/>
        <v>0.54838692040362524</v>
      </c>
      <c r="AZ234" s="39">
        <f t="shared" si="74"/>
        <v>0.80323503851698297</v>
      </c>
      <c r="BA234" s="18">
        <v>3.3827667860415002E-2</v>
      </c>
      <c r="BB234" s="20">
        <v>4.2441244821097401E-2</v>
      </c>
      <c r="BC234" s="17">
        <f t="shared" ref="BC234:BC245" si="82">+AR234-AV234</f>
        <v>-899455.67933382001</v>
      </c>
      <c r="BD234" s="17">
        <f t="shared" ref="BD234:BD245" si="83">+AS234-AW234</f>
        <v>-633996.21620721999</v>
      </c>
      <c r="BE234" s="17">
        <f t="shared" ref="BE234:BE245" si="84">AR234-AP234</f>
        <v>582566.1379310349</v>
      </c>
      <c r="BF234" s="17">
        <f t="shared" ref="BF234:BF245" si="85">AS234-AQ234</f>
        <v>-129937.10344827583</v>
      </c>
    </row>
    <row r="235" spans="1:58" ht="14.25" customHeight="1" x14ac:dyDescent="0.35">
      <c r="A235" s="19">
        <v>45890</v>
      </c>
      <c r="B235" s="17">
        <v>55157049</v>
      </c>
      <c r="C235" s="17">
        <f t="shared" si="63"/>
        <v>4963643.3103448264</v>
      </c>
      <c r="D235" s="18">
        <f>+Tabla22[[#This Row],[Share diario]]</f>
        <v>3.9998244132511754E-2</v>
      </c>
      <c r="E235" s="17">
        <f>+Tabla22[[#This Row],[Global 2026]]</f>
        <v>52243046</v>
      </c>
      <c r="F235" s="19">
        <v>46254</v>
      </c>
      <c r="G235" s="17">
        <f t="shared" si="64"/>
        <v>7650924.6914080195</v>
      </c>
      <c r="H235" s="17">
        <v>6381727.7150928797</v>
      </c>
      <c r="I235" s="17">
        <v>1269196.97631514</v>
      </c>
      <c r="J235" s="17">
        <v>3915278</v>
      </c>
      <c r="K235" s="17">
        <f>+Tabla22[[#This Row],[Web + APP 2026]]</f>
        <v>4304572</v>
      </c>
      <c r="L235" s="17">
        <v>41030.172413793101</v>
      </c>
      <c r="M235" s="17">
        <f>+Tabla22[[#This Row],[Afiliados 2026]]</f>
        <v>50878</v>
      </c>
      <c r="N235" s="17">
        <v>35238</v>
      </c>
      <c r="O235" s="17">
        <f>+Tabla22[[#This Row],[TMK 2026]]</f>
        <v>64872</v>
      </c>
      <c r="P235" s="17">
        <v>9197</v>
      </c>
      <c r="Q235" s="17">
        <f>+Tabla22[[#This Row],[WA 2026]]</f>
        <v>7444</v>
      </c>
      <c r="R235" s="17">
        <v>143792</v>
      </c>
      <c r="S235" s="17">
        <f>+Tabla22[[#This Row],[Ent. en Tienda 2026]]</f>
        <v>156605</v>
      </c>
      <c r="T235" s="17">
        <v>605960</v>
      </c>
      <c r="U235" s="17">
        <f>+Tabla22[[#This Row],[Meli Drop 2026]]</f>
        <v>453882</v>
      </c>
      <c r="V235" s="17">
        <v>173300</v>
      </c>
      <c r="W235" s="17">
        <f>+Tabla22[[#This Row],[Meli Full 2026]]</f>
        <v>217643</v>
      </c>
      <c r="X235" s="17">
        <v>28936</v>
      </c>
      <c r="Y235" s="17">
        <f>+Tabla22[[#This Row],[Amazon Drop 2026]]</f>
        <v>42319</v>
      </c>
      <c r="Z235" s="17">
        <v>11397</v>
      </c>
      <c r="AA235" s="17">
        <f>+Tabla22[[#This Row],[Amazon Full 2026]]</f>
        <v>5284</v>
      </c>
      <c r="AB235" s="17">
        <v>203.068965517241</v>
      </c>
      <c r="AC235" s="17">
        <f>+Tabla22[[#This Row],[TikTok 2026]]</f>
        <v>8130</v>
      </c>
      <c r="AD235" s="17">
        <v>-687.93103448275895</v>
      </c>
      <c r="AE235" s="17">
        <f>+Tabla22[[#This Row],[Shein 2026]]</f>
        <v>603</v>
      </c>
      <c r="AF235" s="17">
        <f t="shared" si="65"/>
        <v>5312232</v>
      </c>
      <c r="AG235" s="18">
        <f t="shared" si="66"/>
        <v>0.69432548538422167</v>
      </c>
      <c r="AH235" s="17">
        <f t="shared" si="67"/>
        <v>-2338692.6914080195</v>
      </c>
      <c r="AI235" s="20">
        <f t="shared" si="68"/>
        <v>7.0228392303829157E-2</v>
      </c>
      <c r="AJ235" s="20">
        <f t="shared" si="61"/>
        <v>8.9991096339197302E-2</v>
      </c>
      <c r="AK235" s="21">
        <f t="shared" si="69"/>
        <v>0.1016830450506274</v>
      </c>
      <c r="AL235" s="21">
        <f t="shared" si="62"/>
        <v>-5.2831017119860824E-2</v>
      </c>
      <c r="AO235" s="38">
        <f t="shared" si="70"/>
        <v>46254</v>
      </c>
      <c r="AP235" s="17">
        <f>Tabla2[[#This Row],[Web + APP 2025]]+Tabla2[[#This Row],[Afiliados 2025]]+Tabla2[[#This Row],[TMK 2025]]+Tabla2[[#This Row],[WA 2025]]+Tabla2[[#This Row],[Ent. en Tienda 2025]]</f>
        <v>4144535.1724137929</v>
      </c>
      <c r="AQ235" s="17">
        <f>Tabla2[[#This Row],[Meli Drop 2025]]+Tabla2[[#This Row],[Meli Full 2025]]+Tabla2[[#This Row],[Amazon Drop 2025]]+Tabla2[[#This Row],[Amazon Full 2025]]+Tabla2[[#This Row],[TikTok 2025]]+Tabla2[[#This Row],[Shein 2025]]</f>
        <v>819108.13793103443</v>
      </c>
      <c r="AR235" s="17">
        <f>Tabla2[[#This Row],[Web + APP 2026]]+Tabla2[[#This Row],[Afiliados 2026]]+Tabla2[[#This Row],[TMK 2026]]+Tabla2[[#This Row],[WA 2026]]+Tabla2[[#This Row],[Ent. en Tienda 2026]]</f>
        <v>4584371</v>
      </c>
      <c r="AS235" s="17">
        <f>Tabla2[[#This Row],[Meli Drop 2026]]+Tabla2[[#This Row],[Meli Full 2026]]+Tabla2[[#This Row],[Amazon Drop 2026]]+Tabla2[[#This Row],[Amazon Full 2026]]+Tabla2[[#This Row],[TikTok 2026]]+Tabla2[[#This Row],[Shein 2026]]</f>
        <v>727861</v>
      </c>
      <c r="AT235" s="18">
        <f t="shared" si="71"/>
        <v>0.1061242839761074</v>
      </c>
      <c r="AU235" s="18">
        <f t="shared" si="71"/>
        <v>-0.11139815819863952</v>
      </c>
      <c r="AV235" s="49">
        <f t="shared" si="72"/>
        <v>6381727.7150928797</v>
      </c>
      <c r="AW235" s="49">
        <f t="shared" si="72"/>
        <v>1269196.97631514</v>
      </c>
      <c r="AX235" s="39">
        <f t="shared" si="73"/>
        <v>0.71835891543255526</v>
      </c>
      <c r="AY235" s="39">
        <f t="shared" si="73"/>
        <v>0.57348151120970925</v>
      </c>
      <c r="AZ235" s="39">
        <f t="shared" si="74"/>
        <v>0.69432548538422167</v>
      </c>
      <c r="BA235" s="18">
        <v>3.05830596702443E-2</v>
      </c>
      <c r="BB235" s="20">
        <v>4.2389819802083797E-2</v>
      </c>
      <c r="BC235" s="17">
        <f t="shared" si="82"/>
        <v>-1797356.7150928797</v>
      </c>
      <c r="BD235" s="17">
        <f t="shared" si="83"/>
        <v>-541335.97631514003</v>
      </c>
      <c r="BE235" s="17">
        <f t="shared" si="84"/>
        <v>439835.82758620707</v>
      </c>
      <c r="BF235" s="17">
        <f t="shared" si="85"/>
        <v>-91247.137931034435</v>
      </c>
    </row>
    <row r="236" spans="1:58" ht="14.25" customHeight="1" x14ac:dyDescent="0.35">
      <c r="A236" s="16">
        <v>45891</v>
      </c>
      <c r="B236" s="17">
        <v>54388306</v>
      </c>
      <c r="C236" s="17">
        <f t="shared" si="63"/>
        <v>3985056.8620689656</v>
      </c>
      <c r="D236" s="18">
        <f>+Tabla22[[#This Row],[Share diario]]</f>
        <v>3.4187862161088482E-2</v>
      </c>
      <c r="E236" s="17">
        <f>+Tabla22[[#This Row],[Global 2026]]</f>
        <v>54107999</v>
      </c>
      <c r="F236" s="19">
        <v>46255</v>
      </c>
      <c r="G236" s="17">
        <f t="shared" si="64"/>
        <v>6545015.7147723902</v>
      </c>
      <c r="H236" s="17">
        <v>5389623.2256290102</v>
      </c>
      <c r="I236" s="17">
        <v>1155392.48914338</v>
      </c>
      <c r="J236" s="17">
        <v>3000765</v>
      </c>
      <c r="K236" s="17">
        <f>+Tabla22[[#This Row],[Web + APP 2026]]</f>
        <v>3937861</v>
      </c>
      <c r="L236" s="17">
        <v>35025.8620689655</v>
      </c>
      <c r="M236" s="17">
        <f>+Tabla22[[#This Row],[Afiliados 2026]]</f>
        <v>53958</v>
      </c>
      <c r="N236" s="17">
        <v>36025</v>
      </c>
      <c r="O236" s="17">
        <f>+Tabla22[[#This Row],[TMK 2026]]</f>
        <v>9844</v>
      </c>
      <c r="P236" s="17">
        <v>6236</v>
      </c>
      <c r="Q236" s="17">
        <f>+Tabla22[[#This Row],[WA 2026]]</f>
        <v>10484</v>
      </c>
      <c r="R236" s="17">
        <v>178245</v>
      </c>
      <c r="S236" s="17">
        <f>+Tabla22[[#This Row],[Ent. en Tienda 2026]]</f>
        <v>110885</v>
      </c>
      <c r="T236" s="17">
        <v>579403</v>
      </c>
      <c r="U236" s="17">
        <f>+Tabla22[[#This Row],[Meli Drop 2026]]</f>
        <v>398065</v>
      </c>
      <c r="V236" s="17">
        <v>113017</v>
      </c>
      <c r="W236" s="17">
        <f>+Tabla22[[#This Row],[Meli Full 2026]]</f>
        <v>190143</v>
      </c>
      <c r="X236" s="17">
        <v>25208</v>
      </c>
      <c r="Y236" s="17">
        <f>+Tabla22[[#This Row],[Amazon Drop 2026]]</f>
        <v>25340</v>
      </c>
      <c r="Z236" s="17">
        <v>11132</v>
      </c>
      <c r="AA236" s="17">
        <f>+Tabla22[[#This Row],[Amazon Full 2026]]</f>
        <v>10331</v>
      </c>
      <c r="AB236" s="17">
        <v>0</v>
      </c>
      <c r="AC236" s="17">
        <f>+Tabla22[[#This Row],[TikTok 2026]]</f>
        <v>13946</v>
      </c>
      <c r="AD236" s="17">
        <v>0</v>
      </c>
      <c r="AE236" s="17">
        <f>+Tabla22[[#This Row],[Shein 2026]]</f>
        <v>2903</v>
      </c>
      <c r="AF236" s="17">
        <f t="shared" si="65"/>
        <v>4763760</v>
      </c>
      <c r="AG236" s="18">
        <f t="shared" si="66"/>
        <v>0.7278454640296711</v>
      </c>
      <c r="AH236" s="17">
        <f t="shared" si="67"/>
        <v>-1781255.7147723902</v>
      </c>
      <c r="AI236" s="20">
        <f t="shared" si="68"/>
        <v>0.19540577835738748</v>
      </c>
      <c r="AJ236" s="20">
        <f t="shared" si="61"/>
        <v>7.3270472186961769E-2</v>
      </c>
      <c r="AK236" s="21">
        <f t="shared" si="69"/>
        <v>8.8041696016147267E-2</v>
      </c>
      <c r="AL236" s="21">
        <f t="shared" si="62"/>
        <v>-5.1538100855724744E-3</v>
      </c>
      <c r="AO236" s="38">
        <f t="shared" si="70"/>
        <v>46255</v>
      </c>
      <c r="AP236" s="17">
        <f>Tabla2[[#This Row],[Web + APP 2025]]+Tabla2[[#This Row],[Afiliados 2025]]+Tabla2[[#This Row],[TMK 2025]]+Tabla2[[#This Row],[WA 2025]]+Tabla2[[#This Row],[Ent. en Tienda 2025]]</f>
        <v>3256296.8620689656</v>
      </c>
      <c r="AQ236" s="17">
        <f>Tabla2[[#This Row],[Meli Drop 2025]]+Tabla2[[#This Row],[Meli Full 2025]]+Tabla2[[#This Row],[Amazon Drop 2025]]+Tabla2[[#This Row],[Amazon Full 2025]]+Tabla2[[#This Row],[TikTok 2025]]+Tabla2[[#This Row],[Shein 2025]]</f>
        <v>728760</v>
      </c>
      <c r="AR236" s="17">
        <f>Tabla2[[#This Row],[Web + APP 2026]]+Tabla2[[#This Row],[Afiliados 2026]]+Tabla2[[#This Row],[TMK 2026]]+Tabla2[[#This Row],[WA 2026]]+Tabla2[[#This Row],[Ent. en Tienda 2026]]</f>
        <v>4123032</v>
      </c>
      <c r="AS236" s="17">
        <f>Tabla2[[#This Row],[Meli Drop 2026]]+Tabla2[[#This Row],[Meli Full 2026]]+Tabla2[[#This Row],[Amazon Drop 2026]]+Tabla2[[#This Row],[Amazon Full 2026]]+Tabla2[[#This Row],[TikTok 2026]]+Tabla2[[#This Row],[Shein 2026]]</f>
        <v>640728</v>
      </c>
      <c r="AT236" s="18">
        <f t="shared" si="71"/>
        <v>0.26617202750376201</v>
      </c>
      <c r="AU236" s="18">
        <f t="shared" si="71"/>
        <v>-0.12079697019594926</v>
      </c>
      <c r="AV236" s="49">
        <f t="shared" si="72"/>
        <v>5389623.2256290102</v>
      </c>
      <c r="AW236" s="49">
        <f t="shared" si="72"/>
        <v>1155392.48914338</v>
      </c>
      <c r="AX236" s="39">
        <f t="shared" si="73"/>
        <v>0.76499447686694477</v>
      </c>
      <c r="AY236" s="39">
        <f t="shared" si="73"/>
        <v>0.55455440988286364</v>
      </c>
      <c r="AZ236" s="39">
        <f t="shared" si="74"/>
        <v>0.7278454640296711</v>
      </c>
      <c r="BA236" s="18">
        <v>2.7840782870924799E-2</v>
      </c>
      <c r="BB236" s="20">
        <v>3.5799891116510101E-2</v>
      </c>
      <c r="BC236" s="17">
        <f t="shared" si="82"/>
        <v>-1266591.2256290102</v>
      </c>
      <c r="BD236" s="17">
        <f t="shared" si="83"/>
        <v>-514664.48914337996</v>
      </c>
      <c r="BE236" s="17">
        <f t="shared" si="84"/>
        <v>866735.13793103443</v>
      </c>
      <c r="BF236" s="17">
        <f t="shared" si="85"/>
        <v>-88032</v>
      </c>
    </row>
    <row r="237" spans="1:58" ht="14.25" customHeight="1" x14ac:dyDescent="0.35">
      <c r="A237" s="19">
        <v>45892</v>
      </c>
      <c r="B237" s="17">
        <v>71145940</v>
      </c>
      <c r="C237" s="17">
        <f t="shared" si="63"/>
        <v>4157647.0086206896</v>
      </c>
      <c r="D237" s="18">
        <f>+Tabla22[[#This Row],[Share diario]]</f>
        <v>2.7447696416979025E-2</v>
      </c>
      <c r="E237" s="17">
        <f>+Tabla22[[#This Row],[Global 2026]]</f>
        <v>67054494</v>
      </c>
      <c r="F237" s="19">
        <v>46256</v>
      </c>
      <c r="G237" s="17">
        <f t="shared" si="64"/>
        <v>5262495.1695219995</v>
      </c>
      <c r="H237" s="17">
        <v>4234543.1917588096</v>
      </c>
      <c r="I237" s="17">
        <v>1027951.9777631901</v>
      </c>
      <c r="J237" s="17">
        <v>3117784</v>
      </c>
      <c r="K237" s="17">
        <f>+Tabla22[[#This Row],[Web + APP 2026]]</f>
        <v>3369224</v>
      </c>
      <c r="L237" s="17">
        <v>47162.931034482703</v>
      </c>
      <c r="M237" s="17">
        <f>+Tabla22[[#This Row],[Afiliados 2026]]</f>
        <v>59039</v>
      </c>
      <c r="N237" s="17">
        <v>19293</v>
      </c>
      <c r="O237" s="17">
        <f>+Tabla22[[#This Row],[TMK 2026]]</f>
        <v>-1601</v>
      </c>
      <c r="P237" s="17">
        <v>5273</v>
      </c>
      <c r="Q237" s="17">
        <f>+Tabla22[[#This Row],[WA 2026]]</f>
        <v>4870</v>
      </c>
      <c r="R237" s="17">
        <v>203525</v>
      </c>
      <c r="S237" s="17">
        <f>+Tabla22[[#This Row],[Ent. en Tienda 2026]]</f>
        <v>139900</v>
      </c>
      <c r="T237" s="17">
        <v>648055</v>
      </c>
      <c r="U237" s="17">
        <f>+Tabla22[[#This Row],[Meli Drop 2026]]</f>
        <v>387183</v>
      </c>
      <c r="V237" s="17">
        <v>76037</v>
      </c>
      <c r="W237" s="17">
        <f>+Tabla22[[#This Row],[Meli Full 2026]]</f>
        <v>152415</v>
      </c>
      <c r="X237" s="17">
        <v>28466</v>
      </c>
      <c r="Y237" s="17">
        <f>+Tabla22[[#This Row],[Amazon Drop 2026]]</f>
        <v>32485</v>
      </c>
      <c r="Z237" s="17">
        <v>11786</v>
      </c>
      <c r="AA237" s="17">
        <f>+Tabla22[[#This Row],[Amazon Full 2026]]</f>
        <v>5859</v>
      </c>
      <c r="AB237" s="17">
        <v>265.07758620689702</v>
      </c>
      <c r="AC237" s="17">
        <f>+Tabla22[[#This Row],[TikTok 2026]]</f>
        <v>10215</v>
      </c>
      <c r="AD237" s="17">
        <v>0</v>
      </c>
      <c r="AE237" s="17">
        <f>+Tabla22[[#This Row],[Shein 2026]]</f>
        <v>2454</v>
      </c>
      <c r="AF237" s="17">
        <f t="shared" si="65"/>
        <v>4162043</v>
      </c>
      <c r="AG237" s="18">
        <f t="shared" si="66"/>
        <v>0.79088775683912782</v>
      </c>
      <c r="AH237" s="17">
        <f t="shared" si="67"/>
        <v>-1100452.1695219995</v>
      </c>
      <c r="AI237" s="20">
        <f t="shared" si="68"/>
        <v>1.0573267451987611E-3</v>
      </c>
      <c r="AJ237" s="20">
        <f t="shared" si="61"/>
        <v>5.8438289080454758E-2</v>
      </c>
      <c r="AK237" s="21">
        <f t="shared" si="69"/>
        <v>6.206956091563378E-2</v>
      </c>
      <c r="AL237" s="21">
        <f t="shared" si="62"/>
        <v>-5.7507793136193031E-2</v>
      </c>
      <c r="AO237" s="38">
        <f t="shared" si="70"/>
        <v>46256</v>
      </c>
      <c r="AP237" s="17">
        <f>Tabla2[[#This Row],[Web + APP 2025]]+Tabla2[[#This Row],[Afiliados 2025]]+Tabla2[[#This Row],[TMK 2025]]+Tabla2[[#This Row],[WA 2025]]+Tabla2[[#This Row],[Ent. en Tienda 2025]]</f>
        <v>3393037.9310344825</v>
      </c>
      <c r="AQ237" s="17">
        <f>Tabla2[[#This Row],[Meli Drop 2025]]+Tabla2[[#This Row],[Meli Full 2025]]+Tabla2[[#This Row],[Amazon Drop 2025]]+Tabla2[[#This Row],[Amazon Full 2025]]+Tabla2[[#This Row],[TikTok 2025]]+Tabla2[[#This Row],[Shein 2025]]</f>
        <v>764609.07758620684</v>
      </c>
      <c r="AR237" s="17">
        <f>Tabla2[[#This Row],[Web + APP 2026]]+Tabla2[[#This Row],[Afiliados 2026]]+Tabla2[[#This Row],[TMK 2026]]+Tabla2[[#This Row],[WA 2026]]+Tabla2[[#This Row],[Ent. en Tienda 2026]]</f>
        <v>3571432</v>
      </c>
      <c r="AS237" s="17">
        <f>Tabla2[[#This Row],[Meli Drop 2026]]+Tabla2[[#This Row],[Meli Full 2026]]+Tabla2[[#This Row],[Amazon Drop 2026]]+Tabla2[[#This Row],[Amazon Full 2026]]+Tabla2[[#This Row],[TikTok 2026]]+Tabla2[[#This Row],[Shein 2026]]</f>
        <v>590611</v>
      </c>
      <c r="AT237" s="18">
        <f t="shared" si="71"/>
        <v>5.2576503001582342E-2</v>
      </c>
      <c r="AU237" s="18">
        <f t="shared" si="71"/>
        <v>-0.22756475522825481</v>
      </c>
      <c r="AV237" s="49">
        <f t="shared" si="72"/>
        <v>4234543.1917588096</v>
      </c>
      <c r="AW237" s="49">
        <f t="shared" si="72"/>
        <v>1027951.9777631901</v>
      </c>
      <c r="AX237" s="39">
        <f t="shared" si="73"/>
        <v>0.84340431500395496</v>
      </c>
      <c r="AY237" s="39">
        <f t="shared" si="73"/>
        <v>0.57455115878580409</v>
      </c>
      <c r="AZ237" s="39">
        <f t="shared" si="74"/>
        <v>0.79088775683912782</v>
      </c>
      <c r="BA237" s="18">
        <v>2.4769927175016599E-2</v>
      </c>
      <c r="BB237" s="20">
        <v>2.8127417974645599E-2</v>
      </c>
      <c r="BC237" s="17">
        <f t="shared" si="82"/>
        <v>-663111.19175880961</v>
      </c>
      <c r="BD237" s="17">
        <f t="shared" si="83"/>
        <v>-437340.97776319005</v>
      </c>
      <c r="BE237" s="17">
        <f t="shared" si="84"/>
        <v>178394.06896551745</v>
      </c>
      <c r="BF237" s="17">
        <f t="shared" si="85"/>
        <v>-173998.07758620684</v>
      </c>
    </row>
    <row r="238" spans="1:58" ht="14.25" customHeight="1" x14ac:dyDescent="0.35">
      <c r="A238" s="16">
        <v>45893</v>
      </c>
      <c r="B238" s="17">
        <v>76021625</v>
      </c>
      <c r="C238" s="17">
        <f t="shared" si="63"/>
        <v>4558674.8706896557</v>
      </c>
      <c r="D238" s="18">
        <f>+Tabla22[[#This Row],[Share diario]]</f>
        <v>2.8636437785315279E-2</v>
      </c>
      <c r="E238" s="17">
        <f>+Tabla22[[#This Row],[Global 2026]]</f>
        <v>77397218</v>
      </c>
      <c r="F238" s="19">
        <v>46257</v>
      </c>
      <c r="G238" s="17">
        <f t="shared" si="64"/>
        <v>5490882.4495420801</v>
      </c>
      <c r="H238" s="17">
        <v>4412363.5770457499</v>
      </c>
      <c r="I238" s="17">
        <v>1078518.8724963299</v>
      </c>
      <c r="J238" s="17">
        <v>3423344</v>
      </c>
      <c r="K238" s="17">
        <f>+Tabla22[[#This Row],[Web + APP 2026]]</f>
        <v>3958103</v>
      </c>
      <c r="L238" s="17">
        <v>43106.896551724101</v>
      </c>
      <c r="M238" s="17">
        <f>+Tabla22[[#This Row],[Afiliados 2026]]</f>
        <v>68578</v>
      </c>
      <c r="N238" s="17">
        <v>5283</v>
      </c>
      <c r="O238" s="17">
        <f>+Tabla22[[#This Row],[TMK 2026]]</f>
        <v>43857</v>
      </c>
      <c r="P238" s="17">
        <v>5236</v>
      </c>
      <c r="Q238" s="17">
        <f>+Tabla22[[#This Row],[WA 2026]]</f>
        <v>7918</v>
      </c>
      <c r="R238" s="17">
        <v>165029</v>
      </c>
      <c r="S238" s="17">
        <f>+Tabla22[[#This Row],[Ent. en Tienda 2026]]</f>
        <v>150805</v>
      </c>
      <c r="T238" s="17">
        <v>757892</v>
      </c>
      <c r="U238" s="17">
        <f>+Tabla22[[#This Row],[Meli Drop 2026]]</f>
        <v>508203</v>
      </c>
      <c r="V238" s="17">
        <v>97355</v>
      </c>
      <c r="W238" s="17">
        <f>+Tabla22[[#This Row],[Meli Full 2026]]</f>
        <v>121705</v>
      </c>
      <c r="X238" s="17">
        <v>44629</v>
      </c>
      <c r="Y238" s="17">
        <f>+Tabla22[[#This Row],[Amazon Drop 2026]]</f>
        <v>47502</v>
      </c>
      <c r="Z238" s="17">
        <v>14410</v>
      </c>
      <c r="AA238" s="17">
        <f>+Tabla22[[#This Row],[Amazon Full 2026]]</f>
        <v>7251</v>
      </c>
      <c r="AB238" s="17">
        <v>2389.9741379310299</v>
      </c>
      <c r="AC238" s="17">
        <f>+Tabla22[[#This Row],[TikTok 2026]]</f>
        <v>7580</v>
      </c>
      <c r="AD238" s="17">
        <v>0</v>
      </c>
      <c r="AE238" s="17">
        <f>+Tabla22[[#This Row],[Shein 2026]]</f>
        <v>9302</v>
      </c>
      <c r="AF238" s="17">
        <f t="shared" si="65"/>
        <v>4930804</v>
      </c>
      <c r="AG238" s="18">
        <f t="shared" si="66"/>
        <v>0.89799846296312746</v>
      </c>
      <c r="AH238" s="17">
        <f t="shared" si="67"/>
        <v>-560078.44954208005</v>
      </c>
      <c r="AI238" s="20">
        <f t="shared" si="68"/>
        <v>8.1630987044716941E-2</v>
      </c>
      <c r="AJ238" s="20">
        <f t="shared" si="61"/>
        <v>5.9965501535775588E-2</v>
      </c>
      <c r="AK238" s="21">
        <f t="shared" si="69"/>
        <v>6.3707767894189679E-2</v>
      </c>
      <c r="AL238" s="21">
        <f t="shared" si="62"/>
        <v>1.8094759221471524E-2</v>
      </c>
      <c r="AO238" s="38">
        <f t="shared" si="70"/>
        <v>46257</v>
      </c>
      <c r="AP238" s="17">
        <f>Tabla2[[#This Row],[Web + APP 2025]]+Tabla2[[#This Row],[Afiliados 2025]]+Tabla2[[#This Row],[TMK 2025]]+Tabla2[[#This Row],[WA 2025]]+Tabla2[[#This Row],[Ent. en Tienda 2025]]</f>
        <v>3641998.8965517241</v>
      </c>
      <c r="AQ238" s="17">
        <f>Tabla2[[#This Row],[Meli Drop 2025]]+Tabla2[[#This Row],[Meli Full 2025]]+Tabla2[[#This Row],[Amazon Drop 2025]]+Tabla2[[#This Row],[Amazon Full 2025]]+Tabla2[[#This Row],[TikTok 2025]]+Tabla2[[#This Row],[Shein 2025]]</f>
        <v>916675.97413793101</v>
      </c>
      <c r="AR238" s="17">
        <f>Tabla2[[#This Row],[Web + APP 2026]]+Tabla2[[#This Row],[Afiliados 2026]]+Tabla2[[#This Row],[TMK 2026]]+Tabla2[[#This Row],[WA 2026]]+Tabla2[[#This Row],[Ent. en Tienda 2026]]</f>
        <v>4229261</v>
      </c>
      <c r="AS238" s="17">
        <f>Tabla2[[#This Row],[Meli Drop 2026]]+Tabla2[[#This Row],[Meli Full 2026]]+Tabla2[[#This Row],[Amazon Drop 2026]]+Tabla2[[#This Row],[Amazon Full 2026]]+Tabla2[[#This Row],[TikTok 2026]]+Tabla2[[#This Row],[Shein 2026]]</f>
        <v>701543</v>
      </c>
      <c r="AT238" s="18">
        <f t="shared" si="71"/>
        <v>0.16124719422740652</v>
      </c>
      <c r="AU238" s="18">
        <f t="shared" si="71"/>
        <v>-0.23468813431076163</v>
      </c>
      <c r="AV238" s="49">
        <f t="shared" si="72"/>
        <v>4412363.5770457499</v>
      </c>
      <c r="AW238" s="49">
        <f t="shared" si="72"/>
        <v>1078518.8724963299</v>
      </c>
      <c r="AX238" s="39">
        <f t="shared" si="73"/>
        <v>0.95850238226099582</v>
      </c>
      <c r="AY238" s="39">
        <f t="shared" si="73"/>
        <v>0.65046891425850983</v>
      </c>
      <c r="AZ238" s="39">
        <f t="shared" si="74"/>
        <v>0.89799846296312746</v>
      </c>
      <c r="BA238" s="18">
        <v>2.5988406566176701E-2</v>
      </c>
      <c r="BB238" s="20">
        <v>2.9308567410342001E-2</v>
      </c>
      <c r="BC238" s="17">
        <f t="shared" si="82"/>
        <v>-183102.57704574987</v>
      </c>
      <c r="BD238" s="17">
        <f t="shared" si="83"/>
        <v>-376975.87249632995</v>
      </c>
      <c r="BE238" s="17">
        <f t="shared" si="84"/>
        <v>587262.10344827594</v>
      </c>
      <c r="BF238" s="17">
        <f t="shared" si="85"/>
        <v>-215132.97413793101</v>
      </c>
    </row>
    <row r="239" spans="1:58" ht="14.25" customHeight="1" x14ac:dyDescent="0.35">
      <c r="A239" s="19">
        <v>45894</v>
      </c>
      <c r="B239" s="17">
        <v>46309068</v>
      </c>
      <c r="C239" s="17">
        <f t="shared" si="63"/>
        <v>6388825.4741379302</v>
      </c>
      <c r="D239" s="18">
        <f>+Tabla22[[#This Row],[Share diario]]</f>
        <v>3.1398579303944539E-2</v>
      </c>
      <c r="E239" s="17">
        <f>+Tabla22[[#This Row],[Global 2026]]</f>
        <v>47309764</v>
      </c>
      <c r="F239" s="19">
        <v>46258</v>
      </c>
      <c r="G239" s="17">
        <f t="shared" si="64"/>
        <v>6029133.3442718405</v>
      </c>
      <c r="H239" s="17">
        <v>4736116.6027066</v>
      </c>
      <c r="I239" s="17">
        <v>1293016.7415652401</v>
      </c>
      <c r="J239" s="17">
        <v>5203886</v>
      </c>
      <c r="K239" s="17">
        <f>+Tabla22[[#This Row],[Web + APP 2026]]</f>
        <v>6131578</v>
      </c>
      <c r="L239" s="17">
        <v>38813.793103448297</v>
      </c>
      <c r="M239" s="17">
        <f>+Tabla22[[#This Row],[Afiliados 2026]]</f>
        <v>58667</v>
      </c>
      <c r="N239" s="17">
        <v>56753</v>
      </c>
      <c r="O239" s="17">
        <f>+Tabla22[[#This Row],[TMK 2026]]</f>
        <v>32753</v>
      </c>
      <c r="P239" s="17">
        <v>4215</v>
      </c>
      <c r="Q239" s="17">
        <f>+Tabla22[[#This Row],[WA 2026]]</f>
        <v>15416</v>
      </c>
      <c r="R239" s="17">
        <v>137354</v>
      </c>
      <c r="S239" s="17">
        <f>+Tabla22[[#This Row],[Ent. en Tienda 2026]]</f>
        <v>133228</v>
      </c>
      <c r="T239" s="17">
        <v>801333</v>
      </c>
      <c r="U239" s="17">
        <f>+Tabla22[[#This Row],[Meli Drop 2026]]</f>
        <v>636618</v>
      </c>
      <c r="V239" s="17">
        <v>95156</v>
      </c>
      <c r="W239" s="17">
        <f>+Tabla22[[#This Row],[Meli Full 2026]]</f>
        <v>135260</v>
      </c>
      <c r="X239" s="17">
        <v>42338</v>
      </c>
      <c r="Y239" s="17">
        <f>+Tabla22[[#This Row],[Amazon Drop 2026]]</f>
        <v>52222</v>
      </c>
      <c r="Z239" s="17">
        <v>7580</v>
      </c>
      <c r="AA239" s="17">
        <f>+Tabla22[[#This Row],[Amazon Full 2026]]</f>
        <v>6960</v>
      </c>
      <c r="AB239" s="17">
        <v>1311.33620689655</v>
      </c>
      <c r="AC239" s="17">
        <f>+Tabla22[[#This Row],[TikTok 2026]]</f>
        <v>13168</v>
      </c>
      <c r="AD239" s="17">
        <v>85.344827586206904</v>
      </c>
      <c r="AE239" s="17">
        <f>+Tabla22[[#This Row],[Shein 2026]]</f>
        <v>4349</v>
      </c>
      <c r="AF239" s="17">
        <f t="shared" si="65"/>
        <v>7220219</v>
      </c>
      <c r="AG239" s="18">
        <f t="shared" si="66"/>
        <v>1.1975550361412699</v>
      </c>
      <c r="AH239" s="17">
        <f t="shared" si="67"/>
        <v>1191085.6557281595</v>
      </c>
      <c r="AI239" s="20">
        <f t="shared" si="68"/>
        <v>0.13013245223673175</v>
      </c>
      <c r="AJ239" s="20">
        <f t="shared" si="61"/>
        <v>0.13796057122414837</v>
      </c>
      <c r="AK239" s="21">
        <f t="shared" si="69"/>
        <v>0.15261583211448698</v>
      </c>
      <c r="AL239" s="21">
        <f t="shared" si="62"/>
        <v>2.1609072331146839E-2</v>
      </c>
      <c r="AO239" s="38">
        <f t="shared" si="70"/>
        <v>46258</v>
      </c>
      <c r="AP239" s="17">
        <f>Tabla2[[#This Row],[Web + APP 2025]]+Tabla2[[#This Row],[Afiliados 2025]]+Tabla2[[#This Row],[TMK 2025]]+Tabla2[[#This Row],[WA 2025]]+Tabla2[[#This Row],[Ent. en Tienda 2025]]</f>
        <v>5441021.7931034481</v>
      </c>
      <c r="AQ239" s="17">
        <f>Tabla2[[#This Row],[Meli Drop 2025]]+Tabla2[[#This Row],[Meli Full 2025]]+Tabla2[[#This Row],[Amazon Drop 2025]]+Tabla2[[#This Row],[Amazon Full 2025]]+Tabla2[[#This Row],[TikTok 2025]]+Tabla2[[#This Row],[Shein 2025]]</f>
        <v>947803.68103448278</v>
      </c>
      <c r="AR239" s="17">
        <f>Tabla2[[#This Row],[Web + APP 2026]]+Tabla2[[#This Row],[Afiliados 2026]]+Tabla2[[#This Row],[TMK 2026]]+Tabla2[[#This Row],[WA 2026]]+Tabla2[[#This Row],[Ent. en Tienda 2026]]</f>
        <v>6371642</v>
      </c>
      <c r="AS239" s="17">
        <f>Tabla2[[#This Row],[Meli Drop 2026]]+Tabla2[[#This Row],[Meli Full 2026]]+Tabla2[[#This Row],[Amazon Drop 2026]]+Tabla2[[#This Row],[Amazon Full 2026]]+Tabla2[[#This Row],[TikTok 2026]]+Tabla2[[#This Row],[Shein 2026]]</f>
        <v>848577</v>
      </c>
      <c r="AT239" s="18">
        <f t="shared" si="71"/>
        <v>0.17103776501614498</v>
      </c>
      <c r="AU239" s="18">
        <f t="shared" si="71"/>
        <v>-0.10469117499752856</v>
      </c>
      <c r="AV239" s="49">
        <f t="shared" si="72"/>
        <v>4736116.6027066</v>
      </c>
      <c r="AW239" s="49">
        <f t="shared" si="72"/>
        <v>1293016.7415652401</v>
      </c>
      <c r="AX239" s="39">
        <f t="shared" si="73"/>
        <v>1.3453304752587232</v>
      </c>
      <c r="AY239" s="39">
        <f t="shared" si="73"/>
        <v>0.65627688545839635</v>
      </c>
      <c r="AZ239" s="39">
        <f t="shared" si="74"/>
        <v>1.1975550361412699</v>
      </c>
      <c r="BA239" s="18">
        <v>3.1157029917234701E-2</v>
      </c>
      <c r="BB239" s="20">
        <v>3.1459055966236597E-2</v>
      </c>
      <c r="BC239" s="17">
        <f t="shared" si="82"/>
        <v>1635525.3972934</v>
      </c>
      <c r="BD239" s="17">
        <f t="shared" si="83"/>
        <v>-444439.74156524008</v>
      </c>
      <c r="BE239" s="17">
        <f t="shared" si="84"/>
        <v>930620.20689655188</v>
      </c>
      <c r="BF239" s="17">
        <f t="shared" si="85"/>
        <v>-99226.681034482783</v>
      </c>
    </row>
    <row r="240" spans="1:58" ht="14.25" customHeight="1" x14ac:dyDescent="0.35">
      <c r="A240" s="16">
        <v>45895</v>
      </c>
      <c r="B240" s="17">
        <v>53790769</v>
      </c>
      <c r="C240" s="17">
        <f t="shared" si="63"/>
        <v>7102112.818965517</v>
      </c>
      <c r="D240" s="18">
        <f>+Tabla22[[#This Row],[Share diario]]</f>
        <v>4.4004025072846058E-2</v>
      </c>
      <c r="E240" s="17">
        <f>+Tabla22[[#This Row],[Global 2026]]</f>
        <v>54670468</v>
      </c>
      <c r="F240" s="19">
        <v>46259</v>
      </c>
      <c r="G240" s="17">
        <f t="shared" si="64"/>
        <v>8412520.1364019103</v>
      </c>
      <c r="H240" s="17">
        <v>7075596.2266776804</v>
      </c>
      <c r="I240" s="17">
        <v>1336923.9097242299</v>
      </c>
      <c r="J240" s="17">
        <v>5685559</v>
      </c>
      <c r="K240" s="17">
        <f>+Tabla22[[#This Row],[Web + APP 2026]]</f>
        <v>6380671</v>
      </c>
      <c r="L240" s="17">
        <v>40163.793103448297</v>
      </c>
      <c r="M240" s="17">
        <f>+Tabla22[[#This Row],[Afiliados 2026]]</f>
        <v>61333</v>
      </c>
      <c r="N240" s="17">
        <v>95169</v>
      </c>
      <c r="O240" s="17">
        <f>+Tabla22[[#This Row],[TMK 2026]]</f>
        <v>74046</v>
      </c>
      <c r="P240" s="17">
        <v>522</v>
      </c>
      <c r="Q240" s="17">
        <f>+Tabla22[[#This Row],[WA 2026]]</f>
        <v>-197</v>
      </c>
      <c r="R240" s="17">
        <v>206180</v>
      </c>
      <c r="S240" s="17">
        <f>+Tabla22[[#This Row],[Ent. en Tienda 2026]]</f>
        <v>119701</v>
      </c>
      <c r="T240" s="17">
        <v>931011</v>
      </c>
      <c r="U240" s="17">
        <f>+Tabla22[[#This Row],[Meli Drop 2026]]</f>
        <v>614316</v>
      </c>
      <c r="V240" s="17">
        <v>80136</v>
      </c>
      <c r="W240" s="17">
        <f>+Tabla22[[#This Row],[Meli Full 2026]]</f>
        <v>116509</v>
      </c>
      <c r="X240" s="17">
        <v>46712</v>
      </c>
      <c r="Y240" s="17">
        <f>+Tabla22[[#This Row],[Amazon Drop 2026]]</f>
        <v>54496</v>
      </c>
      <c r="Z240" s="17">
        <v>15753</v>
      </c>
      <c r="AA240" s="17">
        <f>+Tabla22[[#This Row],[Amazon Full 2026]]</f>
        <v>2681</v>
      </c>
      <c r="AB240" s="17">
        <v>992.37068965517199</v>
      </c>
      <c r="AC240" s="17">
        <f>+Tabla22[[#This Row],[TikTok 2026]]</f>
        <v>9207</v>
      </c>
      <c r="AD240" s="17">
        <v>-85.344827586206904</v>
      </c>
      <c r="AE240" s="17">
        <f>+Tabla22[[#This Row],[Shein 2026]]</f>
        <v>4952</v>
      </c>
      <c r="AF240" s="17">
        <f t="shared" si="65"/>
        <v>7437715</v>
      </c>
      <c r="AG240" s="18">
        <f t="shared" si="66"/>
        <v>0.88412448105962682</v>
      </c>
      <c r="AH240" s="17">
        <f t="shared" si="67"/>
        <v>-974805.13640191033</v>
      </c>
      <c r="AI240" s="20">
        <f t="shared" si="68"/>
        <v>4.7253851014347426E-2</v>
      </c>
      <c r="AJ240" s="20">
        <f t="shared" si="61"/>
        <v>0.13203218602369335</v>
      </c>
      <c r="AK240" s="21">
        <f t="shared" si="69"/>
        <v>0.13604630199982923</v>
      </c>
      <c r="AL240" s="21">
        <f t="shared" si="62"/>
        <v>1.6354088561180369E-2</v>
      </c>
      <c r="AO240" s="38">
        <f t="shared" si="70"/>
        <v>46259</v>
      </c>
      <c r="AP240" s="17">
        <f>Tabla2[[#This Row],[Web + APP 2025]]+Tabla2[[#This Row],[Afiliados 2025]]+Tabla2[[#This Row],[TMK 2025]]+Tabla2[[#This Row],[WA 2025]]+Tabla2[[#This Row],[Ent. en Tienda 2025]]</f>
        <v>6027593.7931034481</v>
      </c>
      <c r="AQ240" s="17">
        <f>Tabla2[[#This Row],[Meli Drop 2025]]+Tabla2[[#This Row],[Meli Full 2025]]+Tabla2[[#This Row],[Amazon Drop 2025]]+Tabla2[[#This Row],[Amazon Full 2025]]+Tabla2[[#This Row],[TikTok 2025]]+Tabla2[[#This Row],[Shein 2025]]</f>
        <v>1074519.0258620689</v>
      </c>
      <c r="AR240" s="17">
        <f>Tabla2[[#This Row],[Web + APP 2026]]+Tabla2[[#This Row],[Afiliados 2026]]+Tabla2[[#This Row],[TMK 2026]]+Tabla2[[#This Row],[WA 2026]]+Tabla2[[#This Row],[Ent. en Tienda 2026]]</f>
        <v>6635554</v>
      </c>
      <c r="AS240" s="17">
        <f>Tabla2[[#This Row],[Meli Drop 2026]]+Tabla2[[#This Row],[Meli Full 2026]]+Tabla2[[#This Row],[Amazon Drop 2026]]+Tabla2[[#This Row],[Amazon Full 2026]]+Tabla2[[#This Row],[TikTok 2026]]+Tabla2[[#This Row],[Shein 2026]]</f>
        <v>802161</v>
      </c>
      <c r="AT240" s="18">
        <f t="shared" si="71"/>
        <v>0.10086283644265448</v>
      </c>
      <c r="AU240" s="18">
        <f t="shared" si="71"/>
        <v>-0.25346970998820662</v>
      </c>
      <c r="AV240" s="49">
        <f t="shared" si="72"/>
        <v>7075596.2266776804</v>
      </c>
      <c r="AW240" s="49">
        <f t="shared" si="72"/>
        <v>1336923.9097242299</v>
      </c>
      <c r="AX240" s="39">
        <f t="shared" si="73"/>
        <v>0.93780845986963557</v>
      </c>
      <c r="AY240" s="39">
        <f t="shared" si="73"/>
        <v>0.60000497722077795</v>
      </c>
      <c r="AZ240" s="39">
        <f t="shared" si="74"/>
        <v>0.88412448105962682</v>
      </c>
      <c r="BA240" s="18">
        <v>3.22150339692584E-2</v>
      </c>
      <c r="BB240" s="20">
        <v>4.6998753696718298E-2</v>
      </c>
      <c r="BC240" s="17">
        <f t="shared" si="82"/>
        <v>-440042.22667768039</v>
      </c>
      <c r="BD240" s="17">
        <f t="shared" si="83"/>
        <v>-534762.90972422995</v>
      </c>
      <c r="BE240" s="17">
        <f t="shared" si="84"/>
        <v>607960.20689655188</v>
      </c>
      <c r="BF240" s="17">
        <f t="shared" si="85"/>
        <v>-272358.02586206887</v>
      </c>
    </row>
    <row r="241" spans="1:58" ht="14.25" customHeight="1" x14ac:dyDescent="0.35">
      <c r="A241" s="19">
        <v>45896</v>
      </c>
      <c r="B241" s="17">
        <v>56826362</v>
      </c>
      <c r="C241" s="17">
        <f t="shared" si="63"/>
        <v>5768049.3017241377</v>
      </c>
      <c r="D241" s="18">
        <f>+Tabla22[[#This Row],[Share diario]]</f>
        <v>4.8916902147512459E-2</v>
      </c>
      <c r="E241" s="17">
        <f>+Tabla22[[#This Row],[Global 2026]]</f>
        <v>59000790</v>
      </c>
      <c r="F241" s="19">
        <v>46260</v>
      </c>
      <c r="G241" s="17">
        <f t="shared" si="64"/>
        <v>9354046.4810934905</v>
      </c>
      <c r="H241" s="17">
        <v>7838384.3182702204</v>
      </c>
      <c r="I241" s="17">
        <v>1515662.1628232701</v>
      </c>
      <c r="J241" s="17">
        <v>4516794</v>
      </c>
      <c r="K241" s="17">
        <f>+Tabla22[[#This Row],[Web + APP 2026]]</f>
        <v>5466857</v>
      </c>
      <c r="L241" s="17">
        <v>37898.275862069</v>
      </c>
      <c r="M241" s="17">
        <f>+Tabla22[[#This Row],[Afiliados 2026]]</f>
        <v>70041</v>
      </c>
      <c r="N241" s="17">
        <v>51151</v>
      </c>
      <c r="O241" s="17">
        <f>+Tabla22[[#This Row],[TMK 2026]]</f>
        <v>52851</v>
      </c>
      <c r="P241" s="17">
        <v>2199</v>
      </c>
      <c r="Q241" s="17">
        <f>+Tabla22[[#This Row],[WA 2026]]</f>
        <v>8568</v>
      </c>
      <c r="R241" s="17">
        <v>144834</v>
      </c>
      <c r="S241" s="17">
        <f>+Tabla22[[#This Row],[Ent. en Tienda 2026]]</f>
        <v>157094</v>
      </c>
      <c r="T241" s="17">
        <v>864251</v>
      </c>
      <c r="U241" s="17">
        <f>+Tabla22[[#This Row],[Meli Drop 2026]]</f>
        <v>775906</v>
      </c>
      <c r="V241" s="17">
        <v>85695</v>
      </c>
      <c r="W241" s="17">
        <f>+Tabla22[[#This Row],[Meli Full 2026]]</f>
        <v>249538</v>
      </c>
      <c r="X241" s="17">
        <v>46707</v>
      </c>
      <c r="Y241" s="17">
        <f>+Tabla22[[#This Row],[Amazon Drop 2026]]</f>
        <v>51355</v>
      </c>
      <c r="Z241" s="17">
        <v>16838</v>
      </c>
      <c r="AA241" s="17">
        <f>+Tabla22[[#This Row],[Amazon Full 2026]]</f>
        <v>5672</v>
      </c>
      <c r="AB241" s="17">
        <v>1079.4396551724101</v>
      </c>
      <c r="AC241" s="17">
        <f>+Tabla22[[#This Row],[TikTok 2026]]</f>
        <v>9556</v>
      </c>
      <c r="AD241" s="17">
        <v>602.58620689655197</v>
      </c>
      <c r="AE241" s="17">
        <f>+Tabla22[[#This Row],[Shein 2026]]</f>
        <v>5254</v>
      </c>
      <c r="AF241" s="17">
        <f t="shared" si="65"/>
        <v>6852692</v>
      </c>
      <c r="AG241" s="18">
        <f t="shared" si="66"/>
        <v>0.73259118541379309</v>
      </c>
      <c r="AH241" s="17">
        <f t="shared" si="67"/>
        <v>-2501354.4810934905</v>
      </c>
      <c r="AI241" s="20">
        <f t="shared" si="68"/>
        <v>0.1880432433113306</v>
      </c>
      <c r="AJ241" s="20">
        <f t="shared" si="61"/>
        <v>0.10150305419382888</v>
      </c>
      <c r="AK241" s="21">
        <f t="shared" si="69"/>
        <v>0.11614576686176575</v>
      </c>
      <c r="AL241" s="21">
        <f t="shared" si="62"/>
        <v>3.8264423824984517E-2</v>
      </c>
      <c r="AO241" s="38">
        <f t="shared" si="70"/>
        <v>46260</v>
      </c>
      <c r="AP241" s="17">
        <f>Tabla2[[#This Row],[Web + APP 2025]]+Tabla2[[#This Row],[Afiliados 2025]]+Tabla2[[#This Row],[TMK 2025]]+Tabla2[[#This Row],[WA 2025]]+Tabla2[[#This Row],[Ent. en Tienda 2025]]</f>
        <v>4752876.2758620689</v>
      </c>
      <c r="AQ241" s="17">
        <f>Tabla2[[#This Row],[Meli Drop 2025]]+Tabla2[[#This Row],[Meli Full 2025]]+Tabla2[[#This Row],[Amazon Drop 2025]]+Tabla2[[#This Row],[Amazon Full 2025]]+Tabla2[[#This Row],[TikTok 2025]]+Tabla2[[#This Row],[Shein 2025]]</f>
        <v>1015173.025862069</v>
      </c>
      <c r="AR241" s="17">
        <f>Tabla2[[#This Row],[Web + APP 2026]]+Tabla2[[#This Row],[Afiliados 2026]]+Tabla2[[#This Row],[TMK 2026]]+Tabla2[[#This Row],[WA 2026]]+Tabla2[[#This Row],[Ent. en Tienda 2026]]</f>
        <v>5755411</v>
      </c>
      <c r="AS241" s="17">
        <f>Tabla2[[#This Row],[Meli Drop 2026]]+Tabla2[[#This Row],[Meli Full 2026]]+Tabla2[[#This Row],[Amazon Drop 2026]]+Tabla2[[#This Row],[Amazon Full 2026]]+Tabla2[[#This Row],[TikTok 2026]]+Tabla2[[#This Row],[Shein 2026]]</f>
        <v>1097281</v>
      </c>
      <c r="AT241" s="18">
        <f t="shared" si="71"/>
        <v>0.21093221576782861</v>
      </c>
      <c r="AU241" s="18">
        <f t="shared" si="71"/>
        <v>8.0880768151031512E-2</v>
      </c>
      <c r="AV241" s="49">
        <f t="shared" si="72"/>
        <v>7838384.3182702204</v>
      </c>
      <c r="AW241" s="49">
        <f t="shared" si="72"/>
        <v>1515662.1628232701</v>
      </c>
      <c r="AX241" s="39">
        <f t="shared" si="73"/>
        <v>0.73425986355184325</v>
      </c>
      <c r="AY241" s="39">
        <f t="shared" si="73"/>
        <v>0.72396146510384696</v>
      </c>
      <c r="AZ241" s="39">
        <f t="shared" si="74"/>
        <v>0.73259118541379309</v>
      </c>
      <c r="BA241" s="18">
        <v>3.65219798270668E-2</v>
      </c>
      <c r="BB241" s="20">
        <v>5.2065477191252797E-2</v>
      </c>
      <c r="BC241" s="17">
        <f t="shared" si="82"/>
        <v>-2082973.3182702204</v>
      </c>
      <c r="BD241" s="17">
        <f t="shared" si="83"/>
        <v>-418381.16282327008</v>
      </c>
      <c r="BE241" s="17">
        <f t="shared" si="84"/>
        <v>1002534.7241379311</v>
      </c>
      <c r="BF241" s="17">
        <f t="shared" si="85"/>
        <v>82107.974137931014</v>
      </c>
    </row>
    <row r="242" spans="1:58" ht="14.25" customHeight="1" x14ac:dyDescent="0.35">
      <c r="A242" s="16">
        <v>45897</v>
      </c>
      <c r="B242" s="17">
        <v>63734827</v>
      </c>
      <c r="C242" s="17">
        <f t="shared" si="63"/>
        <v>5054660.6293103443</v>
      </c>
      <c r="D242" s="18">
        <f>+Tabla22[[#This Row],[Share diario]]</f>
        <v>3.9728333028024962E-2</v>
      </c>
      <c r="E242" s="17">
        <f>+Tabla22[[#This Row],[Global 2026]]</f>
        <v>64275874</v>
      </c>
      <c r="F242" s="19">
        <v>46261</v>
      </c>
      <c r="G242" s="17">
        <f t="shared" si="64"/>
        <v>7612671.9237513505</v>
      </c>
      <c r="H242" s="17">
        <v>6180720.2253777403</v>
      </c>
      <c r="I242" s="17">
        <v>1431951.6983736099</v>
      </c>
      <c r="J242" s="17">
        <v>3868560</v>
      </c>
      <c r="K242" s="17">
        <f>+Tabla22[[#This Row],[Web + APP 2026]]</f>
        <v>3927126</v>
      </c>
      <c r="L242" s="17">
        <v>31270.689655172398</v>
      </c>
      <c r="M242" s="17">
        <f>+Tabla22[[#This Row],[Afiliados 2026]]</f>
        <v>60647</v>
      </c>
      <c r="N242" s="17">
        <v>38622</v>
      </c>
      <c r="O242" s="17">
        <f>+Tabla22[[#This Row],[TMK 2026]]</f>
        <v>52706</v>
      </c>
      <c r="P242" s="17">
        <v>4537</v>
      </c>
      <c r="Q242" s="17">
        <f>+Tabla22[[#This Row],[WA 2026]]</f>
        <v>5466</v>
      </c>
      <c r="R242" s="17">
        <v>232069</v>
      </c>
      <c r="S242" s="17">
        <f>+Tabla22[[#This Row],[Ent. en Tienda 2026]]</f>
        <v>156592</v>
      </c>
      <c r="T242" s="17">
        <v>646678</v>
      </c>
      <c r="U242" s="17">
        <f>+Tabla22[[#This Row],[Meli Drop 2026]]</f>
        <v>626922</v>
      </c>
      <c r="V242" s="17">
        <v>183692</v>
      </c>
      <c r="W242" s="17">
        <f>+Tabla22[[#This Row],[Meli Full 2026]]</f>
        <v>258753</v>
      </c>
      <c r="X242" s="17">
        <v>35183</v>
      </c>
      <c r="Y242" s="17">
        <f>+Tabla22[[#This Row],[Amazon Drop 2026]]</f>
        <v>52309</v>
      </c>
      <c r="Z242" s="17">
        <v>12747</v>
      </c>
      <c r="AA242" s="17">
        <f>+Tabla22[[#This Row],[Amazon Full 2026]]</f>
        <v>7041</v>
      </c>
      <c r="AB242" s="17">
        <v>1301.9396551724101</v>
      </c>
      <c r="AC242" s="17">
        <f>+Tabla22[[#This Row],[TikTok 2026]]</f>
        <v>8479</v>
      </c>
      <c r="AD242" s="17">
        <v>0</v>
      </c>
      <c r="AE242" s="17">
        <f>+Tabla22[[#This Row],[Shein 2026]]</f>
        <v>4392</v>
      </c>
      <c r="AF242" s="17">
        <f t="shared" si="65"/>
        <v>5160433</v>
      </c>
      <c r="AG242" s="18">
        <f t="shared" si="66"/>
        <v>0.67787408306662678</v>
      </c>
      <c r="AH242" s="17">
        <f t="shared" si="67"/>
        <v>-2452238.9237513505</v>
      </c>
      <c r="AI242" s="20">
        <f t="shared" si="68"/>
        <v>2.0925711624696586E-2</v>
      </c>
      <c r="AJ242" s="20">
        <f t="shared" si="61"/>
        <v>7.9307670032749036E-2</v>
      </c>
      <c r="AK242" s="21">
        <f t="shared" si="69"/>
        <v>8.0285691642248219E-2</v>
      </c>
      <c r="AL242" s="21">
        <f t="shared" si="62"/>
        <v>8.489032220955206E-3</v>
      </c>
      <c r="AO242" s="38">
        <f t="shared" si="70"/>
        <v>46261</v>
      </c>
      <c r="AP242" s="17">
        <f>Tabla2[[#This Row],[Web + APP 2025]]+Tabla2[[#This Row],[Afiliados 2025]]+Tabla2[[#This Row],[TMK 2025]]+Tabla2[[#This Row],[WA 2025]]+Tabla2[[#This Row],[Ent. en Tienda 2025]]</f>
        <v>4175058.6896551722</v>
      </c>
      <c r="AQ242" s="17">
        <f>Tabla2[[#This Row],[Meli Drop 2025]]+Tabla2[[#This Row],[Meli Full 2025]]+Tabla2[[#This Row],[Amazon Drop 2025]]+Tabla2[[#This Row],[Amazon Full 2025]]+Tabla2[[#This Row],[TikTok 2025]]+Tabla2[[#This Row],[Shein 2025]]</f>
        <v>879601.93965517241</v>
      </c>
      <c r="AR242" s="17">
        <f>Tabla2[[#This Row],[Web + APP 2026]]+Tabla2[[#This Row],[Afiliados 2026]]+Tabla2[[#This Row],[TMK 2026]]+Tabla2[[#This Row],[WA 2026]]+Tabla2[[#This Row],[Ent. en Tienda 2026]]</f>
        <v>4202537</v>
      </c>
      <c r="AS242" s="17">
        <f>Tabla2[[#This Row],[Meli Drop 2026]]+Tabla2[[#This Row],[Meli Full 2026]]+Tabla2[[#This Row],[Amazon Drop 2026]]+Tabla2[[#This Row],[Amazon Full 2026]]+Tabla2[[#This Row],[TikTok 2026]]+Tabla2[[#This Row],[Shein 2026]]</f>
        <v>957896</v>
      </c>
      <c r="AT242" s="18">
        <f t="shared" si="71"/>
        <v>6.5815387009797721E-3</v>
      </c>
      <c r="AU242" s="18">
        <f t="shared" si="71"/>
        <v>8.9010786374028372E-2</v>
      </c>
      <c r="AV242" s="49">
        <f t="shared" si="72"/>
        <v>6180720.2253777403</v>
      </c>
      <c r="AW242" s="49">
        <f t="shared" si="72"/>
        <v>1431951.6983736099</v>
      </c>
      <c r="AX242" s="39">
        <f t="shared" si="73"/>
        <v>0.6799429268363556</v>
      </c>
      <c r="AY242" s="39">
        <f t="shared" si="73"/>
        <v>0.66894435132690888</v>
      </c>
      <c r="AZ242" s="39">
        <f t="shared" si="74"/>
        <v>0.67787408306662678</v>
      </c>
      <c r="BA242" s="18">
        <v>3.4504860201773797E-2</v>
      </c>
      <c r="BB242" s="20">
        <v>4.1054652955691703E-2</v>
      </c>
      <c r="BC242" s="17">
        <f t="shared" si="82"/>
        <v>-1978183.2253777403</v>
      </c>
      <c r="BD242" s="17">
        <f t="shared" si="83"/>
        <v>-474055.69837360992</v>
      </c>
      <c r="BE242" s="17">
        <f t="shared" si="84"/>
        <v>27478.310344827827</v>
      </c>
      <c r="BF242" s="17">
        <f t="shared" si="85"/>
        <v>78294.060344827594</v>
      </c>
    </row>
    <row r="243" spans="1:58" ht="14.25" customHeight="1" x14ac:dyDescent="0.35">
      <c r="A243" s="19">
        <v>45898</v>
      </c>
      <c r="B243" s="17">
        <v>65931437</v>
      </c>
      <c r="C243" s="17">
        <f t="shared" si="63"/>
        <v>4667974.1982758613</v>
      </c>
      <c r="D243" s="18">
        <f>+Tabla22[[#This Row],[Share diario]]</f>
        <v>3.4814758043913069E-2</v>
      </c>
      <c r="E243" s="17">
        <f>+Tabla22[[#This Row],[Global 2026]]</f>
        <v>63186398</v>
      </c>
      <c r="F243" s="19">
        <v>46262</v>
      </c>
      <c r="G243" s="17">
        <f t="shared" si="64"/>
        <v>6670038.5053026695</v>
      </c>
      <c r="H243" s="17">
        <v>5429316.5206810199</v>
      </c>
      <c r="I243" s="17">
        <v>1240721.9846216501</v>
      </c>
      <c r="J243" s="17">
        <v>3565076</v>
      </c>
      <c r="K243" s="17">
        <f>+Tabla22[[#This Row],[Web + APP 2026]]</f>
        <v>2812166</v>
      </c>
      <c r="L243" s="17">
        <v>41705.172413793101</v>
      </c>
      <c r="M243" s="17">
        <f>+Tabla22[[#This Row],[Afiliados 2026]]</f>
        <v>61210</v>
      </c>
      <c r="N243" s="17">
        <v>58290</v>
      </c>
      <c r="O243" s="17">
        <f>+Tabla22[[#This Row],[TMK 2026]]</f>
        <v>22420</v>
      </c>
      <c r="P243" s="17">
        <v>-1718</v>
      </c>
      <c r="Q243" s="17">
        <f>+Tabla22[[#This Row],[WA 2026]]</f>
        <v>3648</v>
      </c>
      <c r="R243" s="17">
        <v>175197</v>
      </c>
      <c r="S243" s="17">
        <f>+Tabla22[[#This Row],[Ent. en Tienda 2026]]</f>
        <v>190048</v>
      </c>
      <c r="T243" s="17">
        <v>594390</v>
      </c>
      <c r="U243" s="17">
        <f>+Tabla22[[#This Row],[Meli Drop 2026]]</f>
        <v>477252</v>
      </c>
      <c r="V243" s="17">
        <v>186981</v>
      </c>
      <c r="W243" s="17">
        <f>+Tabla22[[#This Row],[Meli Full 2026]]</f>
        <v>316767</v>
      </c>
      <c r="X243" s="17">
        <v>36599</v>
      </c>
      <c r="Y243" s="17">
        <f>+Tabla22[[#This Row],[Amazon Drop 2026]]</f>
        <v>43552</v>
      </c>
      <c r="Z243" s="17">
        <v>9709</v>
      </c>
      <c r="AA243" s="17">
        <f>+Tabla22[[#This Row],[Amazon Full 2026]]</f>
        <v>6081</v>
      </c>
      <c r="AB243" s="17">
        <v>711.40517241379303</v>
      </c>
      <c r="AC243" s="17">
        <f>+Tabla22[[#This Row],[TikTok 2026]]</f>
        <v>8857</v>
      </c>
      <c r="AD243" s="17">
        <v>1033.6206896551701</v>
      </c>
      <c r="AE243" s="17">
        <f>+Tabla22[[#This Row],[Shein 2026]]</f>
        <v>5442</v>
      </c>
      <c r="AF243" s="17">
        <f t="shared" si="65"/>
        <v>3947443</v>
      </c>
      <c r="AG243" s="18">
        <f t="shared" si="66"/>
        <v>0.59181712322376989</v>
      </c>
      <c r="AH243" s="17">
        <f t="shared" si="67"/>
        <v>-2722595.5053026695</v>
      </c>
      <c r="AI243" s="20">
        <f t="shared" si="68"/>
        <v>-0.15435629411619134</v>
      </c>
      <c r="AJ243" s="20">
        <f t="shared" si="61"/>
        <v>7.0800431640461001E-2</v>
      </c>
      <c r="AK243" s="21">
        <f t="shared" si="69"/>
        <v>6.2472986670327371E-2</v>
      </c>
      <c r="AL243" s="21">
        <f t="shared" si="62"/>
        <v>-4.1634751567753647E-2</v>
      </c>
      <c r="AO243" s="38">
        <f t="shared" si="70"/>
        <v>46262</v>
      </c>
      <c r="AP243" s="17">
        <f>Tabla2[[#This Row],[Web + APP 2025]]+Tabla2[[#This Row],[Afiliados 2025]]+Tabla2[[#This Row],[TMK 2025]]+Tabla2[[#This Row],[WA 2025]]+Tabla2[[#This Row],[Ent. en Tienda 2025]]</f>
        <v>3838550.1724137929</v>
      </c>
      <c r="AQ243" s="17">
        <f>Tabla2[[#This Row],[Meli Drop 2025]]+Tabla2[[#This Row],[Meli Full 2025]]+Tabla2[[#This Row],[Amazon Drop 2025]]+Tabla2[[#This Row],[Amazon Full 2025]]+Tabla2[[#This Row],[TikTok 2025]]+Tabla2[[#This Row],[Shein 2025]]</f>
        <v>829424.02586206899</v>
      </c>
      <c r="AR243" s="17">
        <f>Tabla2[[#This Row],[Web + APP 2026]]+Tabla2[[#This Row],[Afiliados 2026]]+Tabla2[[#This Row],[TMK 2026]]+Tabla2[[#This Row],[WA 2026]]+Tabla2[[#This Row],[Ent. en Tienda 2026]]</f>
        <v>3089492</v>
      </c>
      <c r="AS243" s="17">
        <f>Tabla2[[#This Row],[Meli Drop 2026]]+Tabla2[[#This Row],[Meli Full 2026]]+Tabla2[[#This Row],[Amazon Drop 2026]]+Tabla2[[#This Row],[Amazon Full 2026]]+Tabla2[[#This Row],[TikTok 2026]]+Tabla2[[#This Row],[Shein 2026]]</f>
        <v>857951</v>
      </c>
      <c r="AT243" s="18">
        <f t="shared" si="71"/>
        <v>-0.19514090965828468</v>
      </c>
      <c r="AU243" s="18">
        <f t="shared" si="71"/>
        <v>3.439371569720473E-2</v>
      </c>
      <c r="AV243" s="49">
        <f t="shared" si="72"/>
        <v>5429316.5206810199</v>
      </c>
      <c r="AW243" s="49">
        <f t="shared" si="72"/>
        <v>1240721.9846216501</v>
      </c>
      <c r="AX243" s="39">
        <f t="shared" si="73"/>
        <v>0.56903884461915166</v>
      </c>
      <c r="AY243" s="39">
        <f t="shared" si="73"/>
        <v>0.691493348738901</v>
      </c>
      <c r="AZ243" s="39">
        <f t="shared" si="74"/>
        <v>0.59181712322376989</v>
      </c>
      <c r="BA243" s="18">
        <v>2.9896915292087801E-2</v>
      </c>
      <c r="BB243" s="20">
        <v>3.6063548812313398E-2</v>
      </c>
      <c r="BC243" s="17">
        <f t="shared" si="82"/>
        <v>-2339824.5206810199</v>
      </c>
      <c r="BD243" s="17">
        <f t="shared" si="83"/>
        <v>-382770.98462165007</v>
      </c>
      <c r="BE243" s="17">
        <f t="shared" si="84"/>
        <v>-749058.17241379293</v>
      </c>
      <c r="BF243" s="17">
        <f t="shared" si="85"/>
        <v>28526.974137931014</v>
      </c>
    </row>
    <row r="244" spans="1:58" ht="14.25" customHeight="1" x14ac:dyDescent="0.35">
      <c r="A244" s="16">
        <v>45899</v>
      </c>
      <c r="B244" s="17">
        <v>86172681</v>
      </c>
      <c r="C244" s="17">
        <f t="shared" si="63"/>
        <v>3821966.4482758618</v>
      </c>
      <c r="D244" s="18">
        <f>+Tabla22[[#This Row],[Share diario]]</f>
        <v>3.2151395353000503E-2</v>
      </c>
      <c r="E244" s="17">
        <f>+Tabla22[[#This Row],[Global 2026]]</f>
        <v>84788455</v>
      </c>
      <c r="F244" s="19">
        <v>46263</v>
      </c>
      <c r="G244" s="17">
        <f t="shared" si="64"/>
        <v>6161658.7453408297</v>
      </c>
      <c r="H244" s="17">
        <v>4991715.1867080601</v>
      </c>
      <c r="I244" s="17">
        <v>1169943.5586327701</v>
      </c>
      <c r="J244" s="17">
        <v>2504987</v>
      </c>
      <c r="K244" s="17">
        <f>+Tabla22[[#This Row],[Web + APP 2026]]</f>
        <v>2274844</v>
      </c>
      <c r="L244" s="17">
        <v>48545.689655172398</v>
      </c>
      <c r="M244" s="17">
        <f>+Tabla22[[#This Row],[Afiliados 2026]]</f>
        <v>80338</v>
      </c>
      <c r="N244" s="17">
        <v>23754</v>
      </c>
      <c r="O244" s="17">
        <f>+Tabla22[[#This Row],[TMK 2026]]</f>
        <v>603</v>
      </c>
      <c r="P244" s="17">
        <v>1397</v>
      </c>
      <c r="Q244" s="17">
        <f>+Tabla22[[#This Row],[WA 2026]]</f>
        <v>4423</v>
      </c>
      <c r="R244" s="17">
        <v>164566</v>
      </c>
      <c r="S244" s="17">
        <f>+Tabla22[[#This Row],[Ent. en Tienda 2026]]</f>
        <v>202862</v>
      </c>
      <c r="T244" s="17">
        <v>758218</v>
      </c>
      <c r="U244" s="17">
        <f>+Tabla22[[#This Row],[Meli Drop 2026]]</f>
        <v>439794</v>
      </c>
      <c r="V244" s="17">
        <v>270836</v>
      </c>
      <c r="W244" s="17">
        <f>+Tabla22[[#This Row],[Meli Full 2026]]</f>
        <v>319856</v>
      </c>
      <c r="X244" s="17">
        <v>35654</v>
      </c>
      <c r="Y244" s="17">
        <f>+Tabla22[[#This Row],[Amazon Drop 2026]]</f>
        <v>40578</v>
      </c>
      <c r="Z244" s="17">
        <v>13751</v>
      </c>
      <c r="AA244" s="17">
        <f>+Tabla22[[#This Row],[Amazon Full 2026]]</f>
        <v>3124</v>
      </c>
      <c r="AB244" s="17">
        <v>257.758620689655</v>
      </c>
      <c r="AC244" s="17">
        <f>+Tabla22[[#This Row],[TikTok 2026]]</f>
        <v>6457</v>
      </c>
      <c r="AD244" s="17">
        <v>0</v>
      </c>
      <c r="AE244" s="17">
        <f>+Tabla22[[#This Row],[Shein 2026]]</f>
        <v>5141</v>
      </c>
      <c r="AF244" s="17">
        <f t="shared" si="65"/>
        <v>3378020</v>
      </c>
      <c r="AG244" s="18">
        <f t="shared" si="66"/>
        <v>0.5482322438830789</v>
      </c>
      <c r="AH244" s="17">
        <f t="shared" si="67"/>
        <v>-2783638.7453408297</v>
      </c>
      <c r="AI244" s="20">
        <f t="shared" si="68"/>
        <v>-0.11615655299018435</v>
      </c>
      <c r="AJ244" s="20">
        <f t="shared" si="61"/>
        <v>4.4352414290973051E-2</v>
      </c>
      <c r="AK244" s="21">
        <f t="shared" si="69"/>
        <v>3.984056555812935E-2</v>
      </c>
      <c r="AL244" s="21">
        <f t="shared" si="62"/>
        <v>-1.6063397168761595E-2</v>
      </c>
      <c r="AO244" s="38">
        <f t="shared" si="70"/>
        <v>46263</v>
      </c>
      <c r="AP244" s="17">
        <f>Tabla2[[#This Row],[Web + APP 2025]]+Tabla2[[#This Row],[Afiliados 2025]]+Tabla2[[#This Row],[TMK 2025]]+Tabla2[[#This Row],[WA 2025]]+Tabla2[[#This Row],[Ent. en Tienda 2025]]</f>
        <v>2743249.6896551722</v>
      </c>
      <c r="AQ244" s="17">
        <f>Tabla2[[#This Row],[Meli Drop 2025]]+Tabla2[[#This Row],[Meli Full 2025]]+Tabla2[[#This Row],[Amazon Drop 2025]]+Tabla2[[#This Row],[Amazon Full 2025]]+Tabla2[[#This Row],[TikTok 2025]]+Tabla2[[#This Row],[Shein 2025]]</f>
        <v>1078716.7586206896</v>
      </c>
      <c r="AR244" s="17">
        <f>Tabla2[[#This Row],[Web + APP 2026]]+Tabla2[[#This Row],[Afiliados 2026]]+Tabla2[[#This Row],[TMK 2026]]+Tabla2[[#This Row],[WA 2026]]+Tabla2[[#This Row],[Ent. en Tienda 2026]]</f>
        <v>2563070</v>
      </c>
      <c r="AS244" s="17">
        <f>Tabla2[[#This Row],[Meli Drop 2026]]+Tabla2[[#This Row],[Meli Full 2026]]+Tabla2[[#This Row],[Amazon Drop 2026]]+Tabla2[[#This Row],[Amazon Full 2026]]+Tabla2[[#This Row],[TikTok 2026]]+Tabla2[[#This Row],[Shein 2026]]</f>
        <v>814950</v>
      </c>
      <c r="AT244" s="18">
        <f t="shared" si="71"/>
        <v>-6.5681111834125727E-2</v>
      </c>
      <c r="AU244" s="18">
        <f t="shared" si="71"/>
        <v>-0.24451901438701784</v>
      </c>
      <c r="AV244" s="49">
        <f t="shared" si="72"/>
        <v>4991715.1867080601</v>
      </c>
      <c r="AW244" s="49">
        <f t="shared" si="72"/>
        <v>1169943.5586327701</v>
      </c>
      <c r="AX244" s="39">
        <f t="shared" si="73"/>
        <v>0.5134647919867189</v>
      </c>
      <c r="AY244" s="39">
        <f t="shared" si="73"/>
        <v>0.69657206451256004</v>
      </c>
      <c r="AZ244" s="39">
        <f t="shared" si="74"/>
        <v>0.5482322438830789</v>
      </c>
      <c r="BA244" s="18">
        <v>2.8191411051392098E-2</v>
      </c>
      <c r="BB244" s="20">
        <v>3.31568372570092E-2</v>
      </c>
      <c r="BC244" s="17">
        <f t="shared" si="82"/>
        <v>-2428645.1867080601</v>
      </c>
      <c r="BD244" s="17">
        <f t="shared" si="83"/>
        <v>-354993.55863277009</v>
      </c>
      <c r="BE244" s="17">
        <f t="shared" si="84"/>
        <v>-180179.68965517217</v>
      </c>
      <c r="BF244" s="17">
        <f t="shared" si="85"/>
        <v>-263766.75862068962</v>
      </c>
    </row>
    <row r="245" spans="1:58" ht="14.25" customHeight="1" x14ac:dyDescent="0.35">
      <c r="A245" s="19">
        <v>45900</v>
      </c>
      <c r="B245" s="17">
        <v>82032386</v>
      </c>
      <c r="C245" s="17">
        <f t="shared" si="63"/>
        <v>4134668.9913793104</v>
      </c>
      <c r="D245" s="18">
        <f>+Tabla22[[#This Row],[Share diario]]</f>
        <v>2.632438592951248E-2</v>
      </c>
      <c r="E245" s="17">
        <f>+Tabla22[[#This Row],[Global 2026]]</f>
        <v>79055636</v>
      </c>
      <c r="F245" s="19">
        <v>46264</v>
      </c>
      <c r="G245" s="17">
        <f t="shared" si="64"/>
        <v>5088951.2944574002</v>
      </c>
      <c r="H245" s="17">
        <v>3567368.0222272598</v>
      </c>
      <c r="I245" s="17">
        <v>1521583.2722301399</v>
      </c>
      <c r="J245" s="17">
        <v>2787596</v>
      </c>
      <c r="K245" s="17">
        <f>+Tabla22[[#This Row],[Web + APP 2026]]</f>
        <v>2783669</v>
      </c>
      <c r="L245" s="17">
        <v>44080.172413793101</v>
      </c>
      <c r="M245" s="17">
        <f>+Tabla22[[#This Row],[Afiliados 2026]]</f>
        <v>75806</v>
      </c>
      <c r="N245" s="17">
        <v>9613</v>
      </c>
      <c r="O245" s="17">
        <f>+Tabla22[[#This Row],[TMK 2026]]</f>
        <v>3831</v>
      </c>
      <c r="P245" s="17">
        <v>3315</v>
      </c>
      <c r="Q245" s="17">
        <f>+Tabla22[[#This Row],[WA 2026]]</f>
        <v>2613</v>
      </c>
      <c r="R245" s="17">
        <v>201703</v>
      </c>
      <c r="S245" s="17">
        <f>+Tabla22[[#This Row],[Ent. en Tienda 2026]]</f>
        <v>101774</v>
      </c>
      <c r="T245" s="17">
        <v>650854</v>
      </c>
      <c r="U245" s="17">
        <f>+Tabla22[[#This Row],[Meli Drop 2026]]</f>
        <v>492535</v>
      </c>
      <c r="V245" s="17">
        <v>373478</v>
      </c>
      <c r="W245" s="17">
        <f>+Tabla22[[#This Row],[Meli Full 2026]]</f>
        <v>287070</v>
      </c>
      <c r="X245" s="17">
        <v>47088</v>
      </c>
      <c r="Y245" s="17">
        <f>+Tabla22[[#This Row],[Amazon Drop 2026]]</f>
        <v>38815</v>
      </c>
      <c r="Z245" s="17">
        <v>16121</v>
      </c>
      <c r="AA245" s="17">
        <f>+Tabla22[[#This Row],[Amazon Full 2026]]</f>
        <v>6059</v>
      </c>
      <c r="AB245" s="17">
        <v>820.81896551724105</v>
      </c>
      <c r="AC245" s="17">
        <f>+Tabla22[[#This Row],[TikTok 2026]]</f>
        <v>10962</v>
      </c>
      <c r="AD245" s="17">
        <v>0</v>
      </c>
      <c r="AE245" s="17">
        <f>+Tabla22[[#This Row],[Shein 2026]]</f>
        <v>2627</v>
      </c>
      <c r="AF245" s="17">
        <f t="shared" si="65"/>
        <v>3805761</v>
      </c>
      <c r="AG245" s="18">
        <f t="shared" si="66"/>
        <v>0.74784779413098745</v>
      </c>
      <c r="AH245" s="17">
        <f t="shared" si="67"/>
        <v>-1283190.2944574002</v>
      </c>
      <c r="AI245" s="20">
        <f t="shared" si="68"/>
        <v>-7.9548808396772697E-2</v>
      </c>
      <c r="AJ245" s="20">
        <f t="shared" si="61"/>
        <v>5.0402885896544694E-2</v>
      </c>
      <c r="AK245" s="21">
        <f t="shared" si="69"/>
        <v>4.8140286924008811E-2</v>
      </c>
      <c r="AL245" s="21">
        <f t="shared" si="62"/>
        <v>-3.6287497476911179E-2</v>
      </c>
      <c r="AO245" s="38">
        <f t="shared" si="70"/>
        <v>46264</v>
      </c>
      <c r="AP245" s="17">
        <f>Tabla2[[#This Row],[Web + APP 2025]]+Tabla2[[#This Row],[Afiliados 2025]]+Tabla2[[#This Row],[TMK 2025]]+Tabla2[[#This Row],[WA 2025]]+Tabla2[[#This Row],[Ent. en Tienda 2025]]</f>
        <v>3046307.1724137929</v>
      </c>
      <c r="AQ245" s="17">
        <f>Tabla2[[#This Row],[Meli Drop 2025]]+Tabla2[[#This Row],[Meli Full 2025]]+Tabla2[[#This Row],[Amazon Drop 2025]]+Tabla2[[#This Row],[Amazon Full 2025]]+Tabla2[[#This Row],[TikTok 2025]]+Tabla2[[#This Row],[Shein 2025]]</f>
        <v>1088361.8189655172</v>
      </c>
      <c r="AR245" s="17">
        <f>Tabla2[[#This Row],[Web + APP 2026]]+Tabla2[[#This Row],[Afiliados 2026]]+Tabla2[[#This Row],[TMK 2026]]+Tabla2[[#This Row],[WA 2026]]+Tabla2[[#This Row],[Ent. en Tienda 2026]]</f>
        <v>2967693</v>
      </c>
      <c r="AS245" s="17">
        <f>Tabla2[[#This Row],[Meli Drop 2026]]+Tabla2[[#This Row],[Meli Full 2026]]+Tabla2[[#This Row],[Amazon Drop 2026]]+Tabla2[[#This Row],[Amazon Full 2026]]+Tabla2[[#This Row],[TikTok 2026]]+Tabla2[[#This Row],[Shein 2026]]</f>
        <v>838068</v>
      </c>
      <c r="AT245" s="18">
        <f t="shared" si="71"/>
        <v>-2.580638391482426E-2</v>
      </c>
      <c r="AU245" s="18">
        <f t="shared" si="71"/>
        <v>-0.22997298747894368</v>
      </c>
      <c r="AV245" s="49">
        <f t="shared" si="72"/>
        <v>3567368.0222272598</v>
      </c>
      <c r="AW245" s="49">
        <f t="shared" si="72"/>
        <v>1521583.2722301399</v>
      </c>
      <c r="AX245" s="39">
        <f t="shared" si="73"/>
        <v>0.83189987170068957</v>
      </c>
      <c r="AY245" s="39">
        <f t="shared" si="73"/>
        <v>0.55078681219442449</v>
      </c>
      <c r="AZ245" s="39">
        <f t="shared" si="74"/>
        <v>0.74784779413098745</v>
      </c>
      <c r="BA245" s="18">
        <v>3.6664657162171897E-2</v>
      </c>
      <c r="BB245" s="20">
        <v>2.36957912310003E-2</v>
      </c>
      <c r="BC245" s="17">
        <f t="shared" si="82"/>
        <v>-599675.02222725982</v>
      </c>
      <c r="BD245" s="17">
        <f t="shared" si="83"/>
        <v>-683515.27223013993</v>
      </c>
      <c r="BE245" s="17">
        <f t="shared" si="84"/>
        <v>-78614.172413792927</v>
      </c>
      <c r="BF245" s="17">
        <f t="shared" si="85"/>
        <v>-250293.81896551722</v>
      </c>
    </row>
    <row r="246" spans="1:58" ht="14.25" customHeight="1" x14ac:dyDescent="0.35">
      <c r="A246" s="16">
        <v>45901</v>
      </c>
      <c r="B246" s="17">
        <v>31649055</v>
      </c>
      <c r="C246" s="17">
        <f t="shared" si="63"/>
        <v>4990529.0517241387</v>
      </c>
      <c r="D246" s="18">
        <f>+Tabla22[[#This Row],[Share diario]]</f>
        <v>2.8478173132304021E-2</v>
      </c>
      <c r="E246" s="17">
        <f>+Tabla22[[#This Row],[Global 2026]]</f>
        <v>33903487</v>
      </c>
      <c r="F246" s="19">
        <v>46265</v>
      </c>
      <c r="G246" s="17">
        <f t="shared" si="64"/>
        <v>5496657.1747764302</v>
      </c>
      <c r="H246" s="17">
        <v>3961469.0685033901</v>
      </c>
      <c r="I246" s="17">
        <v>1535188.1062730399</v>
      </c>
      <c r="J246" s="17">
        <v>3909270</v>
      </c>
      <c r="K246" s="17">
        <f>+Tabla22[[#This Row],[Web + APP 2026]]</f>
        <v>3584257</v>
      </c>
      <c r="L246" s="17">
        <v>26356.896551724101</v>
      </c>
      <c r="M246" s="17">
        <f>+Tabla22[[#This Row],[Afiliados 2026]]</f>
        <v>46953</v>
      </c>
      <c r="N246" s="17">
        <v>17828</v>
      </c>
      <c r="O246" s="17">
        <f>+Tabla22[[#This Row],[TMK 2026]]</f>
        <v>32425</v>
      </c>
      <c r="P246" s="17">
        <v>10082</v>
      </c>
      <c r="Q246" s="17">
        <f>+Tabla22[[#This Row],[WA 2026]]</f>
        <v>14272</v>
      </c>
      <c r="R246" s="17">
        <v>117359</v>
      </c>
      <c r="S246" s="17">
        <f>+Tabla22[[#This Row],[Ent. en Tienda 2026]]</f>
        <v>94850</v>
      </c>
      <c r="T246" s="17">
        <v>480576</v>
      </c>
      <c r="U246" s="17">
        <f>+Tabla22[[#This Row],[Meli Drop 2026]]</f>
        <v>402779</v>
      </c>
      <c r="V246" s="17">
        <v>371920</v>
      </c>
      <c r="W246" s="17">
        <f>+Tabla22[[#This Row],[Meli Full 2026]]</f>
        <v>219040</v>
      </c>
      <c r="X246" s="17">
        <v>38723</v>
      </c>
      <c r="Y246" s="17">
        <f>+Tabla22[[#This Row],[Amazon Drop 2026]]</f>
        <v>49968</v>
      </c>
      <c r="Z246" s="17">
        <v>18027</v>
      </c>
      <c r="AA246" s="17">
        <f>+Tabla22[[#This Row],[Amazon Full 2026]]</f>
        <v>4422</v>
      </c>
      <c r="AB246" s="17">
        <v>387.15517241379303</v>
      </c>
      <c r="AC246" s="17">
        <f>+Tabla22[[#This Row],[TikTok 2026]]</f>
        <v>11214</v>
      </c>
      <c r="AD246" s="17">
        <v>0</v>
      </c>
      <c r="AE246" s="17">
        <f>+Tabla22[[#This Row],[Shein 2026]]</f>
        <v>17191</v>
      </c>
      <c r="AF246" s="17">
        <f t="shared" si="65"/>
        <v>4477371</v>
      </c>
      <c r="AG246" s="18">
        <f t="shared" si="66"/>
        <v>0.81456253457941219</v>
      </c>
      <c r="AH246" s="17">
        <f t="shared" si="67"/>
        <v>-1019286.1747764302</v>
      </c>
      <c r="AI246" s="20">
        <f t="shared" si="68"/>
        <v>-0.10282638301581504</v>
      </c>
      <c r="AJ246" s="20">
        <f t="shared" si="61"/>
        <v>0.15768335110555873</v>
      </c>
      <c r="AK246" s="21">
        <f t="shared" si="69"/>
        <v>0.13206225660505069</v>
      </c>
      <c r="AL246" s="21">
        <f t="shared" si="62"/>
        <v>7.1232205827314488E-2</v>
      </c>
      <c r="AO246" s="38">
        <f t="shared" si="70"/>
        <v>46265</v>
      </c>
      <c r="AP246" s="17">
        <f>Tabla2[[#This Row],[Web + APP 2025]]+Tabla2[[#This Row],[Afiliados 2025]]+Tabla2[[#This Row],[TMK 2025]]+Tabla2[[#This Row],[WA 2025]]+Tabla2[[#This Row],[Ent. en Tienda 2025]]</f>
        <v>4080895.8965517241</v>
      </c>
      <c r="AQ246" s="17">
        <f>Tabla2[[#This Row],[Meli Drop 2025]]+Tabla2[[#This Row],[Meli Full 2025]]+Tabla2[[#This Row],[Amazon Drop 2025]]+Tabla2[[#This Row],[Amazon Full 2025]]+Tabla2[[#This Row],[TikTok 2025]]+Tabla2[[#This Row],[Shein 2025]]</f>
        <v>909633.1551724138</v>
      </c>
      <c r="AR246" s="17">
        <f>Tabla2[[#This Row],[Web + APP 2026]]+Tabla2[[#This Row],[Afiliados 2026]]+Tabla2[[#This Row],[TMK 2026]]+Tabla2[[#This Row],[WA 2026]]+Tabla2[[#This Row],[Ent. en Tienda 2026]]</f>
        <v>3772757</v>
      </c>
      <c r="AS246" s="17">
        <f>Tabla2[[#This Row],[Meli Drop 2026]]+Tabla2[[#This Row],[Meli Full 2026]]+Tabla2[[#This Row],[Amazon Drop 2026]]+Tabla2[[#This Row],[Amazon Full 2026]]+Tabla2[[#This Row],[TikTok 2026]]+Tabla2[[#This Row],[Shein 2026]]</f>
        <v>704614</v>
      </c>
      <c r="AT246" s="18">
        <f t="shared" si="71"/>
        <v>-7.5507659191231813E-2</v>
      </c>
      <c r="AU246" s="18">
        <f t="shared" si="71"/>
        <v>-0.22538663416853366</v>
      </c>
      <c r="AV246" s="49">
        <f t="shared" si="72"/>
        <v>3961469.0685033901</v>
      </c>
      <c r="AW246" s="49">
        <f t="shared" si="72"/>
        <v>1535188.1062730399</v>
      </c>
      <c r="AX246" s="39">
        <f t="shared" si="73"/>
        <v>0.95236310943235913</v>
      </c>
      <c r="AY246" s="39">
        <f t="shared" si="73"/>
        <v>0.45897567674008627</v>
      </c>
      <c r="AZ246" s="39">
        <f t="shared" si="74"/>
        <v>0.81456253457941219</v>
      </c>
      <c r="BA246" s="18">
        <v>3.6992484488507102E-2</v>
      </c>
      <c r="BB246" s="20">
        <v>2.6313557622999299E-2</v>
      </c>
      <c r="BC246" s="17">
        <f t="shared" ref="BC246:BC253" si="86">+AR246-AV246</f>
        <v>-188712.06850339007</v>
      </c>
      <c r="BD246" s="17">
        <f t="shared" ref="BD246:BD253" si="87">+AS246-AW246</f>
        <v>-830574.10627303994</v>
      </c>
      <c r="BE246" s="17">
        <f t="shared" ref="BE246:BE253" si="88">AR246-AP246</f>
        <v>-308138.89655172406</v>
      </c>
      <c r="BF246" s="17">
        <f t="shared" ref="BF246:BF253" si="89">AS246-AQ246</f>
        <v>-205019.1551724138</v>
      </c>
    </row>
    <row r="247" spans="1:58" ht="14.25" customHeight="1" x14ac:dyDescent="0.35">
      <c r="A247" s="19">
        <v>45902</v>
      </c>
      <c r="B247" s="17">
        <v>30778336</v>
      </c>
      <c r="C247" s="17">
        <f t="shared" si="63"/>
        <v>4709094.3706896557</v>
      </c>
      <c r="D247" s="18">
        <f>+Tabla22[[#This Row],[Share diario]]</f>
        <v>4.3286377238336768E-2</v>
      </c>
      <c r="E247" s="17">
        <f>+Tabla22[[#This Row],[Global 2026]]</f>
        <v>33156940</v>
      </c>
      <c r="F247" s="19">
        <v>46266</v>
      </c>
      <c r="G247" s="17">
        <f t="shared" si="64"/>
        <v>6596901.5508277509</v>
      </c>
      <c r="H247" s="17">
        <v>5311464.7585612005</v>
      </c>
      <c r="I247" s="17">
        <v>1285436.79226655</v>
      </c>
      <c r="J247" s="17">
        <v>3732813</v>
      </c>
      <c r="K247" s="17">
        <f>+Tabla22[[#This Row],[Web + APP 2026]]</f>
        <v>4608677</v>
      </c>
      <c r="L247" s="17">
        <v>28554.310344827602</v>
      </c>
      <c r="M247" s="17">
        <f>+Tabla22[[#This Row],[Afiliados 2026]]</f>
        <v>51779</v>
      </c>
      <c r="N247" s="17">
        <v>44084</v>
      </c>
      <c r="O247" s="17">
        <f>+Tabla22[[#This Row],[TMK 2026]]</f>
        <v>10522</v>
      </c>
      <c r="P247" s="17">
        <v>7771</v>
      </c>
      <c r="Q247" s="17">
        <f>+Tabla22[[#This Row],[WA 2026]]</f>
        <v>10662</v>
      </c>
      <c r="R247" s="17">
        <v>118806</v>
      </c>
      <c r="S247" s="17">
        <f>+Tabla22[[#This Row],[Ent. en Tienda 2026]]</f>
        <v>68000</v>
      </c>
      <c r="T247" s="17">
        <v>643534</v>
      </c>
      <c r="U247" s="17">
        <f>+Tabla22[[#This Row],[Meli Drop 2026]]</f>
        <v>258443</v>
      </c>
      <c r="V247" s="17">
        <v>90021</v>
      </c>
      <c r="W247" s="17">
        <f>+Tabla22[[#This Row],[Meli Full 2026]]</f>
        <v>180486</v>
      </c>
      <c r="X247" s="17">
        <v>39947</v>
      </c>
      <c r="Y247" s="17">
        <f>+Tabla22[[#This Row],[Amazon Drop 2026]]</f>
        <v>41604</v>
      </c>
      <c r="Z247" s="17">
        <v>2996</v>
      </c>
      <c r="AA247" s="17">
        <f>+Tabla22[[#This Row],[Amazon Full 2026]]</f>
        <v>2224</v>
      </c>
      <c r="AB247" s="17">
        <v>568.06034482758605</v>
      </c>
      <c r="AC247" s="17">
        <f>+Tabla22[[#This Row],[TikTok 2026]]</f>
        <v>16937</v>
      </c>
      <c r="AD247" s="17">
        <v>0</v>
      </c>
      <c r="AE247" s="17">
        <f>+Tabla22[[#This Row],[Shein 2026]]</f>
        <v>4607</v>
      </c>
      <c r="AF247" s="17">
        <f t="shared" si="65"/>
        <v>5253941</v>
      </c>
      <c r="AG247" s="18">
        <f t="shared" si="66"/>
        <v>0.79642555819872107</v>
      </c>
      <c r="AH247" s="17">
        <f t="shared" si="67"/>
        <v>-1342960.5508277509</v>
      </c>
      <c r="AI247" s="20">
        <f t="shared" si="68"/>
        <v>0.11570093661778769</v>
      </c>
      <c r="AJ247" s="20">
        <f t="shared" si="61"/>
        <v>0.15300029120124153</v>
      </c>
      <c r="AK247" s="21">
        <f t="shared" si="69"/>
        <v>0.15845675143725568</v>
      </c>
      <c r="AL247" s="21">
        <f t="shared" si="62"/>
        <v>7.7281760781349629E-2</v>
      </c>
      <c r="AO247" s="38">
        <f t="shared" ref="AO247:AO276" si="90">+F247</f>
        <v>46266</v>
      </c>
      <c r="AP247" s="17">
        <f>Tabla2[[#This Row],[Web + APP 2025]]+Tabla2[[#This Row],[Afiliados 2025]]+Tabla2[[#This Row],[TMK 2025]]+Tabla2[[#This Row],[WA 2025]]+Tabla2[[#This Row],[Ent. en Tienda 2025]]</f>
        <v>3932028.3103448278</v>
      </c>
      <c r="AQ247" s="17">
        <f>Tabla2[[#This Row],[Meli Drop 2025]]+Tabla2[[#This Row],[Meli Full 2025]]+Tabla2[[#This Row],[Amazon Drop 2025]]+Tabla2[[#This Row],[Amazon Full 2025]]+Tabla2[[#This Row],[TikTok 2025]]+Tabla2[[#This Row],[Shein 2025]]</f>
        <v>777066.06034482759</v>
      </c>
      <c r="AR247" s="17">
        <f>Tabla2[[#This Row],[Web + APP 2026]]+Tabla2[[#This Row],[Afiliados 2026]]+Tabla2[[#This Row],[TMK 2026]]+Tabla2[[#This Row],[WA 2026]]+Tabla2[[#This Row],[Ent. en Tienda 2026]]</f>
        <v>4749640</v>
      </c>
      <c r="AS247" s="17">
        <f>Tabla2[[#This Row],[Meli Drop 2026]]+Tabla2[[#This Row],[Meli Full 2026]]+Tabla2[[#This Row],[Amazon Drop 2026]]+Tabla2[[#This Row],[Amazon Full 2026]]+Tabla2[[#This Row],[TikTok 2026]]+Tabla2[[#This Row],[Shein 2026]]</f>
        <v>504301</v>
      </c>
      <c r="AT247" s="18">
        <f t="shared" ref="AT247:AT276" si="91">+AR247/AP247-1</f>
        <v>0.20793636899920243</v>
      </c>
      <c r="AU247" s="18">
        <f t="shared" ref="AU247:AU276" si="92">+AS247/AQ247-1</f>
        <v>-0.35101914015365243</v>
      </c>
      <c r="AV247" s="49">
        <f t="shared" ref="AV247:AV276" si="93">+H247</f>
        <v>5311464.7585612005</v>
      </c>
      <c r="AW247" s="49">
        <f t="shared" ref="AW247:AW276" si="94">+I247</f>
        <v>1285436.79226655</v>
      </c>
      <c r="AX247" s="39">
        <f t="shared" ref="AX247:AX276" si="95">+AR247/AV247</f>
        <v>0.89422413889584185</v>
      </c>
      <c r="AY247" s="39">
        <f t="shared" ref="AY247:AY276" si="96">+AS247/AW247</f>
        <v>0.39231878458277974</v>
      </c>
      <c r="AZ247" s="39">
        <f t="shared" ref="AZ247:AZ276" si="97">+(AR247+AS247)/(AV247+AW247)</f>
        <v>0.79642555819872107</v>
      </c>
      <c r="BA247" s="18">
        <v>3.6992484488507102E-2</v>
      </c>
      <c r="BB247" s="20">
        <v>2.6313557622999299E-2</v>
      </c>
      <c r="BC247" s="17">
        <f t="shared" si="86"/>
        <v>-561824.75856120046</v>
      </c>
      <c r="BD247" s="17">
        <f t="shared" si="87"/>
        <v>-781135.79226655001</v>
      </c>
      <c r="BE247" s="17">
        <f t="shared" si="88"/>
        <v>817611.68965517217</v>
      </c>
      <c r="BF247" s="17">
        <f t="shared" si="89"/>
        <v>-272765.06034482759</v>
      </c>
    </row>
    <row r="248" spans="1:58" ht="14.25" customHeight="1" x14ac:dyDescent="0.35">
      <c r="A248" s="16">
        <v>45903</v>
      </c>
      <c r="B248" s="17">
        <v>33293451</v>
      </c>
      <c r="C248" s="17">
        <f t="shared" si="63"/>
        <v>4326347.931034483</v>
      </c>
      <c r="D248" s="18">
        <f>+Tabla22[[#This Row],[Share diario]]</f>
        <v>4.0845295812911374E-2</v>
      </c>
      <c r="E248" s="17">
        <f>+Tabla22[[#This Row],[Global 2026]]</f>
        <v>36610659</v>
      </c>
      <c r="F248" s="19">
        <v>46267</v>
      </c>
      <c r="G248" s="17">
        <f t="shared" si="64"/>
        <v>6215808.3236736199</v>
      </c>
      <c r="H248" s="17">
        <v>5117707.0744952802</v>
      </c>
      <c r="I248" s="17">
        <v>1098101.24917834</v>
      </c>
      <c r="J248" s="17">
        <v>3629418</v>
      </c>
      <c r="K248" s="17">
        <f>+Tabla22[[#This Row],[Web + APP 2026]]</f>
        <v>4240392</v>
      </c>
      <c r="L248" s="17">
        <v>23437.931034482801</v>
      </c>
      <c r="M248" s="17">
        <f>+Tabla22[[#This Row],[Afiliados 2026]]</f>
        <v>52227</v>
      </c>
      <c r="N248" s="17">
        <v>67723</v>
      </c>
      <c r="O248" s="17">
        <f>+Tabla22[[#This Row],[TMK 2026]]</f>
        <v>54867</v>
      </c>
      <c r="P248" s="17">
        <v>4425</v>
      </c>
      <c r="Q248" s="17">
        <f>+Tabla22[[#This Row],[WA 2026]]</f>
        <v>5431</v>
      </c>
      <c r="R248" s="17">
        <v>116334</v>
      </c>
      <c r="S248" s="17">
        <f>+Tabla22[[#This Row],[Ent. en Tienda 2026]]</f>
        <v>100823</v>
      </c>
      <c r="T248" s="17">
        <v>10115</v>
      </c>
      <c r="U248" s="17">
        <f>+Tabla22[[#This Row],[Meli Drop 2026]]</f>
        <v>418266</v>
      </c>
      <c r="V248" s="17">
        <v>447014</v>
      </c>
      <c r="W248" s="17">
        <f>+Tabla22[[#This Row],[Meli Full 2026]]</f>
        <v>218152</v>
      </c>
      <c r="X248" s="17">
        <v>12385</v>
      </c>
      <c r="Y248" s="17">
        <f>+Tabla22[[#This Row],[Amazon Drop 2026]]</f>
        <v>49902</v>
      </c>
      <c r="Z248" s="17">
        <v>15496</v>
      </c>
      <c r="AA248" s="17">
        <f>+Tabla22[[#This Row],[Amazon Full 2026]]</f>
        <v>3805</v>
      </c>
      <c r="AB248" s="17">
        <v>0</v>
      </c>
      <c r="AC248" s="17">
        <f>+Tabla22[[#This Row],[TikTok 2026]]</f>
        <v>19820</v>
      </c>
      <c r="AD248" s="17">
        <v>0</v>
      </c>
      <c r="AE248" s="17">
        <f>+Tabla22[[#This Row],[Shein 2026]]</f>
        <v>7234</v>
      </c>
      <c r="AF248" s="17">
        <f t="shared" si="65"/>
        <v>5170919</v>
      </c>
      <c r="AG248" s="18">
        <f t="shared" si="66"/>
        <v>0.83189807837316365</v>
      </c>
      <c r="AH248" s="17">
        <f t="shared" si="67"/>
        <v>-1044889.3236736199</v>
      </c>
      <c r="AI248" s="20">
        <f t="shared" si="68"/>
        <v>0.19521570674126743</v>
      </c>
      <c r="AJ248" s="20">
        <f t="shared" si="61"/>
        <v>0.1299459143191399</v>
      </c>
      <c r="AK248" s="21">
        <f t="shared" si="69"/>
        <v>0.14124080640012518</v>
      </c>
      <c r="AL248" s="21">
        <f t="shared" si="62"/>
        <v>9.9635450827852079E-2</v>
      </c>
      <c r="AO248" s="38">
        <f t="shared" si="90"/>
        <v>46267</v>
      </c>
      <c r="AP248" s="17">
        <f>Tabla2[[#This Row],[Web + APP 2025]]+Tabla2[[#This Row],[Afiliados 2025]]+Tabla2[[#This Row],[TMK 2025]]+Tabla2[[#This Row],[WA 2025]]+Tabla2[[#This Row],[Ent. en Tienda 2025]]</f>
        <v>3841337.931034483</v>
      </c>
      <c r="AQ248" s="17">
        <f>Tabla2[[#This Row],[Meli Drop 2025]]+Tabla2[[#This Row],[Meli Full 2025]]+Tabla2[[#This Row],[Amazon Drop 2025]]+Tabla2[[#This Row],[Amazon Full 2025]]+Tabla2[[#This Row],[TikTok 2025]]+Tabla2[[#This Row],[Shein 2025]]</f>
        <v>485010</v>
      </c>
      <c r="AR248" s="17">
        <f>Tabla2[[#This Row],[Web + APP 2026]]+Tabla2[[#This Row],[Afiliados 2026]]+Tabla2[[#This Row],[TMK 2026]]+Tabla2[[#This Row],[WA 2026]]+Tabla2[[#This Row],[Ent. en Tienda 2026]]</f>
        <v>4453740</v>
      </c>
      <c r="AS248" s="17">
        <f>Tabla2[[#This Row],[Meli Drop 2026]]+Tabla2[[#This Row],[Meli Full 2026]]+Tabla2[[#This Row],[Amazon Drop 2026]]+Tabla2[[#This Row],[Amazon Full 2026]]+Tabla2[[#This Row],[TikTok 2026]]+Tabla2[[#This Row],[Shein 2026]]</f>
        <v>717179</v>
      </c>
      <c r="AT248" s="18">
        <f t="shared" si="91"/>
        <v>0.15942415896760109</v>
      </c>
      <c r="AU248" s="18">
        <f t="shared" si="92"/>
        <v>0.47868909919383107</v>
      </c>
      <c r="AV248" s="49">
        <f t="shared" si="93"/>
        <v>5117707.0744952802</v>
      </c>
      <c r="AW248" s="49">
        <f t="shared" si="94"/>
        <v>1098101.24917834</v>
      </c>
      <c r="AX248" s="39">
        <f t="shared" si="95"/>
        <v>0.87026082875976996</v>
      </c>
      <c r="AY248" s="39">
        <f t="shared" si="96"/>
        <v>0.65310826350177908</v>
      </c>
      <c r="AZ248" s="39">
        <f t="shared" si="97"/>
        <v>0.83189807837316365</v>
      </c>
      <c r="BA248" s="18">
        <v>3.6992484488507102E-2</v>
      </c>
      <c r="BB248" s="20">
        <v>2.6313557622999299E-2</v>
      </c>
      <c r="BC248" s="17">
        <f t="shared" si="86"/>
        <v>-663967.07449528016</v>
      </c>
      <c r="BD248" s="17">
        <f t="shared" si="87"/>
        <v>-380922.24917833996</v>
      </c>
      <c r="BE248" s="17">
        <f t="shared" si="88"/>
        <v>612402.06896551698</v>
      </c>
      <c r="BF248" s="17">
        <f t="shared" si="89"/>
        <v>232169</v>
      </c>
    </row>
    <row r="249" spans="1:58" ht="14.25" customHeight="1" x14ac:dyDescent="0.35">
      <c r="A249" s="19">
        <v>45904</v>
      </c>
      <c r="B249" s="17">
        <v>38630666</v>
      </c>
      <c r="C249" s="17">
        <f t="shared" si="63"/>
        <v>4864180.5</v>
      </c>
      <c r="D249" s="18">
        <f>+Tabla22[[#This Row],[Share diario]]</f>
        <v>3.7525466071048584E-2</v>
      </c>
      <c r="E249" s="17">
        <f>+Tabla22[[#This Row],[Global 2026]]</f>
        <v>38832803</v>
      </c>
      <c r="F249" s="19">
        <v>46268</v>
      </c>
      <c r="G249" s="17">
        <f t="shared" si="64"/>
        <v>5685055.4293565881</v>
      </c>
      <c r="H249" s="17">
        <v>4999669.5734518198</v>
      </c>
      <c r="I249" s="17">
        <v>685385.85590476799</v>
      </c>
      <c r="J249" s="17">
        <v>3079282</v>
      </c>
      <c r="K249" s="17">
        <f>+Tabla22[[#This Row],[Web + APP 2026]]</f>
        <v>3129090</v>
      </c>
      <c r="L249" s="17">
        <v>38493.965517241399</v>
      </c>
      <c r="M249" s="17">
        <f>+Tabla22[[#This Row],[Afiliados 2026]]</f>
        <v>39978</v>
      </c>
      <c r="N249" s="17">
        <v>37107</v>
      </c>
      <c r="O249" s="17">
        <f>+Tabla22[[#This Row],[TMK 2026]]</f>
        <v>30247</v>
      </c>
      <c r="P249" s="17">
        <v>8353</v>
      </c>
      <c r="Q249" s="17">
        <f>+Tabla22[[#This Row],[WA 2026]]</f>
        <v>6243</v>
      </c>
      <c r="R249" s="17">
        <v>163184</v>
      </c>
      <c r="S249" s="17">
        <f>+Tabla22[[#This Row],[Ent. en Tienda 2026]]</f>
        <v>77075</v>
      </c>
      <c r="T249" s="17">
        <v>1235813</v>
      </c>
      <c r="U249" s="17">
        <f>+Tabla22[[#This Row],[Meli Drop 2026]]</f>
        <v>398097</v>
      </c>
      <c r="V249" s="17">
        <v>273796</v>
      </c>
      <c r="W249" s="17">
        <f>+Tabla22[[#This Row],[Meli Full 2026]]</f>
        <v>321750</v>
      </c>
      <c r="X249" s="17">
        <v>18920</v>
      </c>
      <c r="Y249" s="17">
        <f>+Tabla22[[#This Row],[Amazon Drop 2026]]</f>
        <v>30145</v>
      </c>
      <c r="Z249" s="17">
        <v>8328</v>
      </c>
      <c r="AA249" s="17">
        <f>+Tabla22[[#This Row],[Amazon Full 2026]]</f>
        <v>6743</v>
      </c>
      <c r="AB249" s="17">
        <v>903.53448275862104</v>
      </c>
      <c r="AC249" s="17">
        <f>+Tabla22[[#This Row],[TikTok 2026]]</f>
        <v>26334</v>
      </c>
      <c r="AD249" s="17">
        <v>0</v>
      </c>
      <c r="AE249" s="17">
        <f>+Tabla22[[#This Row],[Shein 2026]]</f>
        <v>10335</v>
      </c>
      <c r="AF249" s="17">
        <f t="shared" si="65"/>
        <v>4076037</v>
      </c>
      <c r="AG249" s="18">
        <f t="shared" si="66"/>
        <v>0.7169740120654039</v>
      </c>
      <c r="AH249" s="17">
        <f t="shared" si="67"/>
        <v>-1609018.4293565881</v>
      </c>
      <c r="AI249" s="20">
        <f t="shared" si="68"/>
        <v>-0.16203006857989743</v>
      </c>
      <c r="AJ249" s="20">
        <f t="shared" si="61"/>
        <v>0.12591500493416294</v>
      </c>
      <c r="AK249" s="21">
        <f t="shared" si="69"/>
        <v>0.10496375963383328</v>
      </c>
      <c r="AL249" s="21">
        <f t="shared" si="62"/>
        <v>5.2325528117997955E-3</v>
      </c>
      <c r="AO249" s="38">
        <f t="shared" si="90"/>
        <v>46268</v>
      </c>
      <c r="AP249" s="17">
        <f>Tabla2[[#This Row],[Web + APP 2025]]+Tabla2[[#This Row],[Afiliados 2025]]+Tabla2[[#This Row],[TMK 2025]]+Tabla2[[#This Row],[WA 2025]]+Tabla2[[#This Row],[Ent. en Tienda 2025]]</f>
        <v>3326419.9655172415</v>
      </c>
      <c r="AQ249" s="17">
        <f>Tabla2[[#This Row],[Meli Drop 2025]]+Tabla2[[#This Row],[Meli Full 2025]]+Tabla2[[#This Row],[Amazon Drop 2025]]+Tabla2[[#This Row],[Amazon Full 2025]]+Tabla2[[#This Row],[TikTok 2025]]+Tabla2[[#This Row],[Shein 2025]]</f>
        <v>1537760.5344827587</v>
      </c>
      <c r="AR249" s="17">
        <f>Tabla2[[#This Row],[Web + APP 2026]]+Tabla2[[#This Row],[Afiliados 2026]]+Tabla2[[#This Row],[TMK 2026]]+Tabla2[[#This Row],[WA 2026]]+Tabla2[[#This Row],[Ent. en Tienda 2026]]</f>
        <v>3282633</v>
      </c>
      <c r="AS249" s="17">
        <f>Tabla2[[#This Row],[Meli Drop 2026]]+Tabla2[[#This Row],[Meli Full 2026]]+Tabla2[[#This Row],[Amazon Drop 2026]]+Tabla2[[#This Row],[Amazon Full 2026]]+Tabla2[[#This Row],[TikTok 2026]]+Tabla2[[#This Row],[Shein 2026]]</f>
        <v>793404</v>
      </c>
      <c r="AT249" s="18">
        <f t="shared" si="91"/>
        <v>-1.3163390663581742E-2</v>
      </c>
      <c r="AU249" s="18">
        <f t="shared" si="92"/>
        <v>-0.48405230709938241</v>
      </c>
      <c r="AV249" s="49">
        <f t="shared" si="93"/>
        <v>4999669.5734518198</v>
      </c>
      <c r="AW249" s="49">
        <f t="shared" si="94"/>
        <v>685385.85590476799</v>
      </c>
      <c r="AX249" s="39">
        <f t="shared" si="95"/>
        <v>0.6565699896310625</v>
      </c>
      <c r="AY249" s="39">
        <f t="shared" si="96"/>
        <v>1.1576019451884352</v>
      </c>
      <c r="AZ249" s="39">
        <f t="shared" si="97"/>
        <v>0.7169740120654039</v>
      </c>
      <c r="BA249" s="18">
        <v>3.6992484488507102E-2</v>
      </c>
      <c r="BB249" s="20">
        <v>2.6313557622999299E-2</v>
      </c>
      <c r="BC249" s="17">
        <f t="shared" si="86"/>
        <v>-1717036.5734518198</v>
      </c>
      <c r="BD249" s="17">
        <f t="shared" si="87"/>
        <v>108018.14409523201</v>
      </c>
      <c r="BE249" s="17">
        <f t="shared" si="88"/>
        <v>-43786.965517241508</v>
      </c>
      <c r="BF249" s="17">
        <f t="shared" si="89"/>
        <v>-744356.53448275873</v>
      </c>
    </row>
    <row r="250" spans="1:58" ht="14.25" customHeight="1" x14ac:dyDescent="0.35">
      <c r="A250" s="16">
        <v>45905</v>
      </c>
      <c r="B250" s="17">
        <v>37424855</v>
      </c>
      <c r="C250" s="17">
        <f t="shared" si="63"/>
        <v>3094762.7586206896</v>
      </c>
      <c r="D250" s="18">
        <f>+Tabla22[[#This Row],[Share diario]]</f>
        <v>4.2190467162117683E-2</v>
      </c>
      <c r="E250" s="17">
        <f>+Tabla22[[#This Row],[Global 2026]]</f>
        <v>39900289</v>
      </c>
      <c r="F250" s="19">
        <v>46269</v>
      </c>
      <c r="G250" s="17">
        <f t="shared" si="64"/>
        <v>6502548.4818756497</v>
      </c>
      <c r="H250" s="17">
        <v>4329481.2871723697</v>
      </c>
      <c r="I250" s="17">
        <v>2173067.19470328</v>
      </c>
      <c r="J250" s="17">
        <v>2474103</v>
      </c>
      <c r="K250" s="17">
        <f>+Tabla22[[#This Row],[Web + APP 2026]]</f>
        <v>2375132</v>
      </c>
      <c r="L250" s="17">
        <v>30516.379310344801</v>
      </c>
      <c r="M250" s="17">
        <f>+Tabla22[[#This Row],[Afiliados 2026]]</f>
        <v>50538</v>
      </c>
      <c r="N250" s="17">
        <v>25936</v>
      </c>
      <c r="O250" s="17">
        <f>+Tabla22[[#This Row],[TMK 2026]]</f>
        <v>9434</v>
      </c>
      <c r="P250" s="17">
        <v>835</v>
      </c>
      <c r="Q250" s="17">
        <f>+Tabla22[[#This Row],[WA 2026]]</f>
        <v>3826</v>
      </c>
      <c r="R250" s="17">
        <v>99472</v>
      </c>
      <c r="S250" s="17">
        <f>+Tabla22[[#This Row],[Ent. en Tienda 2026]]</f>
        <v>129241</v>
      </c>
      <c r="T250" s="17">
        <v>184786</v>
      </c>
      <c r="U250" s="17">
        <f>+Tabla22[[#This Row],[Meli Drop 2026]]</f>
        <v>285189</v>
      </c>
      <c r="V250" s="17">
        <v>246588</v>
      </c>
      <c r="W250" s="17">
        <f>+Tabla22[[#This Row],[Meli Full 2026]]</f>
        <v>264108</v>
      </c>
      <c r="X250" s="17">
        <v>23810</v>
      </c>
      <c r="Y250" s="17">
        <f>+Tabla22[[#This Row],[Amazon Drop 2026]]</f>
        <v>35577</v>
      </c>
      <c r="Z250" s="17">
        <v>7925</v>
      </c>
      <c r="AA250" s="17">
        <f>+Tabla22[[#This Row],[Amazon Full 2026]]</f>
        <v>5188</v>
      </c>
      <c r="AB250" s="17">
        <v>791.37931034482801</v>
      </c>
      <c r="AC250" s="17">
        <f>+Tabla22[[#This Row],[TikTok 2026]]</f>
        <v>15828</v>
      </c>
      <c r="AD250" s="17">
        <v>0</v>
      </c>
      <c r="AE250" s="17">
        <f>+Tabla22[[#This Row],[Shein 2026]]</f>
        <v>5253</v>
      </c>
      <c r="AF250" s="17">
        <f t="shared" si="65"/>
        <v>3179314</v>
      </c>
      <c r="AG250" s="18">
        <f t="shared" si="66"/>
        <v>0.48893353257751215</v>
      </c>
      <c r="AH250" s="17">
        <f t="shared" si="67"/>
        <v>-3323234.4818756497</v>
      </c>
      <c r="AI250" s="20">
        <f t="shared" si="68"/>
        <v>2.7320750562797258E-2</v>
      </c>
      <c r="AJ250" s="20">
        <f t="shared" ref="AJ250:AJ313" si="98">+C250/B250</f>
        <v>8.2692712065836713E-2</v>
      </c>
      <c r="AK250" s="21">
        <f t="shared" si="69"/>
        <v>7.9681477996312255E-2</v>
      </c>
      <c r="AL250" s="21">
        <f t="shared" ref="AL250:AL313" si="99">+E250/B250-1</f>
        <v>6.6144117325237506E-2</v>
      </c>
      <c r="AO250" s="38">
        <f t="shared" si="90"/>
        <v>46269</v>
      </c>
      <c r="AP250" s="17">
        <f>Tabla2[[#This Row],[Web + APP 2025]]+Tabla2[[#This Row],[Afiliados 2025]]+Tabla2[[#This Row],[TMK 2025]]+Tabla2[[#This Row],[WA 2025]]+Tabla2[[#This Row],[Ent. en Tienda 2025]]</f>
        <v>2630862.3793103448</v>
      </c>
      <c r="AQ250" s="17">
        <f>Tabla2[[#This Row],[Meli Drop 2025]]+Tabla2[[#This Row],[Meli Full 2025]]+Tabla2[[#This Row],[Amazon Drop 2025]]+Tabla2[[#This Row],[Amazon Full 2025]]+Tabla2[[#This Row],[TikTok 2025]]+Tabla2[[#This Row],[Shein 2025]]</f>
        <v>463900.37931034481</v>
      </c>
      <c r="AR250" s="17">
        <f>Tabla2[[#This Row],[Web + APP 2026]]+Tabla2[[#This Row],[Afiliados 2026]]+Tabla2[[#This Row],[TMK 2026]]+Tabla2[[#This Row],[WA 2026]]+Tabla2[[#This Row],[Ent. en Tienda 2026]]</f>
        <v>2568171</v>
      </c>
      <c r="AS250" s="17">
        <f>Tabla2[[#This Row],[Meli Drop 2026]]+Tabla2[[#This Row],[Meli Full 2026]]+Tabla2[[#This Row],[Amazon Drop 2026]]+Tabla2[[#This Row],[Amazon Full 2026]]+Tabla2[[#This Row],[TikTok 2026]]+Tabla2[[#This Row],[Shein 2026]]</f>
        <v>611143</v>
      </c>
      <c r="AT250" s="18">
        <f t="shared" si="91"/>
        <v>-2.3829212733954885E-2</v>
      </c>
      <c r="AU250" s="18">
        <f t="shared" si="92"/>
        <v>0.31740138024580333</v>
      </c>
      <c r="AV250" s="49">
        <f t="shared" si="93"/>
        <v>4329481.2871723697</v>
      </c>
      <c r="AW250" s="49">
        <f t="shared" si="94"/>
        <v>2173067.19470328</v>
      </c>
      <c r="AX250" s="39">
        <f t="shared" si="95"/>
        <v>0.59318214577093131</v>
      </c>
      <c r="AY250" s="39">
        <f t="shared" si="96"/>
        <v>0.28123520592903162</v>
      </c>
      <c r="AZ250" s="39">
        <f t="shared" si="97"/>
        <v>0.48893353257751215</v>
      </c>
      <c r="BA250" s="18">
        <v>3.6992484488507102E-2</v>
      </c>
      <c r="BB250" s="20">
        <v>2.6313557622999299E-2</v>
      </c>
      <c r="BC250" s="17">
        <f t="shared" si="86"/>
        <v>-1761310.2871723697</v>
      </c>
      <c r="BD250" s="17">
        <f t="shared" si="87"/>
        <v>-1561924.19470328</v>
      </c>
      <c r="BE250" s="17">
        <f t="shared" si="88"/>
        <v>-62691.379310344812</v>
      </c>
      <c r="BF250" s="17">
        <f t="shared" si="89"/>
        <v>147242.62068965519</v>
      </c>
    </row>
    <row r="251" spans="1:58" ht="14.25" customHeight="1" x14ac:dyDescent="0.35">
      <c r="A251" s="19">
        <v>45906</v>
      </c>
      <c r="B251" s="17">
        <v>54832854</v>
      </c>
      <c r="C251" s="17">
        <f t="shared" si="63"/>
        <v>3543120.3879310344</v>
      </c>
      <c r="D251" s="18">
        <f>+Tabla22[[#This Row],[Share diario]]</f>
        <v>2.6843059492165419E-2</v>
      </c>
      <c r="E251" s="17">
        <f>+Tabla22[[#This Row],[Global 2026]]</f>
        <v>57172573</v>
      </c>
      <c r="F251" s="19">
        <v>46270</v>
      </c>
      <c r="G251" s="17">
        <f t="shared" si="64"/>
        <v>4079737.6799719241</v>
      </c>
      <c r="H251" s="17">
        <v>3424182.6222861698</v>
      </c>
      <c r="I251" s="17">
        <v>655555.05768575403</v>
      </c>
      <c r="J251" s="17">
        <v>2230610</v>
      </c>
      <c r="K251" s="17">
        <f>+Tabla22[[#This Row],[Web + APP 2026]]</f>
        <v>2169077</v>
      </c>
      <c r="L251" s="17">
        <v>36679.310344827602</v>
      </c>
      <c r="M251" s="17">
        <f>+Tabla22[[#This Row],[Afiliados 2026]]</f>
        <v>71181</v>
      </c>
      <c r="N251" s="17">
        <v>4751</v>
      </c>
      <c r="O251" s="17">
        <f>+Tabla22[[#This Row],[TMK 2026]]</f>
        <v>-1219</v>
      </c>
      <c r="P251" s="17">
        <v>697</v>
      </c>
      <c r="Q251" s="17">
        <f>+Tabla22[[#This Row],[WA 2026]]</f>
        <v>10096</v>
      </c>
      <c r="R251" s="17">
        <v>100445</v>
      </c>
      <c r="S251" s="17">
        <f>+Tabla22[[#This Row],[Ent. en Tienda 2026]]</f>
        <v>43403</v>
      </c>
      <c r="T251" s="17">
        <v>869801</v>
      </c>
      <c r="U251" s="17">
        <f>+Tabla22[[#This Row],[Meli Drop 2026]]</f>
        <v>327711</v>
      </c>
      <c r="V251" s="17">
        <v>263561</v>
      </c>
      <c r="W251" s="17">
        <f>+Tabla22[[#This Row],[Meli Full 2026]]</f>
        <v>287772</v>
      </c>
      <c r="X251" s="17">
        <v>29692</v>
      </c>
      <c r="Y251" s="17">
        <f>+Tabla22[[#This Row],[Amazon Drop 2026]]</f>
        <v>34661</v>
      </c>
      <c r="Z251" s="17">
        <v>3281</v>
      </c>
      <c r="AA251" s="17">
        <f>+Tabla22[[#This Row],[Amazon Full 2026]]</f>
        <v>3709</v>
      </c>
      <c r="AB251" s="17">
        <v>1880.66379310345</v>
      </c>
      <c r="AC251" s="17">
        <f>+Tabla22[[#This Row],[TikTok 2026]]</f>
        <v>14900</v>
      </c>
      <c r="AD251" s="17">
        <v>1722.41379310345</v>
      </c>
      <c r="AE251" s="17">
        <f>+Tabla22[[#This Row],[Shein 2026]]</f>
        <v>2842</v>
      </c>
      <c r="AF251" s="17">
        <f t="shared" si="65"/>
        <v>2964133</v>
      </c>
      <c r="AG251" s="18">
        <f t="shared" si="66"/>
        <v>0.72654989916420276</v>
      </c>
      <c r="AH251" s="17">
        <f t="shared" si="67"/>
        <v>-1115604.6799719241</v>
      </c>
      <c r="AI251" s="20">
        <f t="shared" si="68"/>
        <v>-0.16341171750845518</v>
      </c>
      <c r="AJ251" s="20">
        <f t="shared" si="98"/>
        <v>6.4616742143880287E-2</v>
      </c>
      <c r="AK251" s="21">
        <f t="shared" si="69"/>
        <v>5.1845366483680905E-2</v>
      </c>
      <c r="AL251" s="21">
        <f t="shared" si="99"/>
        <v>4.2670020422427735E-2</v>
      </c>
      <c r="AO251" s="38">
        <f t="shared" si="90"/>
        <v>46270</v>
      </c>
      <c r="AP251" s="17">
        <f>Tabla2[[#This Row],[Web + APP 2025]]+Tabla2[[#This Row],[Afiliados 2025]]+Tabla2[[#This Row],[TMK 2025]]+Tabla2[[#This Row],[WA 2025]]+Tabla2[[#This Row],[Ent. en Tienda 2025]]</f>
        <v>2373182.3103448278</v>
      </c>
      <c r="AQ251" s="17">
        <f>Tabla2[[#This Row],[Meli Drop 2025]]+Tabla2[[#This Row],[Meli Full 2025]]+Tabla2[[#This Row],[Amazon Drop 2025]]+Tabla2[[#This Row],[Amazon Full 2025]]+Tabla2[[#This Row],[TikTok 2025]]+Tabla2[[#This Row],[Shein 2025]]</f>
        <v>1169938.0775862071</v>
      </c>
      <c r="AR251" s="17">
        <f>Tabla2[[#This Row],[Web + APP 2026]]+Tabla2[[#This Row],[Afiliados 2026]]+Tabla2[[#This Row],[TMK 2026]]+Tabla2[[#This Row],[WA 2026]]+Tabla2[[#This Row],[Ent. en Tienda 2026]]</f>
        <v>2292538</v>
      </c>
      <c r="AS251" s="17">
        <f>Tabla2[[#This Row],[Meli Drop 2026]]+Tabla2[[#This Row],[Meli Full 2026]]+Tabla2[[#This Row],[Amazon Drop 2026]]+Tabla2[[#This Row],[Amazon Full 2026]]+Tabla2[[#This Row],[TikTok 2026]]+Tabla2[[#This Row],[Shein 2026]]</f>
        <v>671595</v>
      </c>
      <c r="AT251" s="18">
        <f t="shared" si="91"/>
        <v>-3.3981506601197475E-2</v>
      </c>
      <c r="AU251" s="18">
        <f t="shared" si="92"/>
        <v>-0.42595679817036003</v>
      </c>
      <c r="AV251" s="49">
        <f t="shared" si="93"/>
        <v>3424182.6222861698</v>
      </c>
      <c r="AW251" s="49">
        <f t="shared" si="94"/>
        <v>655555.05768575403</v>
      </c>
      <c r="AX251" s="39">
        <f t="shared" si="95"/>
        <v>0.66951394037195877</v>
      </c>
      <c r="AY251" s="39">
        <f t="shared" si="96"/>
        <v>1.0244677271972704</v>
      </c>
      <c r="AZ251" s="39">
        <f t="shared" si="97"/>
        <v>0.72654989916420276</v>
      </c>
      <c r="BA251" s="18">
        <v>3.6992484488507102E-2</v>
      </c>
      <c r="BB251" s="20">
        <v>2.6313557622999299E-2</v>
      </c>
      <c r="BC251" s="17">
        <f t="shared" si="86"/>
        <v>-1131644.6222861698</v>
      </c>
      <c r="BD251" s="17">
        <f t="shared" si="87"/>
        <v>16039.942314245971</v>
      </c>
      <c r="BE251" s="17">
        <f t="shared" si="88"/>
        <v>-80644.310344827827</v>
      </c>
      <c r="BF251" s="17">
        <f t="shared" si="89"/>
        <v>-498343.07758620707</v>
      </c>
    </row>
    <row r="252" spans="1:58" ht="14.25" customHeight="1" x14ac:dyDescent="0.35">
      <c r="A252" s="16">
        <v>45907</v>
      </c>
      <c r="B252" s="17">
        <v>54084046</v>
      </c>
      <c r="C252" s="17">
        <f t="shared" si="63"/>
        <v>3700237.4913793104</v>
      </c>
      <c r="D252" s="18">
        <f>+Tabla22[[#This Row],[Share diario]]</f>
        <v>3.0731981343709174E-2</v>
      </c>
      <c r="E252" s="17">
        <f>+Tabla22[[#This Row],[Global 2026]]</f>
        <v>55245812</v>
      </c>
      <c r="F252" s="19">
        <v>46271</v>
      </c>
      <c r="G252" s="17">
        <f t="shared" si="64"/>
        <v>4742084.1852022205</v>
      </c>
      <c r="H252" s="17">
        <v>3088800.7257642699</v>
      </c>
      <c r="I252" s="17">
        <v>1653283.45943795</v>
      </c>
      <c r="J252" s="17">
        <v>2674804</v>
      </c>
      <c r="K252" s="17">
        <f>+Tabla22[[#This Row],[Web + APP 2026]]</f>
        <v>2422908</v>
      </c>
      <c r="L252" s="17">
        <v>33514.655172413797</v>
      </c>
      <c r="M252" s="17">
        <f>+Tabla22[[#This Row],[Afiliados 2026]]</f>
        <v>65653</v>
      </c>
      <c r="N252" s="17">
        <v>11139</v>
      </c>
      <c r="O252" s="17">
        <f>+Tabla22[[#This Row],[TMK 2026]]</f>
        <v>23706</v>
      </c>
      <c r="P252" s="17">
        <v>1207</v>
      </c>
      <c r="Q252" s="17">
        <f>+Tabla22[[#This Row],[WA 2026]]</f>
        <v>4988</v>
      </c>
      <c r="R252" s="17">
        <v>80736</v>
      </c>
      <c r="S252" s="17">
        <f>+Tabla22[[#This Row],[Ent. en Tienda 2026]]</f>
        <v>89194</v>
      </c>
      <c r="T252" s="17">
        <v>589007</v>
      </c>
      <c r="U252" s="17">
        <f>+Tabla22[[#This Row],[Meli Drop 2026]]</f>
        <v>418793</v>
      </c>
      <c r="V252" s="17">
        <v>264958</v>
      </c>
      <c r="W252" s="17">
        <f>+Tabla22[[#This Row],[Meli Full 2026]]</f>
        <v>315256</v>
      </c>
      <c r="X252" s="17">
        <v>38489</v>
      </c>
      <c r="Y252" s="17">
        <f>+Tabla22[[#This Row],[Amazon Drop 2026]]</f>
        <v>37121</v>
      </c>
      <c r="Z252" s="17">
        <v>5467</v>
      </c>
      <c r="AA252" s="17">
        <f>+Tabla22[[#This Row],[Amazon Full 2026]]</f>
        <v>8727</v>
      </c>
      <c r="AB252" s="17">
        <v>915.83620689655197</v>
      </c>
      <c r="AC252" s="17">
        <f>+Tabla22[[#This Row],[TikTok 2026]]</f>
        <v>17989</v>
      </c>
      <c r="AD252" s="17">
        <v>0</v>
      </c>
      <c r="AE252" s="17">
        <f>+Tabla22[[#This Row],[Shein 2026]]</f>
        <v>14961</v>
      </c>
      <c r="AF252" s="17">
        <f t="shared" si="65"/>
        <v>3419296</v>
      </c>
      <c r="AG252" s="18">
        <f t="shared" si="66"/>
        <v>0.72105341585246197</v>
      </c>
      <c r="AH252" s="17">
        <f t="shared" si="67"/>
        <v>-1322788.1852022205</v>
      </c>
      <c r="AI252" s="20">
        <f t="shared" si="68"/>
        <v>-7.5925259401278589E-2</v>
      </c>
      <c r="AJ252" s="20">
        <f t="shared" si="98"/>
        <v>6.8416432664436949E-2</v>
      </c>
      <c r="AK252" s="21">
        <f t="shared" si="69"/>
        <v>6.1892401907315618E-2</v>
      </c>
      <c r="AL252" s="21">
        <f t="shared" si="99"/>
        <v>2.1480752383059576E-2</v>
      </c>
      <c r="AO252" s="38">
        <f t="shared" si="90"/>
        <v>46271</v>
      </c>
      <c r="AP252" s="17">
        <f>Tabla2[[#This Row],[Web + APP 2025]]+Tabla2[[#This Row],[Afiliados 2025]]+Tabla2[[#This Row],[TMK 2025]]+Tabla2[[#This Row],[WA 2025]]+Tabla2[[#This Row],[Ent. en Tienda 2025]]</f>
        <v>2801400.6551724137</v>
      </c>
      <c r="AQ252" s="17">
        <f>Tabla2[[#This Row],[Meli Drop 2025]]+Tabla2[[#This Row],[Meli Full 2025]]+Tabla2[[#This Row],[Amazon Drop 2025]]+Tabla2[[#This Row],[Amazon Full 2025]]+Tabla2[[#This Row],[TikTok 2025]]+Tabla2[[#This Row],[Shein 2025]]</f>
        <v>898836.83620689658</v>
      </c>
      <c r="AR252" s="17">
        <f>Tabla2[[#This Row],[Web + APP 2026]]+Tabla2[[#This Row],[Afiliados 2026]]+Tabla2[[#This Row],[TMK 2026]]+Tabla2[[#This Row],[WA 2026]]+Tabla2[[#This Row],[Ent. en Tienda 2026]]</f>
        <v>2606449</v>
      </c>
      <c r="AS252" s="17">
        <f>Tabla2[[#This Row],[Meli Drop 2026]]+Tabla2[[#This Row],[Meli Full 2026]]+Tabla2[[#This Row],[Amazon Drop 2026]]+Tabla2[[#This Row],[Amazon Full 2026]]+Tabla2[[#This Row],[TikTok 2026]]+Tabla2[[#This Row],[Shein 2026]]</f>
        <v>812847</v>
      </c>
      <c r="AT252" s="18">
        <f t="shared" si="91"/>
        <v>-6.9590779459718255E-2</v>
      </c>
      <c r="AU252" s="18">
        <f t="shared" si="92"/>
        <v>-9.5667904054505426E-2</v>
      </c>
      <c r="AV252" s="49">
        <f t="shared" si="93"/>
        <v>3088800.7257642699</v>
      </c>
      <c r="AW252" s="49">
        <f t="shared" si="94"/>
        <v>1653283.45943795</v>
      </c>
      <c r="AX252" s="39">
        <f t="shared" si="95"/>
        <v>0.84383850931499627</v>
      </c>
      <c r="AY252" s="39">
        <f t="shared" si="96"/>
        <v>0.49165616177901844</v>
      </c>
      <c r="AZ252" s="39">
        <f t="shared" si="97"/>
        <v>0.72105341585246197</v>
      </c>
      <c r="BA252" s="18">
        <v>3.6992484488507102E-2</v>
      </c>
      <c r="BB252" s="20">
        <v>2.6313557622999299E-2</v>
      </c>
      <c r="BC252" s="17">
        <f t="shared" si="86"/>
        <v>-482351.72576426994</v>
      </c>
      <c r="BD252" s="17">
        <f t="shared" si="87"/>
        <v>-840436.45943795005</v>
      </c>
      <c r="BE252" s="17">
        <f t="shared" si="88"/>
        <v>-194951.65517241368</v>
      </c>
      <c r="BF252" s="17">
        <f t="shared" si="89"/>
        <v>-85989.83620689658</v>
      </c>
    </row>
    <row r="253" spans="1:58" ht="14.25" customHeight="1" x14ac:dyDescent="0.35">
      <c r="A253" s="19">
        <v>45908</v>
      </c>
      <c r="B253" s="17">
        <v>28435547</v>
      </c>
      <c r="C253" s="17">
        <f t="shared" si="63"/>
        <v>4633264.2068965519</v>
      </c>
      <c r="D253" s="18">
        <f>+Tabla22[[#This Row],[Share diario]]</f>
        <v>3.2094768763633562E-2</v>
      </c>
      <c r="E253" s="17">
        <f>+Tabla22[[#This Row],[Global 2026]]</f>
        <v>28518805</v>
      </c>
      <c r="F253" s="19">
        <v>46272</v>
      </c>
      <c r="G253" s="17">
        <f t="shared" si="64"/>
        <v>4916325.7663962999</v>
      </c>
      <c r="H253" s="17">
        <v>3646145.6581461602</v>
      </c>
      <c r="I253" s="17">
        <v>1270180.10825014</v>
      </c>
      <c r="J253" s="17">
        <v>3525502</v>
      </c>
      <c r="K253" s="17">
        <f>+Tabla22[[#This Row],[Web + APP 2026]]</f>
        <v>3685422</v>
      </c>
      <c r="L253" s="17">
        <v>25892.241379310301</v>
      </c>
      <c r="M253" s="17">
        <f>+Tabla22[[#This Row],[Afiliados 2026]]</f>
        <v>51772</v>
      </c>
      <c r="N253" s="17">
        <v>45000</v>
      </c>
      <c r="O253" s="17">
        <f>+Tabla22[[#This Row],[TMK 2026]]</f>
        <v>39873</v>
      </c>
      <c r="P253" s="17">
        <v>10415</v>
      </c>
      <c r="Q253" s="17">
        <f>+Tabla22[[#This Row],[WA 2026]]</f>
        <v>8283</v>
      </c>
      <c r="R253" s="17">
        <v>159923</v>
      </c>
      <c r="S253" s="17">
        <f>+Tabla22[[#This Row],[Ent. en Tienda 2026]]</f>
        <v>110586</v>
      </c>
      <c r="T253" s="17">
        <v>610021</v>
      </c>
      <c r="U253" s="17">
        <f>+Tabla22[[#This Row],[Meli Drop 2026]]</f>
        <v>430573</v>
      </c>
      <c r="V253" s="17">
        <v>212908</v>
      </c>
      <c r="W253" s="17">
        <f>+Tabla22[[#This Row],[Meli Full 2026]]</f>
        <v>302218</v>
      </c>
      <c r="X253" s="17">
        <v>37056</v>
      </c>
      <c r="Y253" s="17">
        <f>+Tabla22[[#This Row],[Amazon Drop 2026]]</f>
        <v>41380</v>
      </c>
      <c r="Z253" s="17">
        <v>6203</v>
      </c>
      <c r="AA253" s="17">
        <f>+Tabla22[[#This Row],[Amazon Full 2026]]</f>
        <v>9144</v>
      </c>
      <c r="AB253" s="17">
        <v>343.96551724137902</v>
      </c>
      <c r="AC253" s="17">
        <f>+Tabla22[[#This Row],[TikTok 2026]]</f>
        <v>31279</v>
      </c>
      <c r="AD253" s="17">
        <v>0</v>
      </c>
      <c r="AE253" s="17">
        <f>+Tabla22[[#This Row],[Shein 2026]]</f>
        <v>3203</v>
      </c>
      <c r="AF253" s="17">
        <f t="shared" si="65"/>
        <v>4713733</v>
      </c>
      <c r="AG253" s="18">
        <f t="shared" si="66"/>
        <v>0.95879183438553917</v>
      </c>
      <c r="AH253" s="17">
        <f t="shared" si="67"/>
        <v>-202592.76639629994</v>
      </c>
      <c r="AI253" s="20">
        <f t="shared" si="68"/>
        <v>1.7367624532111048E-2</v>
      </c>
      <c r="AJ253" s="20">
        <f t="shared" si="98"/>
        <v>0.16293916227096147</v>
      </c>
      <c r="AK253" s="21">
        <f t="shared" si="69"/>
        <v>0.16528508119467136</v>
      </c>
      <c r="AL253" s="21">
        <f t="shared" si="99"/>
        <v>2.9279549290892604E-3</v>
      </c>
      <c r="AO253" s="38">
        <f t="shared" si="90"/>
        <v>46272</v>
      </c>
      <c r="AP253" s="17">
        <f>Tabla2[[#This Row],[Web + APP 2025]]+Tabla2[[#This Row],[Afiliados 2025]]+Tabla2[[#This Row],[TMK 2025]]+Tabla2[[#This Row],[WA 2025]]+Tabla2[[#This Row],[Ent. en Tienda 2025]]</f>
        <v>3766732.2413793104</v>
      </c>
      <c r="AQ253" s="17">
        <f>Tabla2[[#This Row],[Meli Drop 2025]]+Tabla2[[#This Row],[Meli Full 2025]]+Tabla2[[#This Row],[Amazon Drop 2025]]+Tabla2[[#This Row],[Amazon Full 2025]]+Tabla2[[#This Row],[TikTok 2025]]+Tabla2[[#This Row],[Shein 2025]]</f>
        <v>866531.96551724139</v>
      </c>
      <c r="AR253" s="17">
        <f>Tabla2[[#This Row],[Web + APP 2026]]+Tabla2[[#This Row],[Afiliados 2026]]+Tabla2[[#This Row],[TMK 2026]]+Tabla2[[#This Row],[WA 2026]]+Tabla2[[#This Row],[Ent. en Tienda 2026]]</f>
        <v>3895936</v>
      </c>
      <c r="AS253" s="17">
        <f>Tabla2[[#This Row],[Meli Drop 2026]]+Tabla2[[#This Row],[Meli Full 2026]]+Tabla2[[#This Row],[Amazon Drop 2026]]+Tabla2[[#This Row],[Amazon Full 2026]]+Tabla2[[#This Row],[TikTok 2026]]+Tabla2[[#This Row],[Shein 2026]]</f>
        <v>817797</v>
      </c>
      <c r="AT253" s="18">
        <f t="shared" si="91"/>
        <v>3.4301285661169745E-2</v>
      </c>
      <c r="AU253" s="18">
        <f t="shared" si="92"/>
        <v>-5.6241393804960182E-2</v>
      </c>
      <c r="AV253" s="49">
        <f t="shared" si="93"/>
        <v>3646145.6581461602</v>
      </c>
      <c r="AW253" s="49">
        <f t="shared" si="94"/>
        <v>1270180.10825014</v>
      </c>
      <c r="AX253" s="39">
        <f t="shared" si="95"/>
        <v>1.0685080535100846</v>
      </c>
      <c r="AY253" s="39">
        <f t="shared" si="96"/>
        <v>0.64384333740404398</v>
      </c>
      <c r="AZ253" s="39">
        <f t="shared" si="97"/>
        <v>0.95879183438553917</v>
      </c>
      <c r="BA253" s="18">
        <v>3.6992484488507102E-2</v>
      </c>
      <c r="BB253" s="20">
        <v>2.6313557622999299E-2</v>
      </c>
      <c r="BC253" s="17">
        <f t="shared" si="86"/>
        <v>249790.34185383981</v>
      </c>
      <c r="BD253" s="17">
        <f t="shared" si="87"/>
        <v>-452383.10825013998</v>
      </c>
      <c r="BE253" s="17">
        <f t="shared" si="88"/>
        <v>129203.75862068962</v>
      </c>
      <c r="BF253" s="17">
        <f t="shared" si="89"/>
        <v>-48734.965517241391</v>
      </c>
    </row>
    <row r="254" spans="1:58" ht="14.25" customHeight="1" x14ac:dyDescent="0.35">
      <c r="A254" s="16">
        <v>45909</v>
      </c>
      <c r="B254" s="17">
        <v>29640196</v>
      </c>
      <c r="C254" s="17">
        <f t="shared" si="63"/>
        <v>4744179.2758620689</v>
      </c>
      <c r="D254" s="18">
        <f>+Tabla22[[#This Row],[Share diario]]</f>
        <v>4.018756733523441E-2</v>
      </c>
      <c r="E254" s="17">
        <f>+Tabla22[[#This Row],[Global 2026]]</f>
        <v>32663945</v>
      </c>
      <c r="F254" s="19">
        <v>46273</v>
      </c>
      <c r="G254" s="17">
        <f t="shared" si="64"/>
        <v>6127095.8821069803</v>
      </c>
      <c r="H254" s="17">
        <v>4902567.0005274704</v>
      </c>
      <c r="I254" s="17">
        <v>1224528.8815795099</v>
      </c>
      <c r="J254" s="17">
        <v>3709022</v>
      </c>
      <c r="K254" s="17">
        <f>+Tabla22[[#This Row],[Web + APP 2026]]</f>
        <v>3691678</v>
      </c>
      <c r="L254" s="17">
        <v>28638.793103448301</v>
      </c>
      <c r="M254" s="17">
        <f>+Tabla22[[#This Row],[Afiliados 2026]]</f>
        <v>46251</v>
      </c>
      <c r="N254" s="17">
        <v>39009</v>
      </c>
      <c r="O254" s="17">
        <f>+Tabla22[[#This Row],[TMK 2026]]</f>
        <v>36867</v>
      </c>
      <c r="P254" s="17">
        <v>6468</v>
      </c>
      <c r="Q254" s="17">
        <f>+Tabla22[[#This Row],[WA 2026]]</f>
        <v>11745</v>
      </c>
      <c r="R254" s="17">
        <v>126437</v>
      </c>
      <c r="S254" s="17">
        <f>+Tabla22[[#This Row],[Ent. en Tienda 2026]]</f>
        <v>113991</v>
      </c>
      <c r="T254" s="17">
        <v>512439</v>
      </c>
      <c r="U254" s="17">
        <f>+Tabla22[[#This Row],[Meli Drop 2026]]</f>
        <v>424362</v>
      </c>
      <c r="V254" s="17">
        <v>272574</v>
      </c>
      <c r="W254" s="17">
        <f>+Tabla22[[#This Row],[Meli Full 2026]]</f>
        <v>280697</v>
      </c>
      <c r="X254" s="17">
        <v>41801</v>
      </c>
      <c r="Y254" s="17">
        <f>+Tabla22[[#This Row],[Amazon Drop 2026]]</f>
        <v>40425</v>
      </c>
      <c r="Z254" s="17">
        <v>6981</v>
      </c>
      <c r="AA254" s="17">
        <f>+Tabla22[[#This Row],[Amazon Full 2026]]</f>
        <v>4771</v>
      </c>
      <c r="AB254" s="17">
        <v>809.48275862068999</v>
      </c>
      <c r="AC254" s="17">
        <f>+Tabla22[[#This Row],[TikTok 2026]]</f>
        <v>37972</v>
      </c>
      <c r="AD254" s="17">
        <v>0</v>
      </c>
      <c r="AE254" s="17">
        <f>+Tabla22[[#This Row],[Shein 2026]]</f>
        <v>4228</v>
      </c>
      <c r="AF254" s="17">
        <f t="shared" si="65"/>
        <v>4692987</v>
      </c>
      <c r="AG254" s="18">
        <f t="shared" si="66"/>
        <v>0.76593986617787024</v>
      </c>
      <c r="AH254" s="17">
        <f t="shared" si="67"/>
        <v>-1434108.8821069803</v>
      </c>
      <c r="AI254" s="20">
        <f t="shared" si="68"/>
        <v>-1.0790544135321878E-2</v>
      </c>
      <c r="AJ254" s="20">
        <f t="shared" si="98"/>
        <v>0.16005897113035517</v>
      </c>
      <c r="AK254" s="21">
        <f t="shared" si="69"/>
        <v>0.1436748378066397</v>
      </c>
      <c r="AL254" s="21">
        <f t="shared" si="99"/>
        <v>0.10201514861777561</v>
      </c>
      <c r="AO254" s="38">
        <f t="shared" si="90"/>
        <v>46273</v>
      </c>
      <c r="AP254" s="17">
        <f>Tabla2[[#This Row],[Web + APP 2025]]+Tabla2[[#This Row],[Afiliados 2025]]+Tabla2[[#This Row],[TMK 2025]]+Tabla2[[#This Row],[WA 2025]]+Tabla2[[#This Row],[Ent. en Tienda 2025]]</f>
        <v>3909574.7931034481</v>
      </c>
      <c r="AQ254" s="17">
        <f>Tabla2[[#This Row],[Meli Drop 2025]]+Tabla2[[#This Row],[Meli Full 2025]]+Tabla2[[#This Row],[Amazon Drop 2025]]+Tabla2[[#This Row],[Amazon Full 2025]]+Tabla2[[#This Row],[TikTok 2025]]+Tabla2[[#This Row],[Shein 2025]]</f>
        <v>834604.48275862064</v>
      </c>
      <c r="AR254" s="17">
        <f>Tabla2[[#This Row],[Web + APP 2026]]+Tabla2[[#This Row],[Afiliados 2026]]+Tabla2[[#This Row],[TMK 2026]]+Tabla2[[#This Row],[WA 2026]]+Tabla2[[#This Row],[Ent. en Tienda 2026]]</f>
        <v>3900532</v>
      </c>
      <c r="AS254" s="17">
        <f>Tabla2[[#This Row],[Meli Drop 2026]]+Tabla2[[#This Row],[Meli Full 2026]]+Tabla2[[#This Row],[Amazon Drop 2026]]+Tabla2[[#This Row],[Amazon Full 2026]]+Tabla2[[#This Row],[TikTok 2026]]+Tabla2[[#This Row],[Shein 2026]]</f>
        <v>792455</v>
      </c>
      <c r="AT254" s="505">
        <f t="shared" si="91"/>
        <v>-2.3129863430160214E-3</v>
      </c>
      <c r="AU254" s="18">
        <f t="shared" si="92"/>
        <v>-5.0502344079561889E-2</v>
      </c>
      <c r="AV254" s="49">
        <f t="shared" si="93"/>
        <v>4902567.0005274704</v>
      </c>
      <c r="AW254" s="49">
        <f t="shared" si="94"/>
        <v>1224528.8815795099</v>
      </c>
      <c r="AX254" s="39">
        <f t="shared" si="95"/>
        <v>0.79561013640004086</v>
      </c>
      <c r="AY254" s="39">
        <f t="shared" si="96"/>
        <v>0.64715092630385218</v>
      </c>
      <c r="AZ254" s="39">
        <f t="shared" si="97"/>
        <v>0.76593986617787024</v>
      </c>
      <c r="BA254" s="18">
        <v>3.6992484488507102E-2</v>
      </c>
      <c r="BB254" s="20">
        <v>2.6313557622999299E-2</v>
      </c>
      <c r="BC254" s="17">
        <f t="shared" ref="BC254:BC267" si="100">+AR254-AV254</f>
        <v>-1002035.0005274704</v>
      </c>
      <c r="BD254" s="17">
        <f t="shared" ref="BD254:BD267" si="101">+AS254-AW254</f>
        <v>-432073.88157950994</v>
      </c>
      <c r="BE254" s="17">
        <f t="shared" ref="BE254:BE267" si="102">AR254-AP254</f>
        <v>-9042.7931034481153</v>
      </c>
      <c r="BF254" s="17">
        <f t="shared" ref="BF254:BF267" si="103">AS254-AQ254</f>
        <v>-42149.482758620637</v>
      </c>
    </row>
    <row r="255" spans="1:58" ht="14.25" customHeight="1" x14ac:dyDescent="0.35">
      <c r="A255" s="19">
        <v>45910</v>
      </c>
      <c r="B255" s="17">
        <v>32533171</v>
      </c>
      <c r="C255" s="17">
        <f t="shared" si="63"/>
        <v>4154468.0000000005</v>
      </c>
      <c r="D255" s="18">
        <f>+Tabla22[[#This Row],[Share diario]]</f>
        <v>4.1149611933491745E-2</v>
      </c>
      <c r="E255" s="17">
        <f>+Tabla22[[#This Row],[Global 2026]]</f>
        <v>33989444</v>
      </c>
      <c r="F255" s="19">
        <v>46274</v>
      </c>
      <c r="G255" s="17">
        <f t="shared" si="64"/>
        <v>6267893.7942838604</v>
      </c>
      <c r="H255" s="17">
        <v>5088482.8383087805</v>
      </c>
      <c r="I255" s="17">
        <v>1179410.9559750799</v>
      </c>
      <c r="J255" s="17">
        <v>2984548</v>
      </c>
      <c r="K255" s="17">
        <f>+Tabla22[[#This Row],[Web + APP 2026]]</f>
        <v>3992374</v>
      </c>
      <c r="L255" s="17">
        <v>24654.310344827602</v>
      </c>
      <c r="M255" s="17">
        <f>+Tabla22[[#This Row],[Afiliados 2026]]</f>
        <v>42255</v>
      </c>
      <c r="N255" s="17">
        <v>17827</v>
      </c>
      <c r="O255" s="17">
        <f>+Tabla22[[#This Row],[TMK 2026]]</f>
        <v>41214</v>
      </c>
      <c r="P255" s="17">
        <v>2299</v>
      </c>
      <c r="Q255" s="17">
        <f>+Tabla22[[#This Row],[WA 2026]]</f>
        <v>23756</v>
      </c>
      <c r="R255" s="17">
        <v>109725</v>
      </c>
      <c r="S255" s="17">
        <f>+Tabla22[[#This Row],[Ent. en Tienda 2026]]</f>
        <v>136924</v>
      </c>
      <c r="T255" s="17">
        <v>666967</v>
      </c>
      <c r="U255" s="17">
        <f>+Tabla22[[#This Row],[Meli Drop 2026]]</f>
        <v>757503</v>
      </c>
      <c r="V255" s="17">
        <v>299912</v>
      </c>
      <c r="W255" s="17">
        <f>+Tabla22[[#This Row],[Meli Full 2026]]</f>
        <v>472947</v>
      </c>
      <c r="X255" s="17">
        <v>40233</v>
      </c>
      <c r="Y255" s="17">
        <f>+Tabla22[[#This Row],[Amazon Drop 2026]]</f>
        <v>44298</v>
      </c>
      <c r="Z255" s="17">
        <v>7382</v>
      </c>
      <c r="AA255" s="17">
        <f>+Tabla22[[#This Row],[Amazon Full 2026]]</f>
        <v>6888</v>
      </c>
      <c r="AB255" s="17">
        <v>920.68965517241395</v>
      </c>
      <c r="AC255" s="17">
        <f>+Tabla22[[#This Row],[TikTok 2026]]</f>
        <v>32292</v>
      </c>
      <c r="AD255" s="17">
        <v>0</v>
      </c>
      <c r="AE255" s="17">
        <f>+Tabla22[[#This Row],[Shein 2026]]</f>
        <v>5813</v>
      </c>
      <c r="AF255" s="17">
        <f t="shared" si="65"/>
        <v>5556264</v>
      </c>
      <c r="AG255" s="18">
        <f t="shared" si="66"/>
        <v>0.88646428646687558</v>
      </c>
      <c r="AH255" s="17">
        <f t="shared" si="67"/>
        <v>-711629.79428386036</v>
      </c>
      <c r="AI255" s="20">
        <f t="shared" si="68"/>
        <v>0.3374188945491936</v>
      </c>
      <c r="AJ255" s="20">
        <f t="shared" si="98"/>
        <v>0.12769944866425717</v>
      </c>
      <c r="AK255" s="21">
        <f t="shared" si="69"/>
        <v>0.16347028212641548</v>
      </c>
      <c r="AL255" s="21">
        <f t="shared" si="99"/>
        <v>4.4762713109029573E-2</v>
      </c>
      <c r="AO255" s="38">
        <f t="shared" si="90"/>
        <v>46274</v>
      </c>
      <c r="AP255" s="17">
        <f>Tabla2[[#This Row],[Web + APP 2025]]+Tabla2[[#This Row],[Afiliados 2025]]+Tabla2[[#This Row],[TMK 2025]]+Tabla2[[#This Row],[WA 2025]]+Tabla2[[#This Row],[Ent. en Tienda 2025]]</f>
        <v>3139053.3103448278</v>
      </c>
      <c r="AQ255" s="17">
        <f>Tabla2[[#This Row],[Meli Drop 2025]]+Tabla2[[#This Row],[Meli Full 2025]]+Tabla2[[#This Row],[Amazon Drop 2025]]+Tabla2[[#This Row],[Amazon Full 2025]]+Tabla2[[#This Row],[TikTok 2025]]+Tabla2[[#This Row],[Shein 2025]]</f>
        <v>1015414.6896551724</v>
      </c>
      <c r="AR255" s="17">
        <f>Tabla2[[#This Row],[Web + APP 2026]]+Tabla2[[#This Row],[Afiliados 2026]]+Tabla2[[#This Row],[TMK 2026]]+Tabla2[[#This Row],[WA 2026]]+Tabla2[[#This Row],[Ent. en Tienda 2026]]</f>
        <v>4236523</v>
      </c>
      <c r="AS255" s="17">
        <f>Tabla2[[#This Row],[Meli Drop 2026]]+Tabla2[[#This Row],[Meli Full 2026]]+Tabla2[[#This Row],[Amazon Drop 2026]]+Tabla2[[#This Row],[Amazon Full 2026]]+Tabla2[[#This Row],[TikTok 2026]]+Tabla2[[#This Row],[Shein 2026]]</f>
        <v>1319741</v>
      </c>
      <c r="AT255" s="18">
        <f t="shared" si="91"/>
        <v>0.34961804759365944</v>
      </c>
      <c r="AU255" s="18">
        <f t="shared" si="92"/>
        <v>0.29970642875786502</v>
      </c>
      <c r="AV255" s="49">
        <f t="shared" si="93"/>
        <v>5088482.8383087805</v>
      </c>
      <c r="AW255" s="49">
        <f t="shared" si="94"/>
        <v>1179410.9559750799</v>
      </c>
      <c r="AX255" s="39">
        <f t="shared" si="95"/>
        <v>0.83257095181794116</v>
      </c>
      <c r="AY255" s="39">
        <f t="shared" si="96"/>
        <v>1.1189831613094539</v>
      </c>
      <c r="AZ255" s="39">
        <f t="shared" si="97"/>
        <v>0.88646428646687558</v>
      </c>
      <c r="BA255" s="18">
        <v>3.6992484488507102E-2</v>
      </c>
      <c r="BB255" s="20">
        <v>2.6313557622999299E-2</v>
      </c>
      <c r="BC255" s="17">
        <f t="shared" si="100"/>
        <v>-851959.83830878045</v>
      </c>
      <c r="BD255" s="17">
        <f t="shared" si="101"/>
        <v>140330.04402492009</v>
      </c>
      <c r="BE255" s="17">
        <f t="shared" si="102"/>
        <v>1097469.6896551722</v>
      </c>
      <c r="BF255" s="17">
        <f t="shared" si="103"/>
        <v>304326.31034482759</v>
      </c>
    </row>
    <row r="256" spans="1:58" ht="14.25" customHeight="1" x14ac:dyDescent="0.35">
      <c r="A256" s="16">
        <v>45911</v>
      </c>
      <c r="B256" s="17">
        <v>36603847</v>
      </c>
      <c r="C256" s="17">
        <f t="shared" si="63"/>
        <v>3161083.4137931033</v>
      </c>
      <c r="D256" s="18">
        <f>+Tabla22[[#This Row],[Share diario]]</f>
        <v>3.6034630238345133E-2</v>
      </c>
      <c r="E256" s="17">
        <f>+Tabla22[[#This Row],[Global 2026]]</f>
        <v>40552085</v>
      </c>
      <c r="F256" s="19">
        <v>46275</v>
      </c>
      <c r="G256" s="17">
        <f t="shared" si="64"/>
        <v>5520536.0320603298</v>
      </c>
      <c r="H256" s="17">
        <v>4085615.3785323901</v>
      </c>
      <c r="I256" s="17">
        <v>1434920.6535279399</v>
      </c>
      <c r="J256" s="17">
        <v>2427761</v>
      </c>
      <c r="K256" s="17">
        <f>+Tabla22[[#This Row],[Web + APP 2026]]</f>
        <v>3230365</v>
      </c>
      <c r="L256" s="17">
        <v>25539.655172413801</v>
      </c>
      <c r="M256" s="17">
        <f>+Tabla22[[#This Row],[Afiliados 2026]]</f>
        <v>38566</v>
      </c>
      <c r="N256" s="17">
        <v>22302</v>
      </c>
      <c r="O256" s="17">
        <f>+Tabla22[[#This Row],[TMK 2026]]</f>
        <v>28329</v>
      </c>
      <c r="P256" s="17">
        <v>3261</v>
      </c>
      <c r="Q256" s="17">
        <f>+Tabla22[[#This Row],[WA 2026]]</f>
        <v>4546</v>
      </c>
      <c r="R256" s="17">
        <v>48694</v>
      </c>
      <c r="S256" s="17">
        <f>+Tabla22[[#This Row],[Ent. en Tienda 2026]]</f>
        <v>137660</v>
      </c>
      <c r="T256" s="17">
        <v>356119</v>
      </c>
      <c r="U256" s="17">
        <f>+Tabla22[[#This Row],[Meli Drop 2026]]</f>
        <v>811921</v>
      </c>
      <c r="V256" s="17">
        <v>246603</v>
      </c>
      <c r="W256" s="17">
        <f>+Tabla22[[#This Row],[Meli Full 2026]]</f>
        <v>427046</v>
      </c>
      <c r="X256" s="17">
        <v>27305</v>
      </c>
      <c r="Y256" s="17">
        <f>+Tabla22[[#This Row],[Amazon Drop 2026]]</f>
        <v>47155</v>
      </c>
      <c r="Z256" s="17">
        <v>3241</v>
      </c>
      <c r="AA256" s="17">
        <f>+Tabla22[[#This Row],[Amazon Full 2026]]</f>
        <v>6735</v>
      </c>
      <c r="AB256" s="17">
        <v>257.758620689655</v>
      </c>
      <c r="AC256" s="17">
        <f>+Tabla22[[#This Row],[TikTok 2026]]</f>
        <v>45688</v>
      </c>
      <c r="AD256" s="17">
        <v>0</v>
      </c>
      <c r="AE256" s="17">
        <f>+Tabla22[[#This Row],[Shein 2026]]</f>
        <v>2713</v>
      </c>
      <c r="AF256" s="17">
        <f t="shared" si="65"/>
        <v>4780724</v>
      </c>
      <c r="AG256" s="18">
        <f t="shared" si="66"/>
        <v>0.86598909457996542</v>
      </c>
      <c r="AH256" s="17">
        <f t="shared" si="67"/>
        <v>-739812.0320603298</v>
      </c>
      <c r="AI256" s="20">
        <f t="shared" si="68"/>
        <v>0.51236882239163339</v>
      </c>
      <c r="AJ256" s="20">
        <f t="shared" si="98"/>
        <v>8.6359322116965009E-2</v>
      </c>
      <c r="AK256" s="21">
        <f t="shared" si="69"/>
        <v>0.11789095431221354</v>
      </c>
      <c r="AL256" s="21">
        <f t="shared" si="99"/>
        <v>0.10786401768098308</v>
      </c>
      <c r="AO256" s="38">
        <f t="shared" si="90"/>
        <v>46275</v>
      </c>
      <c r="AP256" s="17">
        <f>Tabla2[[#This Row],[Web + APP 2025]]+Tabla2[[#This Row],[Afiliados 2025]]+Tabla2[[#This Row],[TMK 2025]]+Tabla2[[#This Row],[WA 2025]]+Tabla2[[#This Row],[Ent. en Tienda 2025]]</f>
        <v>2527557.6551724137</v>
      </c>
      <c r="AQ256" s="17">
        <f>Tabla2[[#This Row],[Meli Drop 2025]]+Tabla2[[#This Row],[Meli Full 2025]]+Tabla2[[#This Row],[Amazon Drop 2025]]+Tabla2[[#This Row],[Amazon Full 2025]]+Tabla2[[#This Row],[TikTok 2025]]+Tabla2[[#This Row],[Shein 2025]]</f>
        <v>633525.75862068962</v>
      </c>
      <c r="AR256" s="17">
        <f>Tabla2[[#This Row],[Web + APP 2026]]+Tabla2[[#This Row],[Afiliados 2026]]+Tabla2[[#This Row],[TMK 2026]]+Tabla2[[#This Row],[WA 2026]]+Tabla2[[#This Row],[Ent. en Tienda 2026]]</f>
        <v>3439466</v>
      </c>
      <c r="AS256" s="17">
        <f>Tabla2[[#This Row],[Meli Drop 2026]]+Tabla2[[#This Row],[Meli Full 2026]]+Tabla2[[#This Row],[Amazon Drop 2026]]+Tabla2[[#This Row],[Amazon Full 2026]]+Tabla2[[#This Row],[TikTok 2026]]+Tabla2[[#This Row],[Shein 2026]]</f>
        <v>1341258</v>
      </c>
      <c r="AT256" s="18">
        <f t="shared" si="91"/>
        <v>0.36078636740944359</v>
      </c>
      <c r="AU256" s="18">
        <f t="shared" si="92"/>
        <v>1.117132542361313</v>
      </c>
      <c r="AV256" s="49">
        <f t="shared" si="93"/>
        <v>4085615.3785323901</v>
      </c>
      <c r="AW256" s="49">
        <f t="shared" si="94"/>
        <v>1434920.6535279399</v>
      </c>
      <c r="AX256" s="39">
        <f t="shared" si="95"/>
        <v>0.84184772215036652</v>
      </c>
      <c r="AY256" s="39">
        <f t="shared" si="96"/>
        <v>0.93472624894090273</v>
      </c>
      <c r="AZ256" s="39">
        <f t="shared" si="97"/>
        <v>0.86598909457996542</v>
      </c>
      <c r="BA256" s="18">
        <v>3.6992484488507102E-2</v>
      </c>
      <c r="BB256" s="20">
        <v>2.6313557622999299E-2</v>
      </c>
      <c r="BC256" s="17">
        <f t="shared" si="100"/>
        <v>-646149.37853239011</v>
      </c>
      <c r="BD256" s="17">
        <f t="shared" si="101"/>
        <v>-93662.653527939925</v>
      </c>
      <c r="BE256" s="17">
        <f t="shared" si="102"/>
        <v>911908.34482758632</v>
      </c>
      <c r="BF256" s="17">
        <f t="shared" si="103"/>
        <v>707732.24137931038</v>
      </c>
    </row>
    <row r="257" spans="1:58" ht="14.25" customHeight="1" x14ac:dyDescent="0.35">
      <c r="A257" s="19">
        <v>45912</v>
      </c>
      <c r="B257" s="17">
        <v>36893493</v>
      </c>
      <c r="C257" s="17">
        <f t="shared" si="63"/>
        <v>2697874.965517241</v>
      </c>
      <c r="D257" s="18">
        <f>+Tabla22[[#This Row],[Share diario]]</f>
        <v>2.7418305296514546E-2</v>
      </c>
      <c r="E257" s="17">
        <f>+Tabla22[[#This Row],[Global 2026]]</f>
        <v>40490621</v>
      </c>
      <c r="F257" s="19">
        <v>46276</v>
      </c>
      <c r="G257" s="17">
        <f t="shared" si="64"/>
        <v>4184986.054014463</v>
      </c>
      <c r="H257" s="17">
        <v>3289726.9989228998</v>
      </c>
      <c r="I257" s="17">
        <v>895259.05509156303</v>
      </c>
      <c r="J257" s="17">
        <v>2178584</v>
      </c>
      <c r="K257" s="17">
        <f>+Tabla22[[#This Row],[Web + APP 2026]]</f>
        <v>2905562</v>
      </c>
      <c r="L257" s="17">
        <v>26887.068965517199</v>
      </c>
      <c r="M257" s="17">
        <f>+Tabla22[[#This Row],[Afiliados 2026]]</f>
        <v>36103</v>
      </c>
      <c r="N257" s="17">
        <v>27326</v>
      </c>
      <c r="O257" s="17">
        <f>+Tabla22[[#This Row],[TMK 2026]]</f>
        <v>39509</v>
      </c>
      <c r="P257" s="17">
        <v>1339</v>
      </c>
      <c r="Q257" s="17">
        <f>+Tabla22[[#This Row],[WA 2026]]</f>
        <v>14623</v>
      </c>
      <c r="R257" s="17">
        <v>88295</v>
      </c>
      <c r="S257" s="17">
        <f>+Tabla22[[#This Row],[Ent. en Tienda 2026]]</f>
        <v>152144</v>
      </c>
      <c r="T257" s="17">
        <v>120118</v>
      </c>
      <c r="U257" s="17">
        <f>+Tabla22[[#This Row],[Meli Drop 2026]]</f>
        <v>560489</v>
      </c>
      <c r="V257" s="17">
        <v>219269</v>
      </c>
      <c r="W257" s="17">
        <f>+Tabla22[[#This Row],[Meli Full 2026]]</f>
        <v>299825</v>
      </c>
      <c r="X257" s="17">
        <v>32816</v>
      </c>
      <c r="Y257" s="17">
        <f>+Tabla22[[#This Row],[Amazon Drop 2026]]</f>
        <v>33924</v>
      </c>
      <c r="Z257" s="17">
        <v>2209</v>
      </c>
      <c r="AA257" s="17">
        <f>+Tabla22[[#This Row],[Amazon Full 2026]]</f>
        <v>5465</v>
      </c>
      <c r="AB257" s="17">
        <v>1031.89655172414</v>
      </c>
      <c r="AC257" s="17">
        <f>+Tabla22[[#This Row],[TikTok 2026]]</f>
        <v>37335</v>
      </c>
      <c r="AD257" s="17">
        <v>0</v>
      </c>
      <c r="AE257" s="17">
        <f>+Tabla22[[#This Row],[Shein 2026]]</f>
        <v>4134</v>
      </c>
      <c r="AF257" s="17">
        <f t="shared" si="65"/>
        <v>4089113</v>
      </c>
      <c r="AG257" s="18">
        <f t="shared" si="66"/>
        <v>0.97709118912773996</v>
      </c>
      <c r="AH257" s="17">
        <f t="shared" si="67"/>
        <v>-95873.054014462978</v>
      </c>
      <c r="AI257" s="20">
        <f t="shared" si="68"/>
        <v>0.51567921132921324</v>
      </c>
      <c r="AJ257" s="20">
        <f t="shared" si="98"/>
        <v>7.3126037849472289E-2</v>
      </c>
      <c r="AK257" s="21">
        <f t="shared" si="69"/>
        <v>0.1009891401764374</v>
      </c>
      <c r="AL257" s="21">
        <f t="shared" si="99"/>
        <v>9.7500336983543434E-2</v>
      </c>
      <c r="AO257" s="38">
        <f t="shared" si="90"/>
        <v>46276</v>
      </c>
      <c r="AP257" s="17">
        <f>Tabla2[[#This Row],[Web + APP 2025]]+Tabla2[[#This Row],[Afiliados 2025]]+Tabla2[[#This Row],[TMK 2025]]+Tabla2[[#This Row],[WA 2025]]+Tabla2[[#This Row],[Ent. en Tienda 2025]]</f>
        <v>2322431.068965517</v>
      </c>
      <c r="AQ257" s="17">
        <f>Tabla2[[#This Row],[Meli Drop 2025]]+Tabla2[[#This Row],[Meli Full 2025]]+Tabla2[[#This Row],[Amazon Drop 2025]]+Tabla2[[#This Row],[Amazon Full 2025]]+Tabla2[[#This Row],[TikTok 2025]]+Tabla2[[#This Row],[Shein 2025]]</f>
        <v>375443.89655172412</v>
      </c>
      <c r="AR257" s="17">
        <f>Tabla2[[#This Row],[Web + APP 2026]]+Tabla2[[#This Row],[Afiliados 2026]]+Tabla2[[#This Row],[TMK 2026]]+Tabla2[[#This Row],[WA 2026]]+Tabla2[[#This Row],[Ent. en Tienda 2026]]</f>
        <v>3147941</v>
      </c>
      <c r="AS257" s="17">
        <f>Tabla2[[#This Row],[Meli Drop 2026]]+Tabla2[[#This Row],[Meli Full 2026]]+Tabla2[[#This Row],[Amazon Drop 2026]]+Tabla2[[#This Row],[Amazon Full 2026]]+Tabla2[[#This Row],[TikTok 2026]]+Tabla2[[#This Row],[Shein 2026]]</f>
        <v>941172</v>
      </c>
      <c r="AT257" s="18">
        <f t="shared" si="91"/>
        <v>0.35545077830972649</v>
      </c>
      <c r="AU257" s="18">
        <f t="shared" si="92"/>
        <v>1.5068246111981654</v>
      </c>
      <c r="AV257" s="49">
        <f t="shared" si="93"/>
        <v>3289726.9989228998</v>
      </c>
      <c r="AW257" s="49">
        <f t="shared" si="94"/>
        <v>895259.05509156303</v>
      </c>
      <c r="AX257" s="39">
        <f t="shared" si="95"/>
        <v>0.95690037532922267</v>
      </c>
      <c r="AY257" s="39">
        <f t="shared" si="96"/>
        <v>1.0512845356294567</v>
      </c>
      <c r="AZ257" s="39">
        <f t="shared" si="97"/>
        <v>0.97709118912773996</v>
      </c>
      <c r="BA257" s="18">
        <v>3.6992484488507102E-2</v>
      </c>
      <c r="BB257" s="20">
        <v>2.6313557622999299E-2</v>
      </c>
      <c r="BC257" s="17">
        <f t="shared" si="100"/>
        <v>-141785.99892289983</v>
      </c>
      <c r="BD257" s="17">
        <f t="shared" si="101"/>
        <v>45912.94490843697</v>
      </c>
      <c r="BE257" s="17">
        <f t="shared" si="102"/>
        <v>825509.93103448302</v>
      </c>
      <c r="BF257" s="17">
        <f t="shared" si="103"/>
        <v>565728.10344827594</v>
      </c>
    </row>
    <row r="258" spans="1:58" ht="14.25" customHeight="1" x14ac:dyDescent="0.35">
      <c r="A258" s="16">
        <v>45913</v>
      </c>
      <c r="B258" s="17">
        <v>51169546</v>
      </c>
      <c r="C258" s="17">
        <f t="shared" si="63"/>
        <v>2711206.2068965519</v>
      </c>
      <c r="D258" s="18">
        <f>+Tabla22[[#This Row],[Share diario]]</f>
        <v>2.3400571820917117E-2</v>
      </c>
      <c r="E258" s="17">
        <f>+Tabla22[[#This Row],[Global 2026]]</f>
        <v>54002972</v>
      </c>
      <c r="F258" s="19">
        <v>46277</v>
      </c>
      <c r="G258" s="17">
        <f t="shared" si="64"/>
        <v>3553299.6401585471</v>
      </c>
      <c r="H258" s="17">
        <v>3022745.76213062</v>
      </c>
      <c r="I258" s="17">
        <v>530553.87802792701</v>
      </c>
      <c r="J258" s="17">
        <v>1799983</v>
      </c>
      <c r="K258" s="17">
        <f>+Tabla22[[#This Row],[Web + APP 2026]]</f>
        <v>2513555</v>
      </c>
      <c r="L258" s="17">
        <v>29600.8620689655</v>
      </c>
      <c r="M258" s="17">
        <f>+Tabla22[[#This Row],[Afiliados 2026]]</f>
        <v>45190</v>
      </c>
      <c r="N258" s="17">
        <v>7912</v>
      </c>
      <c r="O258" s="17">
        <f>+Tabla22[[#This Row],[TMK 2026]]</f>
        <v>6769</v>
      </c>
      <c r="P258" s="17">
        <v>4922</v>
      </c>
      <c r="Q258" s="17">
        <f>+Tabla22[[#This Row],[WA 2026]]</f>
        <v>4017</v>
      </c>
      <c r="R258" s="17">
        <v>64472</v>
      </c>
      <c r="S258" s="17">
        <f>+Tabla22[[#This Row],[Ent. en Tienda 2026]]</f>
        <v>138307</v>
      </c>
      <c r="T258" s="17">
        <v>592754</v>
      </c>
      <c r="U258" s="17">
        <f>+Tabla22[[#This Row],[Meli Drop 2026]]</f>
        <v>181050</v>
      </c>
      <c r="V258" s="17">
        <v>169324</v>
      </c>
      <c r="W258" s="17">
        <f>+Tabla22[[#This Row],[Meli Full 2026]]</f>
        <v>162021</v>
      </c>
      <c r="X258" s="17">
        <v>37170</v>
      </c>
      <c r="Y258" s="17">
        <f>+Tabla22[[#This Row],[Amazon Drop 2026]]</f>
        <v>15193</v>
      </c>
      <c r="Z258" s="17">
        <v>3458</v>
      </c>
      <c r="AA258" s="17">
        <f>+Tabla22[[#This Row],[Amazon Full 2026]]</f>
        <v>6535</v>
      </c>
      <c r="AB258" s="17">
        <v>576.72413793103499</v>
      </c>
      <c r="AC258" s="17">
        <f>+Tabla22[[#This Row],[TikTok 2026]]</f>
        <v>19202</v>
      </c>
      <c r="AD258" s="17">
        <v>1033.6206896551701</v>
      </c>
      <c r="AE258" s="17">
        <f>+Tabla22[[#This Row],[Shein 2026]]</f>
        <v>3445</v>
      </c>
      <c r="AF258" s="17">
        <f t="shared" si="65"/>
        <v>3095284</v>
      </c>
      <c r="AG258" s="18">
        <f t="shared" si="66"/>
        <v>0.87110131805880842</v>
      </c>
      <c r="AH258" s="17">
        <f t="shared" si="67"/>
        <v>-458015.64015854709</v>
      </c>
      <c r="AI258" s="20">
        <f t="shared" si="68"/>
        <v>0.14166306942144846</v>
      </c>
      <c r="AJ258" s="20">
        <f t="shared" si="98"/>
        <v>5.2984761813140803E-2</v>
      </c>
      <c r="AK258" s="21">
        <f t="shared" si="69"/>
        <v>5.7316919520651564E-2</v>
      </c>
      <c r="AL258" s="21">
        <f t="shared" si="99"/>
        <v>5.5373287853677677E-2</v>
      </c>
      <c r="AO258" s="38">
        <f t="shared" si="90"/>
        <v>46277</v>
      </c>
      <c r="AP258" s="17">
        <f>Tabla2[[#This Row],[Web + APP 2025]]+Tabla2[[#This Row],[Afiliados 2025]]+Tabla2[[#This Row],[TMK 2025]]+Tabla2[[#This Row],[WA 2025]]+Tabla2[[#This Row],[Ent. en Tienda 2025]]</f>
        <v>1906889.8620689656</v>
      </c>
      <c r="AQ258" s="17">
        <f>Tabla2[[#This Row],[Meli Drop 2025]]+Tabla2[[#This Row],[Meli Full 2025]]+Tabla2[[#This Row],[Amazon Drop 2025]]+Tabla2[[#This Row],[Amazon Full 2025]]+Tabla2[[#This Row],[TikTok 2025]]+Tabla2[[#This Row],[Shein 2025]]</f>
        <v>804316.3448275862</v>
      </c>
      <c r="AR258" s="17">
        <f>Tabla2[[#This Row],[Web + APP 2026]]+Tabla2[[#This Row],[Afiliados 2026]]+Tabla2[[#This Row],[TMK 2026]]+Tabla2[[#This Row],[WA 2026]]+Tabla2[[#This Row],[Ent. en Tienda 2026]]</f>
        <v>2707838</v>
      </c>
      <c r="AS258" s="17">
        <f>Tabla2[[#This Row],[Meli Drop 2026]]+Tabla2[[#This Row],[Meli Full 2026]]+Tabla2[[#This Row],[Amazon Drop 2026]]+Tabla2[[#This Row],[Amazon Full 2026]]+Tabla2[[#This Row],[TikTok 2026]]+Tabla2[[#This Row],[Shein 2026]]</f>
        <v>387446</v>
      </c>
      <c r="AT258" s="18">
        <f t="shared" si="91"/>
        <v>0.42002852595902418</v>
      </c>
      <c r="AU258" s="18">
        <f t="shared" si="92"/>
        <v>-0.51829152485636332</v>
      </c>
      <c r="AV258" s="49">
        <f t="shared" si="93"/>
        <v>3022745.76213062</v>
      </c>
      <c r="AW258" s="49">
        <f t="shared" si="94"/>
        <v>530553.87802792701</v>
      </c>
      <c r="AX258" s="39">
        <f t="shared" si="95"/>
        <v>0.89582062571195098</v>
      </c>
      <c r="AY258" s="39">
        <f t="shared" si="96"/>
        <v>0.73026702102365149</v>
      </c>
      <c r="AZ258" s="39">
        <f t="shared" si="97"/>
        <v>0.87110131805880842</v>
      </c>
      <c r="BA258" s="18">
        <v>3.6992484488507102E-2</v>
      </c>
      <c r="BB258" s="20">
        <v>2.6313557622999299E-2</v>
      </c>
      <c r="BC258" s="17">
        <f t="shared" si="100"/>
        <v>-314907.76213061996</v>
      </c>
      <c r="BD258" s="17">
        <f t="shared" si="101"/>
        <v>-143107.87802792701</v>
      </c>
      <c r="BE258" s="17">
        <f t="shared" si="102"/>
        <v>800948.13793103443</v>
      </c>
      <c r="BF258" s="17">
        <f t="shared" si="103"/>
        <v>-416870.3448275862</v>
      </c>
    </row>
    <row r="259" spans="1:58" ht="14.25" customHeight="1" x14ac:dyDescent="0.35">
      <c r="A259" s="19">
        <v>45914</v>
      </c>
      <c r="B259" s="17">
        <v>49356688</v>
      </c>
      <c r="C259" s="17">
        <f t="shared" si="63"/>
        <v>2336110.6379310344</v>
      </c>
      <c r="D259" s="18">
        <f>+Tabla22[[#This Row],[Share diario]]</f>
        <v>2.3516203077126478E-2</v>
      </c>
      <c r="E259" s="17">
        <f>+Tabla22[[#This Row],[Global 2026]]</f>
        <v>54261087</v>
      </c>
      <c r="F259" s="19">
        <v>46278</v>
      </c>
      <c r="G259" s="17">
        <f t="shared" si="64"/>
        <v>3618510.3301902404</v>
      </c>
      <c r="H259" s="17">
        <v>2481900.6800431302</v>
      </c>
      <c r="I259" s="17">
        <v>1136609.65014711</v>
      </c>
      <c r="J259" s="17">
        <v>1780921</v>
      </c>
      <c r="K259" s="17">
        <f>+Tabla22[[#This Row],[Web + APP 2026]]</f>
        <v>2633697</v>
      </c>
      <c r="L259" s="17">
        <v>27704.310344827602</v>
      </c>
      <c r="M259" s="17">
        <f>+Tabla22[[#This Row],[Afiliados 2026]]</f>
        <v>54180</v>
      </c>
      <c r="N259" s="17">
        <v>12528</v>
      </c>
      <c r="O259" s="17">
        <f>+Tabla22[[#This Row],[TMK 2026]]</f>
        <v>4878</v>
      </c>
      <c r="P259" s="17">
        <v>4369</v>
      </c>
      <c r="Q259" s="17">
        <f>+Tabla22[[#This Row],[WA 2026]]</f>
        <v>2881</v>
      </c>
      <c r="R259" s="17">
        <v>50344</v>
      </c>
      <c r="S259" s="17">
        <f>+Tabla22[[#This Row],[Ent. en Tienda 2026]]</f>
        <v>121234</v>
      </c>
      <c r="T259" s="17">
        <v>241106</v>
      </c>
      <c r="U259" s="17">
        <f>+Tabla22[[#This Row],[Meli Drop 2026]]</f>
        <v>715602</v>
      </c>
      <c r="V259" s="17">
        <v>174010</v>
      </c>
      <c r="W259" s="17">
        <f>+Tabla22[[#This Row],[Meli Full 2026]]</f>
        <v>185820</v>
      </c>
      <c r="X259" s="17">
        <v>37039</v>
      </c>
      <c r="Y259" s="17">
        <f>+Tabla22[[#This Row],[Amazon Drop 2026]]</f>
        <v>58760</v>
      </c>
      <c r="Z259" s="17">
        <v>6282</v>
      </c>
      <c r="AA259" s="17">
        <f>+Tabla22[[#This Row],[Amazon Full 2026]]</f>
        <v>1939</v>
      </c>
      <c r="AB259" s="17">
        <v>773.70689655172396</v>
      </c>
      <c r="AC259" s="17">
        <f>+Tabla22[[#This Row],[TikTok 2026]]</f>
        <v>65818</v>
      </c>
      <c r="AD259" s="17">
        <v>1033.6206896551701</v>
      </c>
      <c r="AE259" s="17">
        <f>+Tabla22[[#This Row],[Shein 2026]]</f>
        <v>6045</v>
      </c>
      <c r="AF259" s="17">
        <f t="shared" si="65"/>
        <v>3850854</v>
      </c>
      <c r="AG259" s="18">
        <f t="shared" si="66"/>
        <v>1.064209757222814</v>
      </c>
      <c r="AH259" s="17">
        <f t="shared" si="67"/>
        <v>232343.66980975959</v>
      </c>
      <c r="AI259" s="20">
        <f t="shared" si="68"/>
        <v>0.64840394862911577</v>
      </c>
      <c r="AJ259" s="20">
        <f t="shared" si="98"/>
        <v>4.7331187172263957E-2</v>
      </c>
      <c r="AK259" s="21">
        <f t="shared" si="69"/>
        <v>7.0968980035361257E-2</v>
      </c>
      <c r="AL259" s="21">
        <f t="shared" si="99"/>
        <v>9.9366452627453361E-2</v>
      </c>
      <c r="AO259" s="38">
        <f t="shared" si="90"/>
        <v>46278</v>
      </c>
      <c r="AP259" s="17">
        <f>Tabla2[[#This Row],[Web + APP 2025]]+Tabla2[[#This Row],[Afiliados 2025]]+Tabla2[[#This Row],[TMK 2025]]+Tabla2[[#This Row],[WA 2025]]+Tabla2[[#This Row],[Ent. en Tienda 2025]]</f>
        <v>1875866.3103448276</v>
      </c>
      <c r="AQ259" s="17">
        <f>Tabla2[[#This Row],[Meli Drop 2025]]+Tabla2[[#This Row],[Meli Full 2025]]+Tabla2[[#This Row],[Amazon Drop 2025]]+Tabla2[[#This Row],[Amazon Full 2025]]+Tabla2[[#This Row],[TikTok 2025]]+Tabla2[[#This Row],[Shein 2025]]</f>
        <v>460244.3275862069</v>
      </c>
      <c r="AR259" s="17">
        <f>Tabla2[[#This Row],[Web + APP 2026]]+Tabla2[[#This Row],[Afiliados 2026]]+Tabla2[[#This Row],[TMK 2026]]+Tabla2[[#This Row],[WA 2026]]+Tabla2[[#This Row],[Ent. en Tienda 2026]]</f>
        <v>2816870</v>
      </c>
      <c r="AS259" s="17">
        <f>Tabla2[[#This Row],[Meli Drop 2026]]+Tabla2[[#This Row],[Meli Full 2026]]+Tabla2[[#This Row],[Amazon Drop 2026]]+Tabla2[[#This Row],[Amazon Full 2026]]+Tabla2[[#This Row],[TikTok 2026]]+Tabla2[[#This Row],[Shein 2026]]</f>
        <v>1033984</v>
      </c>
      <c r="AT259" s="18">
        <f t="shared" si="91"/>
        <v>0.50163686210783021</v>
      </c>
      <c r="AU259" s="18">
        <f t="shared" si="92"/>
        <v>1.2465980307086517</v>
      </c>
      <c r="AV259" s="49">
        <f t="shared" si="93"/>
        <v>2481900.6800431302</v>
      </c>
      <c r="AW259" s="49">
        <f t="shared" si="94"/>
        <v>1136609.65014711</v>
      </c>
      <c r="AX259" s="39">
        <f t="shared" si="95"/>
        <v>1.1349648366876022</v>
      </c>
      <c r="AY259" s="39">
        <f t="shared" si="96"/>
        <v>0.90970897516678018</v>
      </c>
      <c r="AZ259" s="39">
        <f t="shared" si="97"/>
        <v>1.064209757222814</v>
      </c>
      <c r="BA259" s="18">
        <v>3.6992484488507102E-2</v>
      </c>
      <c r="BB259" s="20">
        <v>2.6313557622999299E-2</v>
      </c>
      <c r="BC259" s="17">
        <f t="shared" si="100"/>
        <v>334969.31995686982</v>
      </c>
      <c r="BD259" s="17">
        <f t="shared" si="101"/>
        <v>-102625.65014710999</v>
      </c>
      <c r="BE259" s="17">
        <f t="shared" si="102"/>
        <v>941003.68965517241</v>
      </c>
      <c r="BF259" s="17">
        <f t="shared" si="103"/>
        <v>573739.67241379316</v>
      </c>
    </row>
    <row r="260" spans="1:58" ht="14.25" customHeight="1" x14ac:dyDescent="0.35">
      <c r="A260" s="16">
        <v>45915</v>
      </c>
      <c r="B260" s="17">
        <v>27726860</v>
      </c>
      <c r="C260" s="17">
        <f t="shared" ref="C260:C323" si="104">+J260+L260+N260+P260+R260+T260+V260+X260+Z260+AB260+AD260</f>
        <v>3086116.2758620689</v>
      </c>
      <c r="D260" s="18">
        <f>+Tabla22[[#This Row],[Share diario]]</f>
        <v>2.0262734731308407E-2</v>
      </c>
      <c r="E260" s="17">
        <f>+Tabla22[[#This Row],[Global 2026]]</f>
        <v>35581461</v>
      </c>
      <c r="F260" s="19">
        <v>46279</v>
      </c>
      <c r="G260" s="17">
        <f t="shared" ref="G260:G323" si="105">+H260+I260</f>
        <v>4967720.0838129297</v>
      </c>
      <c r="H260" s="17">
        <v>3965889.5507743401</v>
      </c>
      <c r="I260" s="17">
        <v>1001830.53303859</v>
      </c>
      <c r="J260" s="17">
        <v>2148281</v>
      </c>
      <c r="K260" s="17">
        <f>+Tabla22[[#This Row],[Web + APP 2026]]</f>
        <v>3779157</v>
      </c>
      <c r="L260" s="17">
        <v>18573.275862069</v>
      </c>
      <c r="M260" s="17">
        <f>+Tabla22[[#This Row],[Afiliados 2026]]</f>
        <v>40528</v>
      </c>
      <c r="N260" s="17">
        <v>21024</v>
      </c>
      <c r="O260" s="17">
        <f>+Tabla22[[#This Row],[TMK 2026]]</f>
        <v>39406</v>
      </c>
      <c r="P260" s="17">
        <v>2539</v>
      </c>
      <c r="Q260" s="17">
        <f>+Tabla22[[#This Row],[WA 2026]]</f>
        <v>12423</v>
      </c>
      <c r="R260" s="17">
        <v>119375</v>
      </c>
      <c r="S260" s="17">
        <f>+Tabla22[[#This Row],[Ent. en Tienda 2026]]</f>
        <v>107758</v>
      </c>
      <c r="T260" s="17">
        <v>616987</v>
      </c>
      <c r="U260" s="17">
        <f>+Tabla22[[#This Row],[Meli Drop 2026]]</f>
        <v>456778</v>
      </c>
      <c r="V260" s="17">
        <v>121950</v>
      </c>
      <c r="W260" s="17">
        <f>+Tabla22[[#This Row],[Meli Full 2026]]</f>
        <v>127198</v>
      </c>
      <c r="X260" s="17">
        <v>30964</v>
      </c>
      <c r="Y260" s="17">
        <f>+Tabla22[[#This Row],[Amazon Drop 2026]]</f>
        <v>42019</v>
      </c>
      <c r="Z260" s="17">
        <v>6423</v>
      </c>
      <c r="AA260" s="17">
        <f>+Tabla22[[#This Row],[Amazon Full 2026]]</f>
        <v>7069</v>
      </c>
      <c r="AB260" s="17">
        <v>0</v>
      </c>
      <c r="AC260" s="17">
        <f>+Tabla22[[#This Row],[TikTok 2026]]</f>
        <v>21201</v>
      </c>
      <c r="AD260" s="17">
        <v>0</v>
      </c>
      <c r="AE260" s="17">
        <f>+Tabla22[[#This Row],[Shein 2026]]</f>
        <v>8181</v>
      </c>
      <c r="AF260" s="17">
        <f t="shared" ref="AF260:AF323" si="106">+AE260+AC260+AA260+Y260+W260+U260+S260+Q260+O260+M260+K260</f>
        <v>4641718</v>
      </c>
      <c r="AG260" s="18">
        <f t="shared" ref="AG260:AG323" si="107">+AF260/G260</f>
        <v>0.93437591524627339</v>
      </c>
      <c r="AH260" s="17">
        <f t="shared" ref="AH260:AH323" si="108">+AF260-G260</f>
        <v>-326002.08381292969</v>
      </c>
      <c r="AI260" s="20">
        <f t="shared" ref="AI260:AI323" si="109">+AF260/C260-1</f>
        <v>0.50406452158170634</v>
      </c>
      <c r="AJ260" s="20">
        <f t="shared" si="98"/>
        <v>0.11130421100196954</v>
      </c>
      <c r="AK260" s="21">
        <f t="shared" ref="AK260:AK323" si="110">+AF260/E260</f>
        <v>0.1304532717192248</v>
      </c>
      <c r="AL260" s="21">
        <f t="shared" si="99"/>
        <v>0.28328490856880295</v>
      </c>
      <c r="AO260" s="38">
        <f t="shared" si="90"/>
        <v>46279</v>
      </c>
      <c r="AP260" s="17">
        <f>Tabla2[[#This Row],[Web + APP 2025]]+Tabla2[[#This Row],[Afiliados 2025]]+Tabla2[[#This Row],[TMK 2025]]+Tabla2[[#This Row],[WA 2025]]+Tabla2[[#This Row],[Ent. en Tienda 2025]]</f>
        <v>2309792.2758620689</v>
      </c>
      <c r="AQ260" s="17">
        <f>Tabla2[[#This Row],[Meli Drop 2025]]+Tabla2[[#This Row],[Meli Full 2025]]+Tabla2[[#This Row],[Amazon Drop 2025]]+Tabla2[[#This Row],[Amazon Full 2025]]+Tabla2[[#This Row],[TikTok 2025]]+Tabla2[[#This Row],[Shein 2025]]</f>
        <v>776324</v>
      </c>
      <c r="AR260" s="17">
        <f>Tabla2[[#This Row],[Web + APP 2026]]+Tabla2[[#This Row],[Afiliados 2026]]+Tabla2[[#This Row],[TMK 2026]]+Tabla2[[#This Row],[WA 2026]]+Tabla2[[#This Row],[Ent. en Tienda 2026]]</f>
        <v>3979272</v>
      </c>
      <c r="AS260" s="17">
        <f>Tabla2[[#This Row],[Meli Drop 2026]]+Tabla2[[#This Row],[Meli Full 2026]]+Tabla2[[#This Row],[Amazon Drop 2026]]+Tabla2[[#This Row],[Amazon Full 2026]]+Tabla2[[#This Row],[TikTok 2026]]+Tabla2[[#This Row],[Shein 2026]]</f>
        <v>662446</v>
      </c>
      <c r="AT260" s="18">
        <f t="shared" si="91"/>
        <v>0.72278349078591586</v>
      </c>
      <c r="AU260" s="18">
        <f t="shared" si="92"/>
        <v>-0.14668875366470702</v>
      </c>
      <c r="AV260" s="49">
        <f t="shared" si="93"/>
        <v>3965889.5507743401</v>
      </c>
      <c r="AW260" s="49">
        <f t="shared" si="94"/>
        <v>1001830.53303859</v>
      </c>
      <c r="AX260" s="39">
        <f t="shared" si="95"/>
        <v>1.0033743877771499</v>
      </c>
      <c r="AY260" s="39">
        <f t="shared" si="96"/>
        <v>0.66123558641278002</v>
      </c>
      <c r="AZ260" s="39">
        <f t="shared" si="97"/>
        <v>0.93437591524627339</v>
      </c>
      <c r="BA260" s="18">
        <v>3.6992484488507102E-2</v>
      </c>
      <c r="BB260" s="20">
        <v>2.6313557622999299E-2</v>
      </c>
      <c r="BC260" s="17">
        <f t="shared" si="100"/>
        <v>13382.449225659948</v>
      </c>
      <c r="BD260" s="17">
        <f t="shared" si="101"/>
        <v>-339384.53303858999</v>
      </c>
      <c r="BE260" s="17">
        <f t="shared" si="102"/>
        <v>1669479.7241379311</v>
      </c>
      <c r="BF260" s="17">
        <f t="shared" si="103"/>
        <v>-113878</v>
      </c>
    </row>
    <row r="261" spans="1:58" ht="14.25" customHeight="1" x14ac:dyDescent="0.35">
      <c r="A261" s="19">
        <v>45916</v>
      </c>
      <c r="B261" s="17">
        <v>22429730</v>
      </c>
      <c r="C261" s="17">
        <f t="shared" si="104"/>
        <v>3212910.8448275863</v>
      </c>
      <c r="D261" s="18">
        <f>+Tabla22[[#This Row],[Share diario]]</f>
        <v>2.6768062450650325E-2</v>
      </c>
      <c r="E261" s="17">
        <f>+Tabla22[[#This Row],[Global 2026]]</f>
        <v>27689769</v>
      </c>
      <c r="F261" s="19">
        <v>46280</v>
      </c>
      <c r="G261" s="17">
        <f t="shared" si="105"/>
        <v>5282207.5297296103</v>
      </c>
      <c r="H261" s="17">
        <v>4255954.5196211003</v>
      </c>
      <c r="I261" s="17">
        <v>1026253.01010851</v>
      </c>
      <c r="J261" s="17">
        <v>2565352</v>
      </c>
      <c r="K261" s="17">
        <f>+Tabla22[[#This Row],[Web + APP 2026]]</f>
        <v>2887256</v>
      </c>
      <c r="L261" s="17">
        <v>27786.206896551699</v>
      </c>
      <c r="M261" s="17">
        <f>+Tabla22[[#This Row],[Afiliados 2026]]</f>
        <v>35264</v>
      </c>
      <c r="N261" s="17">
        <v>61867</v>
      </c>
      <c r="O261" s="17">
        <f>+Tabla22[[#This Row],[TMK 2026]]</f>
        <v>19922</v>
      </c>
      <c r="P261" s="17">
        <v>895</v>
      </c>
      <c r="Q261" s="17">
        <f>+Tabla22[[#This Row],[WA 2026]]</f>
        <v>4232</v>
      </c>
      <c r="R261" s="17">
        <v>42777</v>
      </c>
      <c r="S261" s="17">
        <f>+Tabla22[[#This Row],[Ent. en Tienda 2026]]</f>
        <v>110075</v>
      </c>
      <c r="T261" s="17">
        <v>318804</v>
      </c>
      <c r="U261" s="17">
        <f>+Tabla22[[#This Row],[Meli Drop 2026]]</f>
        <v>345272</v>
      </c>
      <c r="V261" s="17">
        <v>152090</v>
      </c>
      <c r="W261" s="17">
        <f>+Tabla22[[#This Row],[Meli Full 2026]]</f>
        <v>105758</v>
      </c>
      <c r="X261" s="17">
        <v>39436</v>
      </c>
      <c r="Y261" s="17">
        <f>+Tabla22[[#This Row],[Amazon Drop 2026]]</f>
        <v>40323</v>
      </c>
      <c r="Z261" s="17">
        <v>2132</v>
      </c>
      <c r="AA261" s="17">
        <f>+Tabla22[[#This Row],[Amazon Full 2026]]</f>
        <v>4728</v>
      </c>
      <c r="AB261" s="17">
        <v>1771.6379310344801</v>
      </c>
      <c r="AC261" s="17">
        <f>+Tabla22[[#This Row],[TikTok 2026]]</f>
        <v>22439</v>
      </c>
      <c r="AD261" s="17">
        <v>0</v>
      </c>
      <c r="AE261" s="17">
        <f>+Tabla22[[#This Row],[Shein 2026]]</f>
        <v>3574</v>
      </c>
      <c r="AF261" s="17">
        <f t="shared" si="106"/>
        <v>3578843</v>
      </c>
      <c r="AG261" s="18">
        <f t="shared" si="107"/>
        <v>0.67752790473629809</v>
      </c>
      <c r="AH261" s="17">
        <f t="shared" si="108"/>
        <v>-1703364.5297296103</v>
      </c>
      <c r="AI261" s="20">
        <f t="shared" si="109"/>
        <v>0.11389427620175696</v>
      </c>
      <c r="AJ261" s="20">
        <f t="shared" si="98"/>
        <v>0.14324340261017793</v>
      </c>
      <c r="AK261" s="21">
        <f t="shared" si="110"/>
        <v>0.12924784601850597</v>
      </c>
      <c r="AL261" s="21">
        <f t="shared" si="99"/>
        <v>0.23451191788755366</v>
      </c>
      <c r="AO261" s="38">
        <f t="shared" si="90"/>
        <v>46280</v>
      </c>
      <c r="AP261" s="17">
        <f>Tabla2[[#This Row],[Web + APP 2025]]+Tabla2[[#This Row],[Afiliados 2025]]+Tabla2[[#This Row],[TMK 2025]]+Tabla2[[#This Row],[WA 2025]]+Tabla2[[#This Row],[Ent. en Tienda 2025]]</f>
        <v>2698677.2068965519</v>
      </c>
      <c r="AQ261" s="17">
        <f>Tabla2[[#This Row],[Meli Drop 2025]]+Tabla2[[#This Row],[Meli Full 2025]]+Tabla2[[#This Row],[Amazon Drop 2025]]+Tabla2[[#This Row],[Amazon Full 2025]]+Tabla2[[#This Row],[TikTok 2025]]+Tabla2[[#This Row],[Shein 2025]]</f>
        <v>514233.63793103449</v>
      </c>
      <c r="AR261" s="17">
        <f>Tabla2[[#This Row],[Web + APP 2026]]+Tabla2[[#This Row],[Afiliados 2026]]+Tabla2[[#This Row],[TMK 2026]]+Tabla2[[#This Row],[WA 2026]]+Tabla2[[#This Row],[Ent. en Tienda 2026]]</f>
        <v>3056749</v>
      </c>
      <c r="AS261" s="17">
        <f>Tabla2[[#This Row],[Meli Drop 2026]]+Tabla2[[#This Row],[Meli Full 2026]]+Tabla2[[#This Row],[Amazon Drop 2026]]+Tabla2[[#This Row],[Amazon Full 2026]]+Tabla2[[#This Row],[TikTok 2026]]+Tabla2[[#This Row],[Shein 2026]]</f>
        <v>522094</v>
      </c>
      <c r="AT261" s="18">
        <f t="shared" si="91"/>
        <v>0.13268418771551649</v>
      </c>
      <c r="AU261" s="18">
        <f t="shared" si="92"/>
        <v>1.5285585168233862E-2</v>
      </c>
      <c r="AV261" s="49">
        <f t="shared" si="93"/>
        <v>4255954.5196211003</v>
      </c>
      <c r="AW261" s="49">
        <f t="shared" si="94"/>
        <v>1026253.01010851</v>
      </c>
      <c r="AX261" s="39">
        <f t="shared" si="95"/>
        <v>0.71822877474549152</v>
      </c>
      <c r="AY261" s="39">
        <f t="shared" si="96"/>
        <v>0.50873809368393164</v>
      </c>
      <c r="AZ261" s="39">
        <f t="shared" si="97"/>
        <v>0.67752790473629809</v>
      </c>
      <c r="BA261" s="18">
        <v>3.6992484488507102E-2</v>
      </c>
      <c r="BB261" s="20">
        <v>2.6313557622999299E-2</v>
      </c>
      <c r="BC261" s="17">
        <f t="shared" si="100"/>
        <v>-1199205.5196211003</v>
      </c>
      <c r="BD261" s="17">
        <f t="shared" si="101"/>
        <v>-504159.01010851003</v>
      </c>
      <c r="BE261" s="17">
        <f t="shared" si="102"/>
        <v>358071.79310344812</v>
      </c>
      <c r="BF261" s="17">
        <f t="shared" si="103"/>
        <v>7860.3620689655072</v>
      </c>
    </row>
    <row r="262" spans="1:58" ht="14.25" customHeight="1" x14ac:dyDescent="0.35">
      <c r="A262" s="16">
        <v>45917</v>
      </c>
      <c r="B262" s="17">
        <v>27789776</v>
      </c>
      <c r="C262" s="17">
        <f t="shared" si="104"/>
        <v>3756006.3103448274</v>
      </c>
      <c r="D262" s="18">
        <f>+Tabla22[[#This Row],[Share diario]]</f>
        <v>2.7867841148886241E-2</v>
      </c>
      <c r="E262" s="17">
        <f>+Tabla22[[#This Row],[Global 2026]]</f>
        <v>25822362</v>
      </c>
      <c r="F262" s="19">
        <v>46281</v>
      </c>
      <c r="G262" s="17">
        <f t="shared" si="105"/>
        <v>4361061.8551802728</v>
      </c>
      <c r="H262" s="17">
        <v>3503971.3414703701</v>
      </c>
      <c r="I262" s="17">
        <v>857090.513709903</v>
      </c>
      <c r="J262" s="17">
        <v>2881595</v>
      </c>
      <c r="K262" s="17">
        <f>+Tabla22[[#This Row],[Web + APP 2026]]</f>
        <v>3017053</v>
      </c>
      <c r="L262" s="17">
        <v>29182.758620689699</v>
      </c>
      <c r="M262" s="17">
        <f>+Tabla22[[#This Row],[Afiliados 2026]]</f>
        <v>51909</v>
      </c>
      <c r="N262" s="17">
        <v>37711</v>
      </c>
      <c r="O262" s="17">
        <f>+Tabla22[[#This Row],[TMK 2026]]</f>
        <v>14516</v>
      </c>
      <c r="P262" s="17">
        <v>8906</v>
      </c>
      <c r="Q262" s="17">
        <f>+Tabla22[[#This Row],[WA 2026]]</f>
        <v>6927</v>
      </c>
      <c r="R262" s="17">
        <v>89671</v>
      </c>
      <c r="S262" s="17">
        <f>+Tabla22[[#This Row],[Ent. en Tienda 2026]]</f>
        <v>95484</v>
      </c>
      <c r="T262" s="17">
        <v>560772</v>
      </c>
      <c r="U262" s="17">
        <f>+Tabla22[[#This Row],[Meli Drop 2026]]</f>
        <v>529899</v>
      </c>
      <c r="V262" s="17">
        <v>112089</v>
      </c>
      <c r="W262" s="17">
        <f>+Tabla22[[#This Row],[Meli Full 2026]]</f>
        <v>149538</v>
      </c>
      <c r="X262" s="17">
        <v>30343</v>
      </c>
      <c r="Y262" s="17">
        <f>+Tabla22[[#This Row],[Amazon Drop 2026]]</f>
        <v>38792</v>
      </c>
      <c r="Z262" s="17">
        <v>5195</v>
      </c>
      <c r="AA262" s="17">
        <f>+Tabla22[[#This Row],[Amazon Full 2026]]</f>
        <v>1486</v>
      </c>
      <c r="AB262" s="17">
        <v>885.51724137931001</v>
      </c>
      <c r="AC262" s="17">
        <f>+Tabla22[[#This Row],[TikTok 2026]]</f>
        <v>26853</v>
      </c>
      <c r="AD262" s="17">
        <v>-343.96551724137902</v>
      </c>
      <c r="AE262" s="17">
        <f>+Tabla22[[#This Row],[Shein 2026]]</f>
        <v>491</v>
      </c>
      <c r="AF262" s="17">
        <f t="shared" si="106"/>
        <v>3932948</v>
      </c>
      <c r="AG262" s="18">
        <f t="shared" si="107"/>
        <v>0.90183265695446646</v>
      </c>
      <c r="AH262" s="17">
        <f t="shared" si="108"/>
        <v>-428113.85518027283</v>
      </c>
      <c r="AI262" s="20">
        <f t="shared" si="109"/>
        <v>4.7108996906591427E-2</v>
      </c>
      <c r="AJ262" s="20">
        <f t="shared" si="98"/>
        <v>0.13515784763233887</v>
      </c>
      <c r="AK262" s="21">
        <f t="shared" si="110"/>
        <v>0.15230783303247009</v>
      </c>
      <c r="AL262" s="21">
        <f t="shared" si="99"/>
        <v>-7.0796324518772713E-2</v>
      </c>
      <c r="AO262" s="38">
        <f t="shared" si="90"/>
        <v>46281</v>
      </c>
      <c r="AP262" s="17">
        <f>Tabla2[[#This Row],[Web + APP 2025]]+Tabla2[[#This Row],[Afiliados 2025]]+Tabla2[[#This Row],[TMK 2025]]+Tabla2[[#This Row],[WA 2025]]+Tabla2[[#This Row],[Ent. en Tienda 2025]]</f>
        <v>3047065.7586206896</v>
      </c>
      <c r="AQ262" s="17">
        <f>Tabla2[[#This Row],[Meli Drop 2025]]+Tabla2[[#This Row],[Meli Full 2025]]+Tabla2[[#This Row],[Amazon Drop 2025]]+Tabla2[[#This Row],[Amazon Full 2025]]+Tabla2[[#This Row],[TikTok 2025]]+Tabla2[[#This Row],[Shein 2025]]</f>
        <v>708940.55172413797</v>
      </c>
      <c r="AR262" s="17">
        <f>Tabla2[[#This Row],[Web + APP 2026]]+Tabla2[[#This Row],[Afiliados 2026]]+Tabla2[[#This Row],[TMK 2026]]+Tabla2[[#This Row],[WA 2026]]+Tabla2[[#This Row],[Ent. en Tienda 2026]]</f>
        <v>3185889</v>
      </c>
      <c r="AS262" s="17">
        <f>Tabla2[[#This Row],[Meli Drop 2026]]+Tabla2[[#This Row],[Meli Full 2026]]+Tabla2[[#This Row],[Amazon Drop 2026]]+Tabla2[[#This Row],[Amazon Full 2026]]+Tabla2[[#This Row],[TikTok 2026]]+Tabla2[[#This Row],[Shein 2026]]</f>
        <v>747059</v>
      </c>
      <c r="AT262" s="18">
        <f t="shared" si="91"/>
        <v>4.5559647338281106E-2</v>
      </c>
      <c r="AU262" s="18">
        <f t="shared" si="92"/>
        <v>5.3768187167680281E-2</v>
      </c>
      <c r="AV262" s="49">
        <f t="shared" si="93"/>
        <v>3503971.3414703701</v>
      </c>
      <c r="AW262" s="49">
        <f t="shared" si="94"/>
        <v>857090.513709903</v>
      </c>
      <c r="AX262" s="39">
        <f t="shared" si="95"/>
        <v>0.9092223336116404</v>
      </c>
      <c r="AY262" s="39">
        <f t="shared" si="96"/>
        <v>0.87162206097272821</v>
      </c>
      <c r="AZ262" s="39">
        <f t="shared" si="97"/>
        <v>0.90183265695446646</v>
      </c>
      <c r="BA262" s="18">
        <v>3.6992484488507102E-2</v>
      </c>
      <c r="BB262" s="20">
        <v>2.6313557622999299E-2</v>
      </c>
      <c r="BC262" s="17">
        <f t="shared" si="100"/>
        <v>-318082.34147037007</v>
      </c>
      <c r="BD262" s="17">
        <f t="shared" si="101"/>
        <v>-110031.513709903</v>
      </c>
      <c r="BE262" s="17">
        <f t="shared" si="102"/>
        <v>138823.24137931038</v>
      </c>
      <c r="BF262" s="17">
        <f t="shared" si="103"/>
        <v>38118.448275862029</v>
      </c>
    </row>
    <row r="263" spans="1:58" ht="14.25" customHeight="1" x14ac:dyDescent="0.35">
      <c r="A263" s="19">
        <v>45918</v>
      </c>
      <c r="B263" s="17">
        <v>34810000</v>
      </c>
      <c r="C263" s="17">
        <f t="shared" si="104"/>
        <v>3996151</v>
      </c>
      <c r="D263" s="18">
        <f>+Tabla22[[#This Row],[Share diario]]</f>
        <v>3.2578491052564808E-2</v>
      </c>
      <c r="E263" s="17">
        <f>+Tabla22[[#This Row],[Global 2026]]</f>
        <v>34826656</v>
      </c>
      <c r="F263" s="19">
        <v>46282</v>
      </c>
      <c r="G263" s="17">
        <f t="shared" si="105"/>
        <v>4239129.4675608054</v>
      </c>
      <c r="H263" s="17">
        <v>3512446.5907780901</v>
      </c>
      <c r="I263" s="17">
        <v>726682.87678271497</v>
      </c>
      <c r="J263" s="17">
        <v>3137096</v>
      </c>
      <c r="K263" s="17">
        <f>+Tabla22[[#This Row],[Web + APP 2026]]</f>
        <v>3371374</v>
      </c>
      <c r="L263" s="17">
        <v>30500</v>
      </c>
      <c r="M263" s="17">
        <f>+Tabla22[[#This Row],[Afiliados 2026]]</f>
        <v>47470</v>
      </c>
      <c r="N263" s="17">
        <v>48555</v>
      </c>
      <c r="O263" s="17">
        <f>+Tabla22[[#This Row],[TMK 2026]]</f>
        <v>40640</v>
      </c>
      <c r="P263" s="17">
        <v>554</v>
      </c>
      <c r="Q263" s="17">
        <f>+Tabla22[[#This Row],[WA 2026]]</f>
        <v>4827</v>
      </c>
      <c r="R263" s="17">
        <v>53223</v>
      </c>
      <c r="S263" s="17">
        <f>+Tabla22[[#This Row],[Ent. en Tienda 2026]]</f>
        <v>102089</v>
      </c>
      <c r="T263" s="17">
        <v>582614</v>
      </c>
      <c r="U263" s="17">
        <f>+Tabla22[[#This Row],[Meli Drop 2026]]</f>
        <v>502242</v>
      </c>
      <c r="V263" s="17">
        <v>109550</v>
      </c>
      <c r="W263" s="17">
        <f>+Tabla22[[#This Row],[Meli Full 2026]]</f>
        <v>148099</v>
      </c>
      <c r="X263" s="17">
        <v>24701</v>
      </c>
      <c r="Y263" s="17">
        <f>+Tabla22[[#This Row],[Amazon Drop 2026]]</f>
        <v>48000</v>
      </c>
      <c r="Z263" s="17">
        <v>9358</v>
      </c>
      <c r="AA263" s="17">
        <f>+Tabla22[[#This Row],[Amazon Full 2026]]</f>
        <v>4858</v>
      </c>
      <c r="AB263" s="17">
        <v>0</v>
      </c>
      <c r="AC263" s="17">
        <f>+Tabla22[[#This Row],[TikTok 2026]]</f>
        <v>25641</v>
      </c>
      <c r="AD263" s="17">
        <v>0</v>
      </c>
      <c r="AE263" s="17">
        <f>+Tabla22[[#This Row],[Shein 2026]]</f>
        <v>1077</v>
      </c>
      <c r="AF263" s="17">
        <f t="shared" si="106"/>
        <v>4296317</v>
      </c>
      <c r="AG263" s="18">
        <f t="shared" si="107"/>
        <v>1.0134903953457455</v>
      </c>
      <c r="AH263" s="17">
        <f t="shared" si="108"/>
        <v>57187.53243919462</v>
      </c>
      <c r="AI263" s="20">
        <f t="shared" si="109"/>
        <v>7.5113778233104833E-2</v>
      </c>
      <c r="AJ263" s="20">
        <f t="shared" si="98"/>
        <v>0.11479893708704396</v>
      </c>
      <c r="AK263" s="21">
        <f t="shared" si="110"/>
        <v>0.12336289191819048</v>
      </c>
      <c r="AL263" s="21">
        <f t="shared" si="99"/>
        <v>4.7848319448440257E-4</v>
      </c>
      <c r="AO263" s="38">
        <f t="shared" si="90"/>
        <v>46282</v>
      </c>
      <c r="AP263" s="17">
        <f>Tabla2[[#This Row],[Web + APP 2025]]+Tabla2[[#This Row],[Afiliados 2025]]+Tabla2[[#This Row],[TMK 2025]]+Tabla2[[#This Row],[WA 2025]]+Tabla2[[#This Row],[Ent. en Tienda 2025]]</f>
        <v>3269928</v>
      </c>
      <c r="AQ263" s="17">
        <f>Tabla2[[#This Row],[Meli Drop 2025]]+Tabla2[[#This Row],[Meli Full 2025]]+Tabla2[[#This Row],[Amazon Drop 2025]]+Tabla2[[#This Row],[Amazon Full 2025]]+Tabla2[[#This Row],[TikTok 2025]]+Tabla2[[#This Row],[Shein 2025]]</f>
        <v>726223</v>
      </c>
      <c r="AR263" s="17">
        <f>Tabla2[[#This Row],[Web + APP 2026]]+Tabla2[[#This Row],[Afiliados 2026]]+Tabla2[[#This Row],[TMK 2026]]+Tabla2[[#This Row],[WA 2026]]+Tabla2[[#This Row],[Ent. en Tienda 2026]]</f>
        <v>3566400</v>
      </c>
      <c r="AS263" s="17">
        <f>Tabla2[[#This Row],[Meli Drop 2026]]+Tabla2[[#This Row],[Meli Full 2026]]+Tabla2[[#This Row],[Amazon Drop 2026]]+Tabla2[[#This Row],[Amazon Full 2026]]+Tabla2[[#This Row],[TikTok 2026]]+Tabla2[[#This Row],[Shein 2026]]</f>
        <v>729917</v>
      </c>
      <c r="AT263" s="18">
        <f t="shared" si="91"/>
        <v>9.066621650384965E-2</v>
      </c>
      <c r="AU263" s="18">
        <f t="shared" si="92"/>
        <v>5.0865918595253135E-3</v>
      </c>
      <c r="AV263" s="49">
        <f t="shared" si="93"/>
        <v>3512446.5907780901</v>
      </c>
      <c r="AW263" s="49">
        <f t="shared" si="94"/>
        <v>726682.87678271497</v>
      </c>
      <c r="AX263" s="39">
        <f t="shared" si="95"/>
        <v>1.0153606347676758</v>
      </c>
      <c r="AY263" s="39">
        <f t="shared" si="96"/>
        <v>1.0044505290004955</v>
      </c>
      <c r="AZ263" s="39">
        <f t="shared" si="97"/>
        <v>1.0134903953457455</v>
      </c>
      <c r="BA263" s="18">
        <v>3.6992484488507102E-2</v>
      </c>
      <c r="BB263" s="20">
        <v>2.6313557622999299E-2</v>
      </c>
      <c r="BC263" s="17">
        <f t="shared" si="100"/>
        <v>53953.40922190994</v>
      </c>
      <c r="BD263" s="17">
        <f t="shared" si="101"/>
        <v>3234.1232172850287</v>
      </c>
      <c r="BE263" s="17">
        <f t="shared" si="102"/>
        <v>296472</v>
      </c>
      <c r="BF263" s="17">
        <f t="shared" si="103"/>
        <v>3694</v>
      </c>
    </row>
    <row r="264" spans="1:58" ht="14.25" customHeight="1" x14ac:dyDescent="0.35">
      <c r="A264" s="16">
        <v>45919</v>
      </c>
      <c r="B264" s="17">
        <v>36200541</v>
      </c>
      <c r="C264" s="17">
        <f t="shared" si="104"/>
        <v>3298681.4913793104</v>
      </c>
      <c r="D264" s="18">
        <f>+Tabla22[[#This Row],[Share diario]]</f>
        <v>3.4661435269592429E-2</v>
      </c>
      <c r="E264" s="17">
        <f>+Tabla22[[#This Row],[Global 2026]]</f>
        <v>37710655</v>
      </c>
      <c r="F264" s="19">
        <v>46283</v>
      </c>
      <c r="G264" s="17">
        <f t="shared" si="105"/>
        <v>4103348.4351300402</v>
      </c>
      <c r="H264" s="17">
        <v>3006295.81930889</v>
      </c>
      <c r="I264" s="17">
        <v>1097052.6158211499</v>
      </c>
      <c r="J264" s="17">
        <v>2528021</v>
      </c>
      <c r="K264" s="17">
        <f>+Tabla22[[#This Row],[Web + APP 2026]]</f>
        <v>2976604</v>
      </c>
      <c r="L264" s="17">
        <v>32440.517241379301</v>
      </c>
      <c r="M264" s="17">
        <f>+Tabla22[[#This Row],[Afiliados 2026]]</f>
        <v>45052</v>
      </c>
      <c r="N264" s="17">
        <v>31205</v>
      </c>
      <c r="O264" s="17">
        <f>+Tabla22[[#This Row],[TMK 2026]]</f>
        <v>45739</v>
      </c>
      <c r="P264" s="17">
        <v>6171</v>
      </c>
      <c r="Q264" s="17">
        <f>+Tabla22[[#This Row],[WA 2026]]</f>
        <v>12969</v>
      </c>
      <c r="R264" s="17">
        <v>94328</v>
      </c>
      <c r="S264" s="17">
        <f>+Tabla22[[#This Row],[Ent. en Tienda 2026]]</f>
        <v>113494</v>
      </c>
      <c r="T264" s="17">
        <v>458250</v>
      </c>
      <c r="U264" s="17">
        <f>+Tabla22[[#This Row],[Meli Drop 2026]]</f>
        <v>360057</v>
      </c>
      <c r="V264" s="17">
        <v>104253</v>
      </c>
      <c r="W264" s="17">
        <f>+Tabla22[[#This Row],[Meli Full 2026]]</f>
        <v>264636</v>
      </c>
      <c r="X264" s="17">
        <v>32064</v>
      </c>
      <c r="Y264" s="17">
        <f>+Tabla22[[#This Row],[Amazon Drop 2026]]</f>
        <v>23309</v>
      </c>
      <c r="Z264" s="17">
        <v>11786</v>
      </c>
      <c r="AA264" s="17">
        <f>+Tabla22[[#This Row],[Amazon Full 2026]]</f>
        <v>2111</v>
      </c>
      <c r="AB264" s="17">
        <v>162.97413793103499</v>
      </c>
      <c r="AC264" s="17">
        <f>+Tabla22[[#This Row],[TikTok 2026]]</f>
        <v>37522</v>
      </c>
      <c r="AD264" s="17">
        <v>0</v>
      </c>
      <c r="AE264" s="17">
        <f>+Tabla22[[#This Row],[Shein 2026]]</f>
        <v>2239</v>
      </c>
      <c r="AF264" s="17">
        <f t="shared" si="106"/>
        <v>3883732</v>
      </c>
      <c r="AG264" s="18">
        <f t="shared" si="107"/>
        <v>0.94647872619106976</v>
      </c>
      <c r="AH264" s="17">
        <f t="shared" si="108"/>
        <v>-219616.43513004016</v>
      </c>
      <c r="AI264" s="20">
        <f t="shared" si="109"/>
        <v>0.17735889631952806</v>
      </c>
      <c r="AJ264" s="20">
        <f t="shared" si="98"/>
        <v>9.112243630224505E-2</v>
      </c>
      <c r="AK264" s="21">
        <f t="shared" si="110"/>
        <v>0.10298765693674639</v>
      </c>
      <c r="AL264" s="21">
        <f t="shared" si="99"/>
        <v>4.1715232929806279E-2</v>
      </c>
      <c r="AO264" s="38">
        <f t="shared" si="90"/>
        <v>46283</v>
      </c>
      <c r="AP264" s="17">
        <f>Tabla2[[#This Row],[Web + APP 2025]]+Tabla2[[#This Row],[Afiliados 2025]]+Tabla2[[#This Row],[TMK 2025]]+Tabla2[[#This Row],[WA 2025]]+Tabla2[[#This Row],[Ent. en Tienda 2025]]</f>
        <v>2692165.5172413792</v>
      </c>
      <c r="AQ264" s="17">
        <f>Tabla2[[#This Row],[Meli Drop 2025]]+Tabla2[[#This Row],[Meli Full 2025]]+Tabla2[[#This Row],[Amazon Drop 2025]]+Tabla2[[#This Row],[Amazon Full 2025]]+Tabla2[[#This Row],[TikTok 2025]]+Tabla2[[#This Row],[Shein 2025]]</f>
        <v>606515.97413793101</v>
      </c>
      <c r="AR264" s="17">
        <f>Tabla2[[#This Row],[Web + APP 2026]]+Tabla2[[#This Row],[Afiliados 2026]]+Tabla2[[#This Row],[TMK 2026]]+Tabla2[[#This Row],[WA 2026]]+Tabla2[[#This Row],[Ent. en Tienda 2026]]</f>
        <v>3193858</v>
      </c>
      <c r="AS264" s="17">
        <f>Tabla2[[#This Row],[Meli Drop 2026]]+Tabla2[[#This Row],[Meli Full 2026]]+Tabla2[[#This Row],[Amazon Drop 2026]]+Tabla2[[#This Row],[Amazon Full 2026]]+Tabla2[[#This Row],[TikTok 2026]]+Tabla2[[#This Row],[Shein 2026]]</f>
        <v>689874</v>
      </c>
      <c r="AT264" s="18">
        <f t="shared" si="91"/>
        <v>0.18635276306216775</v>
      </c>
      <c r="AU264" s="18">
        <f t="shared" si="92"/>
        <v>0.1374374780162213</v>
      </c>
      <c r="AV264" s="49">
        <f t="shared" si="93"/>
        <v>3006295.81930889</v>
      </c>
      <c r="AW264" s="49">
        <f t="shared" si="94"/>
        <v>1097052.6158211499</v>
      </c>
      <c r="AX264" s="39">
        <f t="shared" si="95"/>
        <v>1.0623897952711214</v>
      </c>
      <c r="AY264" s="39">
        <f t="shared" si="96"/>
        <v>0.62884312935494491</v>
      </c>
      <c r="AZ264" s="39">
        <f t="shared" si="97"/>
        <v>0.94647872619106976</v>
      </c>
      <c r="BA264" s="18">
        <v>3.6992484488507102E-2</v>
      </c>
      <c r="BB264" s="20">
        <v>2.6313557622999299E-2</v>
      </c>
      <c r="BC264" s="17">
        <f t="shared" si="100"/>
        <v>187562.18069110997</v>
      </c>
      <c r="BD264" s="17">
        <f t="shared" si="101"/>
        <v>-407178.6158211499</v>
      </c>
      <c r="BE264" s="17">
        <f t="shared" si="102"/>
        <v>501692.48275862075</v>
      </c>
      <c r="BF264" s="17">
        <f t="shared" si="103"/>
        <v>83358.025862068986</v>
      </c>
    </row>
    <row r="265" spans="1:58" ht="14.25" customHeight="1" x14ac:dyDescent="0.35">
      <c r="A265" s="19">
        <v>45920</v>
      </c>
      <c r="B265" s="17">
        <v>49554588</v>
      </c>
      <c r="C265" s="17">
        <f t="shared" si="104"/>
        <v>3214291.3620689656</v>
      </c>
      <c r="D265" s="18">
        <f>+Tabla22[[#This Row],[Share diario]]</f>
        <v>2.8611790442464907E-2</v>
      </c>
      <c r="E265" s="17">
        <f>+Tabla22[[#This Row],[Global 2026]]</f>
        <v>50738084</v>
      </c>
      <c r="F265" s="19">
        <v>46284</v>
      </c>
      <c r="G265" s="17">
        <f t="shared" si="105"/>
        <v>3091910.722210601</v>
      </c>
      <c r="H265" s="17">
        <v>2441522.1685973001</v>
      </c>
      <c r="I265" s="17">
        <v>650388.55361330102</v>
      </c>
      <c r="J265" s="17">
        <v>2508912</v>
      </c>
      <c r="K265" s="17">
        <f>+Tabla22[[#This Row],[Web + APP 2026]]</f>
        <v>2832509</v>
      </c>
      <c r="L265" s="17">
        <v>33902.5862068965</v>
      </c>
      <c r="M265" s="17">
        <f>+Tabla22[[#This Row],[Afiliados 2026]]</f>
        <v>50268</v>
      </c>
      <c r="N265" s="17">
        <v>41569</v>
      </c>
      <c r="O265" s="17">
        <f>+Tabla22[[#This Row],[TMK 2026]]</f>
        <v>289</v>
      </c>
      <c r="P265" s="17">
        <v>834</v>
      </c>
      <c r="Q265" s="17">
        <f>+Tabla22[[#This Row],[WA 2026]]</f>
        <v>4622</v>
      </c>
      <c r="R265" s="17">
        <v>73408</v>
      </c>
      <c r="S265" s="17">
        <f>+Tabla22[[#This Row],[Ent. en Tienda 2026]]</f>
        <v>121150</v>
      </c>
      <c r="T265" s="17">
        <v>439924</v>
      </c>
      <c r="U265" s="17">
        <f>+Tabla22[[#This Row],[Meli Drop 2026]]</f>
        <v>366847</v>
      </c>
      <c r="V265" s="17">
        <v>75203</v>
      </c>
      <c r="W265" s="17">
        <f>+Tabla22[[#This Row],[Meli Full 2026]]</f>
        <v>260109</v>
      </c>
      <c r="X265" s="17">
        <v>28962</v>
      </c>
      <c r="Y265" s="17">
        <f>+Tabla22[[#This Row],[Amazon Drop 2026]]</f>
        <v>29761</v>
      </c>
      <c r="Z265" s="17">
        <v>9571</v>
      </c>
      <c r="AA265" s="17">
        <f>+Tabla22[[#This Row],[Amazon Full 2026]]</f>
        <v>4759</v>
      </c>
      <c r="AB265" s="17">
        <v>714.39655172413802</v>
      </c>
      <c r="AC265" s="17">
        <f>+Tabla22[[#This Row],[TikTok 2026]]</f>
        <v>15674</v>
      </c>
      <c r="AD265" s="17">
        <v>1291.3793103448299</v>
      </c>
      <c r="AE265" s="17">
        <f>+Tabla22[[#This Row],[Shein 2026]]</f>
        <v>3272</v>
      </c>
      <c r="AF265" s="17">
        <f t="shared" si="106"/>
        <v>3689260</v>
      </c>
      <c r="AG265" s="18">
        <f t="shared" si="107"/>
        <v>1.1931974534382146</v>
      </c>
      <c r="AH265" s="17">
        <f t="shared" si="108"/>
        <v>597349.27778939903</v>
      </c>
      <c r="AI265" s="20">
        <f t="shared" si="109"/>
        <v>0.14776776104867739</v>
      </c>
      <c r="AJ265" s="20">
        <f t="shared" si="98"/>
        <v>6.4863648186702011E-2</v>
      </c>
      <c r="AK265" s="21">
        <f t="shared" si="110"/>
        <v>7.2711850924445626E-2</v>
      </c>
      <c r="AL265" s="21">
        <f t="shared" si="99"/>
        <v>2.3882672579176756E-2</v>
      </c>
      <c r="AO265" s="38">
        <f t="shared" si="90"/>
        <v>46284</v>
      </c>
      <c r="AP265" s="17">
        <f>Tabla2[[#This Row],[Web + APP 2025]]+Tabla2[[#This Row],[Afiliados 2025]]+Tabla2[[#This Row],[TMK 2025]]+Tabla2[[#This Row],[WA 2025]]+Tabla2[[#This Row],[Ent. en Tienda 2025]]</f>
        <v>2658625.5862068967</v>
      </c>
      <c r="AQ265" s="17">
        <f>Tabla2[[#This Row],[Meli Drop 2025]]+Tabla2[[#This Row],[Meli Full 2025]]+Tabla2[[#This Row],[Amazon Drop 2025]]+Tabla2[[#This Row],[Amazon Full 2025]]+Tabla2[[#This Row],[TikTok 2025]]+Tabla2[[#This Row],[Shein 2025]]</f>
        <v>555665.77586206899</v>
      </c>
      <c r="AR265" s="17">
        <f>Tabla2[[#This Row],[Web + APP 2026]]+Tabla2[[#This Row],[Afiliados 2026]]+Tabla2[[#This Row],[TMK 2026]]+Tabla2[[#This Row],[WA 2026]]+Tabla2[[#This Row],[Ent. en Tienda 2026]]</f>
        <v>3008838</v>
      </c>
      <c r="AS265" s="17">
        <f>Tabla2[[#This Row],[Meli Drop 2026]]+Tabla2[[#This Row],[Meli Full 2026]]+Tabla2[[#This Row],[Amazon Drop 2026]]+Tabla2[[#This Row],[Amazon Full 2026]]+Tabla2[[#This Row],[TikTok 2026]]+Tabla2[[#This Row],[Shein 2026]]</f>
        <v>680422</v>
      </c>
      <c r="AT265" s="18">
        <f t="shared" si="91"/>
        <v>0.13172686504260911</v>
      </c>
      <c r="AU265" s="18">
        <f t="shared" si="92"/>
        <v>0.22451666011710403</v>
      </c>
      <c r="AV265" s="49">
        <f t="shared" si="93"/>
        <v>2441522.1685973001</v>
      </c>
      <c r="AW265" s="49">
        <f t="shared" si="94"/>
        <v>650388.55361330102</v>
      </c>
      <c r="AX265" s="39">
        <f t="shared" si="95"/>
        <v>1.2323615319571861</v>
      </c>
      <c r="AY265" s="39">
        <f t="shared" si="96"/>
        <v>1.0461776982695115</v>
      </c>
      <c r="AZ265" s="39">
        <f t="shared" si="97"/>
        <v>1.1931974534382146</v>
      </c>
      <c r="BA265" s="18">
        <v>3.6992484488507102E-2</v>
      </c>
      <c r="BB265" s="20">
        <v>2.6313557622999299E-2</v>
      </c>
      <c r="BC265" s="17">
        <f t="shared" si="100"/>
        <v>567315.83140269993</v>
      </c>
      <c r="BD265" s="17">
        <f t="shared" si="101"/>
        <v>30033.446386698983</v>
      </c>
      <c r="BE265" s="17">
        <f t="shared" si="102"/>
        <v>350212.4137931033</v>
      </c>
      <c r="BF265" s="17">
        <f t="shared" si="103"/>
        <v>124756.22413793101</v>
      </c>
    </row>
    <row r="266" spans="1:58" ht="14.25" customHeight="1" x14ac:dyDescent="0.35">
      <c r="A266" s="16">
        <v>45921</v>
      </c>
      <c r="B266" s="17">
        <v>49902512</v>
      </c>
      <c r="C266" s="17">
        <f t="shared" si="104"/>
        <v>3768520.8965517241</v>
      </c>
      <c r="D266" s="18">
        <f>+Tabla22[[#This Row],[Share diario]]</f>
        <v>2.7879815348309793E-2</v>
      </c>
      <c r="E266" s="17">
        <f>+Tabla22[[#This Row],[Global 2026]]</f>
        <v>50714241</v>
      </c>
      <c r="F266" s="19">
        <v>46285</v>
      </c>
      <c r="G266" s="17">
        <f t="shared" si="105"/>
        <v>4245549.8398925532</v>
      </c>
      <c r="H266" s="17">
        <v>3460317.6521310401</v>
      </c>
      <c r="I266" s="17">
        <v>785232.18776151305</v>
      </c>
      <c r="J266" s="17">
        <v>3005335</v>
      </c>
      <c r="K266" s="17">
        <f>+Tabla22[[#This Row],[Web + APP 2026]]</f>
        <v>3153105</v>
      </c>
      <c r="L266" s="17">
        <v>40560.344827586203</v>
      </c>
      <c r="M266" s="17">
        <f>+Tabla22[[#This Row],[Afiliados 2026]]</f>
        <v>54916</v>
      </c>
      <c r="N266" s="17">
        <v>7591</v>
      </c>
      <c r="O266" s="17">
        <f>+Tabla22[[#This Row],[TMK 2026]]</f>
        <v>13513</v>
      </c>
      <c r="P266" s="17">
        <v>8870</v>
      </c>
      <c r="Q266" s="17">
        <f>+Tabla22[[#This Row],[WA 2026]]</f>
        <v>5859</v>
      </c>
      <c r="R266" s="17">
        <v>114424</v>
      </c>
      <c r="S266" s="17">
        <f>+Tabla22[[#This Row],[Ent. en Tienda 2026]]</f>
        <v>128472</v>
      </c>
      <c r="T266" s="17">
        <v>457192</v>
      </c>
      <c r="U266" s="17">
        <f>+Tabla22[[#This Row],[Meli Drop 2026]]</f>
        <v>409226</v>
      </c>
      <c r="V266" s="17">
        <v>90772</v>
      </c>
      <c r="W266" s="17">
        <f>+Tabla22[[#This Row],[Meli Full 2026]]</f>
        <v>267109</v>
      </c>
      <c r="X266" s="17">
        <v>35716</v>
      </c>
      <c r="Y266" s="17">
        <f>+Tabla22[[#This Row],[Amazon Drop 2026]]</f>
        <v>44591</v>
      </c>
      <c r="Z266" s="17">
        <v>7889</v>
      </c>
      <c r="AA266" s="17">
        <f>+Tabla22[[#This Row],[Amazon Full 2026]]</f>
        <v>1420</v>
      </c>
      <c r="AB266" s="17">
        <v>171.55172413793099</v>
      </c>
      <c r="AC266" s="17">
        <f>+Tabla22[[#This Row],[TikTok 2026]]</f>
        <v>14426</v>
      </c>
      <c r="AD266" s="17">
        <v>0</v>
      </c>
      <c r="AE266" s="17">
        <f>+Tabla22[[#This Row],[Shein 2026]]</f>
        <v>6761</v>
      </c>
      <c r="AF266" s="17">
        <f t="shared" si="106"/>
        <v>4099398</v>
      </c>
      <c r="AG266" s="18">
        <f t="shared" si="107"/>
        <v>0.9655752857923694</v>
      </c>
      <c r="AH266" s="17">
        <f t="shared" si="108"/>
        <v>-146151.83989255317</v>
      </c>
      <c r="AI266" s="20">
        <f t="shared" si="109"/>
        <v>8.7800257058687325E-2</v>
      </c>
      <c r="AJ266" s="20">
        <f t="shared" si="98"/>
        <v>7.5517659242318791E-2</v>
      </c>
      <c r="AK266" s="21">
        <f t="shared" si="110"/>
        <v>8.0833271269898324E-2</v>
      </c>
      <c r="AL266" s="21">
        <f t="shared" si="99"/>
        <v>1.6266295372064699E-2</v>
      </c>
      <c r="AO266" s="38">
        <f t="shared" si="90"/>
        <v>46285</v>
      </c>
      <c r="AP266" s="17">
        <f>Tabla2[[#This Row],[Web + APP 2025]]+Tabla2[[#This Row],[Afiliados 2025]]+Tabla2[[#This Row],[TMK 2025]]+Tabla2[[#This Row],[WA 2025]]+Tabla2[[#This Row],[Ent. en Tienda 2025]]</f>
        <v>3176780.3448275863</v>
      </c>
      <c r="AQ266" s="17">
        <f>Tabla2[[#This Row],[Meli Drop 2025]]+Tabla2[[#This Row],[Meli Full 2025]]+Tabla2[[#This Row],[Amazon Drop 2025]]+Tabla2[[#This Row],[Amazon Full 2025]]+Tabla2[[#This Row],[TikTok 2025]]+Tabla2[[#This Row],[Shein 2025]]</f>
        <v>591740.55172413797</v>
      </c>
      <c r="AR266" s="17">
        <f>Tabla2[[#This Row],[Web + APP 2026]]+Tabla2[[#This Row],[Afiliados 2026]]+Tabla2[[#This Row],[TMK 2026]]+Tabla2[[#This Row],[WA 2026]]+Tabla2[[#This Row],[Ent. en Tienda 2026]]</f>
        <v>3355865</v>
      </c>
      <c r="AS266" s="17">
        <f>Tabla2[[#This Row],[Meli Drop 2026]]+Tabla2[[#This Row],[Meli Full 2026]]+Tabla2[[#This Row],[Amazon Drop 2026]]+Tabla2[[#This Row],[Amazon Full 2026]]+Tabla2[[#This Row],[TikTok 2026]]+Tabla2[[#This Row],[Shein 2026]]</f>
        <v>743533</v>
      </c>
      <c r="AT266" s="18">
        <f t="shared" si="91"/>
        <v>5.6373005286310729E-2</v>
      </c>
      <c r="AU266" s="18">
        <f t="shared" si="92"/>
        <v>0.25651858375024084</v>
      </c>
      <c r="AV266" s="49">
        <f t="shared" si="93"/>
        <v>3460317.6521310401</v>
      </c>
      <c r="AW266" s="49">
        <f t="shared" si="94"/>
        <v>785232.18776151305</v>
      </c>
      <c r="AX266" s="39">
        <f t="shared" si="95"/>
        <v>0.96981414348861505</v>
      </c>
      <c r="AY266" s="39">
        <f t="shared" si="96"/>
        <v>0.94689572280475887</v>
      </c>
      <c r="AZ266" s="39">
        <f t="shared" si="97"/>
        <v>0.9655752857923694</v>
      </c>
      <c r="BA266" s="18">
        <v>3.6992484488507102E-2</v>
      </c>
      <c r="BB266" s="20">
        <v>2.6313557622999299E-2</v>
      </c>
      <c r="BC266" s="17">
        <f t="shared" si="100"/>
        <v>-104452.65213104011</v>
      </c>
      <c r="BD266" s="17">
        <f t="shared" si="101"/>
        <v>-41699.187761513051</v>
      </c>
      <c r="BE266" s="17">
        <f t="shared" si="102"/>
        <v>179084.65517241368</v>
      </c>
      <c r="BF266" s="17">
        <f t="shared" si="103"/>
        <v>151792.44827586203</v>
      </c>
    </row>
    <row r="267" spans="1:58" ht="14.25" customHeight="1" x14ac:dyDescent="0.35">
      <c r="A267" s="19">
        <v>45922</v>
      </c>
      <c r="B267" s="17">
        <v>29240389</v>
      </c>
      <c r="C267" s="17">
        <f t="shared" si="104"/>
        <v>5260752.1379310349</v>
      </c>
      <c r="D267" s="18">
        <f>+Tabla22[[#This Row],[Share diario]]</f>
        <v>3.2687038882648331E-2</v>
      </c>
      <c r="E267" s="17">
        <f>+Tabla22[[#This Row],[Global 2026]]</f>
        <v>31058679</v>
      </c>
      <c r="F267" s="19">
        <v>46286</v>
      </c>
      <c r="G267" s="17">
        <f t="shared" si="105"/>
        <v>6691164.0781895295</v>
      </c>
      <c r="H267" s="17">
        <v>4911835.9222691599</v>
      </c>
      <c r="I267" s="17">
        <v>1779328.15592037</v>
      </c>
      <c r="J267" s="17">
        <v>4228644</v>
      </c>
      <c r="K267" s="17">
        <f>+Tabla22[[#This Row],[Web + APP 2026]]</f>
        <v>4321094</v>
      </c>
      <c r="L267" s="17">
        <v>30948.275862069</v>
      </c>
      <c r="M267" s="17">
        <f>+Tabla22[[#This Row],[Afiliados 2026]]</f>
        <v>36627</v>
      </c>
      <c r="N267" s="17">
        <v>30977</v>
      </c>
      <c r="O267" s="17">
        <f>+Tabla22[[#This Row],[TMK 2026]]</f>
        <v>22436</v>
      </c>
      <c r="P267" s="17">
        <v>3889</v>
      </c>
      <c r="Q267" s="17">
        <f>+Tabla22[[#This Row],[WA 2026]]</f>
        <v>20330</v>
      </c>
      <c r="R267" s="17">
        <v>117805</v>
      </c>
      <c r="S267" s="17">
        <f>+Tabla22[[#This Row],[Ent. en Tienda 2026]]</f>
        <v>176536</v>
      </c>
      <c r="T267" s="17">
        <v>708970</v>
      </c>
      <c r="U267" s="17">
        <f>+Tabla22[[#This Row],[Meli Drop 2026]]</f>
        <v>452289</v>
      </c>
      <c r="V267" s="17">
        <v>87697</v>
      </c>
      <c r="W267" s="17">
        <f>+Tabla22[[#This Row],[Meli Full 2026]]</f>
        <v>251202</v>
      </c>
      <c r="X267" s="17">
        <v>40001</v>
      </c>
      <c r="Y267" s="17">
        <f>+Tabla22[[#This Row],[Amazon Drop 2026]]</f>
        <v>28276</v>
      </c>
      <c r="Z267" s="17">
        <v>9770</v>
      </c>
      <c r="AA267" s="17">
        <f>+Tabla22[[#This Row],[Amazon Full 2026]]</f>
        <v>2779</v>
      </c>
      <c r="AB267" s="17">
        <v>1103.44827586207</v>
      </c>
      <c r="AC267" s="17">
        <f>+Tabla22[[#This Row],[TikTok 2026]]</f>
        <v>13093</v>
      </c>
      <c r="AD267" s="17">
        <v>947.41379310344803</v>
      </c>
      <c r="AE267" s="17">
        <f>+Tabla22[[#This Row],[Shein 2026]]</f>
        <v>5659</v>
      </c>
      <c r="AF267" s="17">
        <f t="shared" si="106"/>
        <v>5330321</v>
      </c>
      <c r="AG267" s="18">
        <f t="shared" si="107"/>
        <v>0.79662087758013234</v>
      </c>
      <c r="AH267" s="17">
        <f t="shared" si="108"/>
        <v>-1360843.0781895295</v>
      </c>
      <c r="AI267" s="20">
        <f t="shared" si="109"/>
        <v>1.322412846014176E-2</v>
      </c>
      <c r="AJ267" s="20">
        <f t="shared" si="98"/>
        <v>0.17991389026770591</v>
      </c>
      <c r="AK267" s="21">
        <f t="shared" si="110"/>
        <v>0.17162098233476059</v>
      </c>
      <c r="AL267" s="21">
        <f t="shared" si="99"/>
        <v>6.2184193240384156E-2</v>
      </c>
      <c r="AO267" s="38">
        <f t="shared" si="90"/>
        <v>46286</v>
      </c>
      <c r="AP267" s="17">
        <f>Tabla2[[#This Row],[Web + APP 2025]]+Tabla2[[#This Row],[Afiliados 2025]]+Tabla2[[#This Row],[TMK 2025]]+Tabla2[[#This Row],[WA 2025]]+Tabla2[[#This Row],[Ent. en Tienda 2025]]</f>
        <v>4412263.2758620689</v>
      </c>
      <c r="AQ267" s="17">
        <f>Tabla2[[#This Row],[Meli Drop 2025]]+Tabla2[[#This Row],[Meli Full 2025]]+Tabla2[[#This Row],[Amazon Drop 2025]]+Tabla2[[#This Row],[Amazon Full 2025]]+Tabla2[[#This Row],[TikTok 2025]]+Tabla2[[#This Row],[Shein 2025]]</f>
        <v>848488.86206896545</v>
      </c>
      <c r="AR267" s="17">
        <f>Tabla2[[#This Row],[Web + APP 2026]]+Tabla2[[#This Row],[Afiliados 2026]]+Tabla2[[#This Row],[TMK 2026]]+Tabla2[[#This Row],[WA 2026]]+Tabla2[[#This Row],[Ent. en Tienda 2026]]</f>
        <v>4577023</v>
      </c>
      <c r="AS267" s="17">
        <f>Tabla2[[#This Row],[Meli Drop 2026]]+Tabla2[[#This Row],[Meli Full 2026]]+Tabla2[[#This Row],[Amazon Drop 2026]]+Tabla2[[#This Row],[Amazon Full 2026]]+Tabla2[[#This Row],[TikTok 2026]]+Tabla2[[#This Row],[Shein 2026]]</f>
        <v>753298</v>
      </c>
      <c r="AT267" s="18">
        <f t="shared" si="91"/>
        <v>3.7341317559011822E-2</v>
      </c>
      <c r="AU267" s="18">
        <f t="shared" si="92"/>
        <v>-0.112188699609858</v>
      </c>
      <c r="AV267" s="49">
        <f t="shared" si="93"/>
        <v>4911835.9222691599</v>
      </c>
      <c r="AW267" s="49">
        <f t="shared" si="94"/>
        <v>1779328.15592037</v>
      </c>
      <c r="AX267" s="39">
        <f t="shared" si="95"/>
        <v>0.93183548319454368</v>
      </c>
      <c r="AY267" s="39">
        <f t="shared" si="96"/>
        <v>0.42336091714928847</v>
      </c>
      <c r="AZ267" s="39">
        <f t="shared" si="97"/>
        <v>0.79662087758013234</v>
      </c>
      <c r="BA267" s="18">
        <v>3.6992484488507102E-2</v>
      </c>
      <c r="BB267" s="20">
        <v>2.6313557622999299E-2</v>
      </c>
      <c r="BC267" s="17">
        <f t="shared" si="100"/>
        <v>-334812.92226915993</v>
      </c>
      <c r="BD267" s="17">
        <f t="shared" si="101"/>
        <v>-1026030.15592037</v>
      </c>
      <c r="BE267" s="17">
        <f t="shared" si="102"/>
        <v>164759.72413793113</v>
      </c>
      <c r="BF267" s="17">
        <f t="shared" si="103"/>
        <v>-95190.862068965449</v>
      </c>
    </row>
    <row r="268" spans="1:58" ht="14.25" customHeight="1" x14ac:dyDescent="0.35">
      <c r="A268" s="16">
        <v>45923</v>
      </c>
      <c r="B268" s="17">
        <v>30161823</v>
      </c>
      <c r="C268" s="17">
        <f t="shared" si="104"/>
        <v>4219527.8017241377</v>
      </c>
      <c r="D268" s="18">
        <f>+Tabla22[[#This Row],[Share diario]]</f>
        <v>4.5630212596637749E-2</v>
      </c>
      <c r="E268" s="17">
        <f>+Tabla22[[#This Row],[Global 2026]]</f>
        <v>31976240</v>
      </c>
      <c r="F268" s="19">
        <v>46287</v>
      </c>
      <c r="G268" s="17">
        <f t="shared" si="105"/>
        <v>6941785.4112114906</v>
      </c>
      <c r="H268" s="17">
        <v>5742753.9171086904</v>
      </c>
      <c r="I268" s="17">
        <v>1199031.4941028</v>
      </c>
      <c r="J268" s="17">
        <v>3819612</v>
      </c>
      <c r="K268" s="17">
        <f>+Tabla22[[#This Row],[Web + APP 2026]]</f>
        <v>4287790</v>
      </c>
      <c r="L268" s="17">
        <v>28138.793103448301</v>
      </c>
      <c r="M268" s="17">
        <f>+Tabla22[[#This Row],[Afiliados 2026]]</f>
        <v>38529</v>
      </c>
      <c r="N268" s="17">
        <v>70945</v>
      </c>
      <c r="O268" s="17">
        <f>+Tabla22[[#This Row],[TMK 2026]]</f>
        <v>36826</v>
      </c>
      <c r="P268" s="17">
        <v>2241</v>
      </c>
      <c r="Q268" s="17">
        <f>+Tabla22[[#This Row],[WA 2026]]</f>
        <v>953</v>
      </c>
      <c r="R268" s="17">
        <v>108115</v>
      </c>
      <c r="S268" s="17">
        <f>+Tabla22[[#This Row],[Ent. en Tienda 2026]]</f>
        <v>121356</v>
      </c>
      <c r="T268" s="17">
        <v>130750</v>
      </c>
      <c r="U268" s="17">
        <f>+Tabla22[[#This Row],[Meli Drop 2026]]</f>
        <v>406577</v>
      </c>
      <c r="V268" s="17">
        <v>23990</v>
      </c>
      <c r="W268" s="17">
        <f>+Tabla22[[#This Row],[Meli Full 2026]]</f>
        <v>254184</v>
      </c>
      <c r="X268" s="17">
        <v>26470</v>
      </c>
      <c r="Y268" s="17">
        <f>+Tabla22[[#This Row],[Amazon Drop 2026]]</f>
        <v>30081</v>
      </c>
      <c r="Z268" s="17">
        <v>9026</v>
      </c>
      <c r="AA268" s="17">
        <f>+Tabla22[[#This Row],[Amazon Full 2026]]</f>
        <v>5533</v>
      </c>
      <c r="AB268" s="17">
        <v>240.008620689655</v>
      </c>
      <c r="AC268" s="17">
        <f>+Tabla22[[#This Row],[TikTok 2026]]</f>
        <v>887</v>
      </c>
      <c r="AD268" s="17">
        <v>0</v>
      </c>
      <c r="AE268" s="17">
        <f>+Tabla22[[#This Row],[Shein 2026]]</f>
        <v>344</v>
      </c>
      <c r="AF268" s="17">
        <f t="shared" si="106"/>
        <v>5183060</v>
      </c>
      <c r="AG268" s="18">
        <f t="shared" si="107"/>
        <v>0.74664653154345273</v>
      </c>
      <c r="AH268" s="17">
        <f t="shared" si="108"/>
        <v>-1758725.4112114906</v>
      </c>
      <c r="AI268" s="20">
        <f t="shared" si="109"/>
        <v>0.2283507168461254</v>
      </c>
      <c r="AJ268" s="20">
        <f t="shared" si="98"/>
        <v>0.13989631202743075</v>
      </c>
      <c r="AK268" s="21">
        <f t="shared" si="110"/>
        <v>0.16209097755083149</v>
      </c>
      <c r="AL268" s="21">
        <f t="shared" si="99"/>
        <v>6.0156078762215293E-2</v>
      </c>
      <c r="AO268" s="38">
        <f t="shared" si="90"/>
        <v>46287</v>
      </c>
      <c r="AP268" s="17">
        <f>Tabla2[[#This Row],[Web + APP 2025]]+Tabla2[[#This Row],[Afiliados 2025]]+Tabla2[[#This Row],[TMK 2025]]+Tabla2[[#This Row],[WA 2025]]+Tabla2[[#This Row],[Ent. en Tienda 2025]]</f>
        <v>4029051.7931034481</v>
      </c>
      <c r="AQ268" s="17">
        <f>Tabla2[[#This Row],[Meli Drop 2025]]+Tabla2[[#This Row],[Meli Full 2025]]+Tabla2[[#This Row],[Amazon Drop 2025]]+Tabla2[[#This Row],[Amazon Full 2025]]+Tabla2[[#This Row],[TikTok 2025]]+Tabla2[[#This Row],[Shein 2025]]</f>
        <v>190476.00862068965</v>
      </c>
      <c r="AR268" s="17">
        <f>Tabla2[[#This Row],[Web + APP 2026]]+Tabla2[[#This Row],[Afiliados 2026]]+Tabla2[[#This Row],[TMK 2026]]+Tabla2[[#This Row],[WA 2026]]+Tabla2[[#This Row],[Ent. en Tienda 2026]]</f>
        <v>4485454</v>
      </c>
      <c r="AS268" s="17">
        <f>Tabla2[[#This Row],[Meli Drop 2026]]+Tabla2[[#This Row],[Meli Full 2026]]+Tabla2[[#This Row],[Amazon Drop 2026]]+Tabla2[[#This Row],[Amazon Full 2026]]+Tabla2[[#This Row],[TikTok 2026]]+Tabla2[[#This Row],[Shein 2026]]</f>
        <v>697606</v>
      </c>
      <c r="AT268" s="18">
        <f t="shared" si="91"/>
        <v>0.11327782077107518</v>
      </c>
      <c r="AU268" s="18">
        <f t="shared" si="92"/>
        <v>2.6624349966782406</v>
      </c>
      <c r="AV268" s="49">
        <f t="shared" si="93"/>
        <v>5742753.9171086904</v>
      </c>
      <c r="AW268" s="49">
        <f t="shared" si="94"/>
        <v>1199031.4941028</v>
      </c>
      <c r="AX268" s="39">
        <f t="shared" si="95"/>
        <v>0.78106324330510324</v>
      </c>
      <c r="AY268" s="39">
        <f t="shared" si="96"/>
        <v>0.58180790365477264</v>
      </c>
      <c r="AZ268" s="39">
        <f t="shared" si="97"/>
        <v>0.74664653154345273</v>
      </c>
      <c r="BA268" s="18">
        <v>3.6992484488507102E-2</v>
      </c>
      <c r="BB268" s="20">
        <v>2.6313557622999299E-2</v>
      </c>
      <c r="BC268" s="17">
        <f t="shared" ref="BC268:BC274" si="111">+AR268-AV268</f>
        <v>-1257299.9171086904</v>
      </c>
      <c r="BD268" s="17">
        <f t="shared" ref="BD268:BD274" si="112">+AS268-AW268</f>
        <v>-501425.49410280003</v>
      </c>
      <c r="BE268" s="17">
        <f t="shared" ref="BE268:BE274" si="113">AR268-AP268</f>
        <v>456402.20689655188</v>
      </c>
      <c r="BF268" s="17">
        <f t="shared" ref="BF268:BF274" si="114">AS268-AQ268</f>
        <v>507129.99137931038</v>
      </c>
    </row>
    <row r="269" spans="1:58" ht="14.25" customHeight="1" x14ac:dyDescent="0.35">
      <c r="A269" s="19">
        <v>45924</v>
      </c>
      <c r="B269" s="17">
        <v>34413776</v>
      </c>
      <c r="C269" s="17">
        <f t="shared" si="104"/>
        <v>5032986.7241379311</v>
      </c>
      <c r="D269" s="18">
        <f>+Tabla22[[#This Row],[Share diario]]</f>
        <v>3.6598939771722044E-2</v>
      </c>
      <c r="E269" s="17">
        <f>+Tabla22[[#This Row],[Global 2026]]</f>
        <v>34275787</v>
      </c>
      <c r="F269" s="19">
        <v>46288</v>
      </c>
      <c r="G269" s="17">
        <f t="shared" si="105"/>
        <v>5513156.1922506103</v>
      </c>
      <c r="H269" s="17">
        <v>5243987.3870758396</v>
      </c>
      <c r="I269" s="17">
        <v>269168.805174771</v>
      </c>
      <c r="J269" s="17">
        <v>3568039</v>
      </c>
      <c r="K269" s="17">
        <f>+Tabla22[[#This Row],[Web + APP 2026]]</f>
        <v>3978542</v>
      </c>
      <c r="L269" s="17">
        <v>27351.724137931</v>
      </c>
      <c r="M269" s="17">
        <f>+Tabla22[[#This Row],[Afiliados 2026]]</f>
        <v>36165</v>
      </c>
      <c r="N269" s="17">
        <v>49010</v>
      </c>
      <c r="O269" s="17">
        <f>+Tabla22[[#This Row],[TMK 2026]]</f>
        <v>24340</v>
      </c>
      <c r="P269" s="17">
        <v>1023</v>
      </c>
      <c r="Q269" s="17">
        <f>+Tabla22[[#This Row],[WA 2026]]</f>
        <v>3228</v>
      </c>
      <c r="R269" s="17">
        <v>128430</v>
      </c>
      <c r="S269" s="17">
        <f>+Tabla22[[#This Row],[Ent. en Tienda 2026]]</f>
        <v>149484</v>
      </c>
      <c r="T269" s="17">
        <v>1012262</v>
      </c>
      <c r="U269" s="17">
        <f>+Tabla22[[#This Row],[Meli Drop 2026]]</f>
        <v>441246</v>
      </c>
      <c r="V269" s="17">
        <v>207202</v>
      </c>
      <c r="W269" s="17">
        <f>+Tabla22[[#This Row],[Meli Full 2026]]</f>
        <v>228040</v>
      </c>
      <c r="X269" s="17">
        <v>31837</v>
      </c>
      <c r="Y269" s="17">
        <f>+Tabla22[[#This Row],[Amazon Drop 2026]]</f>
        <v>41186</v>
      </c>
      <c r="Z269" s="17">
        <v>7832</v>
      </c>
      <c r="AA269" s="17">
        <f>+Tabla22[[#This Row],[Amazon Full 2026]]</f>
        <v>3984</v>
      </c>
      <c r="AB269" s="17">
        <v>0</v>
      </c>
      <c r="AC269" s="17">
        <f>+Tabla22[[#This Row],[TikTok 2026]]</f>
        <v>13780</v>
      </c>
      <c r="AD269" s="17">
        <v>0</v>
      </c>
      <c r="AE269" s="17">
        <f>+Tabla22[[#This Row],[Shein 2026]]</f>
        <v>1809</v>
      </c>
      <c r="AF269" s="17">
        <f t="shared" si="106"/>
        <v>4921804</v>
      </c>
      <c r="AG269" s="18">
        <f t="shared" si="107"/>
        <v>0.89273799405831722</v>
      </c>
      <c r="AH269" s="17">
        <f t="shared" si="108"/>
        <v>-591352.19225061033</v>
      </c>
      <c r="AI269" s="20">
        <f t="shared" si="109"/>
        <v>-2.2090804174925593E-2</v>
      </c>
      <c r="AJ269" s="20">
        <f t="shared" si="98"/>
        <v>0.14624918591141906</v>
      </c>
      <c r="AK269" s="21">
        <f t="shared" si="110"/>
        <v>0.14359419376716281</v>
      </c>
      <c r="AL269" s="21">
        <f t="shared" si="99"/>
        <v>-4.0097023935995457E-3</v>
      </c>
      <c r="AO269" s="38">
        <f t="shared" si="90"/>
        <v>46288</v>
      </c>
      <c r="AP269" s="17">
        <f>Tabla2[[#This Row],[Web + APP 2025]]+Tabla2[[#This Row],[Afiliados 2025]]+Tabla2[[#This Row],[TMK 2025]]+Tabla2[[#This Row],[WA 2025]]+Tabla2[[#This Row],[Ent. en Tienda 2025]]</f>
        <v>3773853.7241379311</v>
      </c>
      <c r="AQ269" s="17">
        <f>Tabla2[[#This Row],[Meli Drop 2025]]+Tabla2[[#This Row],[Meli Full 2025]]+Tabla2[[#This Row],[Amazon Drop 2025]]+Tabla2[[#This Row],[Amazon Full 2025]]+Tabla2[[#This Row],[TikTok 2025]]+Tabla2[[#This Row],[Shein 2025]]</f>
        <v>1259133</v>
      </c>
      <c r="AR269" s="17">
        <f>Tabla2[[#This Row],[Web + APP 2026]]+Tabla2[[#This Row],[Afiliados 2026]]+Tabla2[[#This Row],[TMK 2026]]+Tabla2[[#This Row],[WA 2026]]+Tabla2[[#This Row],[Ent. en Tienda 2026]]</f>
        <v>4191759</v>
      </c>
      <c r="AS269" s="17">
        <f>Tabla2[[#This Row],[Meli Drop 2026]]+Tabla2[[#This Row],[Meli Full 2026]]+Tabla2[[#This Row],[Amazon Drop 2026]]+Tabla2[[#This Row],[Amazon Full 2026]]+Tabla2[[#This Row],[TikTok 2026]]+Tabla2[[#This Row],[Shein 2026]]</f>
        <v>730045</v>
      </c>
      <c r="AT269" s="18">
        <f t="shared" si="91"/>
        <v>0.11073700954255505</v>
      </c>
      <c r="AU269" s="18">
        <f t="shared" si="92"/>
        <v>-0.4202002489014266</v>
      </c>
      <c r="AV269" s="49">
        <f t="shared" si="93"/>
        <v>5243987.3870758396</v>
      </c>
      <c r="AW269" s="49">
        <f t="shared" si="94"/>
        <v>269168.805174771</v>
      </c>
      <c r="AX269" s="39">
        <f t="shared" si="95"/>
        <v>0.79934574410511983</v>
      </c>
      <c r="AY269" s="39">
        <f t="shared" si="96"/>
        <v>2.7122199376929381</v>
      </c>
      <c r="AZ269" s="39">
        <f t="shared" si="97"/>
        <v>0.89273799405831722</v>
      </c>
      <c r="BA269" s="18">
        <v>3.6992484488507102E-2</v>
      </c>
      <c r="BB269" s="20">
        <v>2.6313557622999299E-2</v>
      </c>
      <c r="BC269" s="17">
        <f t="shared" si="111"/>
        <v>-1052228.3870758396</v>
      </c>
      <c r="BD269" s="17">
        <f t="shared" si="112"/>
        <v>460876.194825229</v>
      </c>
      <c r="BE269" s="17">
        <f t="shared" si="113"/>
        <v>417905.27586206887</v>
      </c>
      <c r="BF269" s="17">
        <f t="shared" si="114"/>
        <v>-529088</v>
      </c>
    </row>
    <row r="270" spans="1:58" ht="14.25" customHeight="1" x14ac:dyDescent="0.35">
      <c r="A270" s="16">
        <v>45925</v>
      </c>
      <c r="B270" s="17">
        <v>37280200</v>
      </c>
      <c r="C270" s="17">
        <f t="shared" si="104"/>
        <v>3965561.3103448274</v>
      </c>
      <c r="D270" s="18">
        <f>+Tabla22[[#This Row],[Share diario]]</f>
        <v>4.3654642567666969E-2</v>
      </c>
      <c r="E270" s="17">
        <f>+Tabla22[[#This Row],[Global 2026]]</f>
        <v>39541570</v>
      </c>
      <c r="F270" s="19">
        <v>46289</v>
      </c>
      <c r="G270" s="17">
        <f t="shared" si="105"/>
        <v>5242448.90920828</v>
      </c>
      <c r="H270" s="17">
        <v>4215496.8832882997</v>
      </c>
      <c r="I270" s="17">
        <v>1026952.02591998</v>
      </c>
      <c r="J270" s="17">
        <v>3032045</v>
      </c>
      <c r="K270" s="17">
        <f>+Tabla22[[#This Row],[Web + APP 2026]]</f>
        <v>3234339</v>
      </c>
      <c r="L270" s="17">
        <v>32489.655172413801</v>
      </c>
      <c r="M270" s="17">
        <f>+Tabla22[[#This Row],[Afiliados 2026]]</f>
        <v>37435</v>
      </c>
      <c r="N270" s="17">
        <v>32271</v>
      </c>
      <c r="O270" s="17">
        <f>+Tabla22[[#This Row],[TMK 2026]]</f>
        <v>58016</v>
      </c>
      <c r="P270" s="17">
        <v>854</v>
      </c>
      <c r="Q270" s="17">
        <f>+Tabla22[[#This Row],[WA 2026]]</f>
        <v>6453</v>
      </c>
      <c r="R270" s="17">
        <v>141184</v>
      </c>
      <c r="S270" s="17">
        <f>+Tabla22[[#This Row],[Ent. en Tienda 2026]]</f>
        <v>128367</v>
      </c>
      <c r="T270" s="17">
        <v>537518</v>
      </c>
      <c r="U270" s="17">
        <f>+Tabla22[[#This Row],[Meli Drop 2026]]</f>
        <v>455726</v>
      </c>
      <c r="V270" s="17">
        <v>147100</v>
      </c>
      <c r="W270" s="17">
        <f>+Tabla22[[#This Row],[Meli Full 2026]]</f>
        <v>249212</v>
      </c>
      <c r="X270" s="17">
        <v>28015</v>
      </c>
      <c r="Y270" s="17">
        <f>+Tabla22[[#This Row],[Amazon Drop 2026]]</f>
        <v>37432</v>
      </c>
      <c r="Z270" s="17">
        <v>5570</v>
      </c>
      <c r="AA270" s="17">
        <f>+Tabla22[[#This Row],[Amazon Full 2026]]</f>
        <v>3326</v>
      </c>
      <c r="AB270" s="17">
        <v>8514.6551724137898</v>
      </c>
      <c r="AC270" s="17">
        <f>+Tabla22[[#This Row],[TikTok 2026]]</f>
        <v>13556</v>
      </c>
      <c r="AD270" s="17">
        <v>0</v>
      </c>
      <c r="AE270" s="17">
        <f>+Tabla22[[#This Row],[Shein 2026]]</f>
        <v>2368</v>
      </c>
      <c r="AF270" s="17">
        <f t="shared" si="106"/>
        <v>4226230</v>
      </c>
      <c r="AG270" s="18">
        <f t="shared" si="107"/>
        <v>0.8061556866251367</v>
      </c>
      <c r="AH270" s="17">
        <f t="shared" si="108"/>
        <v>-1016218.90920828</v>
      </c>
      <c r="AI270" s="20">
        <f t="shared" si="109"/>
        <v>6.5733112983318298E-2</v>
      </c>
      <c r="AJ270" s="20">
        <f t="shared" si="98"/>
        <v>0.1063717820812342</v>
      </c>
      <c r="AK270" s="21">
        <f t="shared" si="110"/>
        <v>0.10688068278523083</v>
      </c>
      <c r="AL270" s="21">
        <f t="shared" si="99"/>
        <v>6.0658741101174307E-2</v>
      </c>
      <c r="AO270" s="38">
        <f t="shared" si="90"/>
        <v>46289</v>
      </c>
      <c r="AP270" s="17">
        <f>Tabla2[[#This Row],[Web + APP 2025]]+Tabla2[[#This Row],[Afiliados 2025]]+Tabla2[[#This Row],[TMK 2025]]+Tabla2[[#This Row],[WA 2025]]+Tabla2[[#This Row],[Ent. en Tienda 2025]]</f>
        <v>3238843.6551724137</v>
      </c>
      <c r="AQ270" s="17">
        <f>Tabla2[[#This Row],[Meli Drop 2025]]+Tabla2[[#This Row],[Meli Full 2025]]+Tabla2[[#This Row],[Amazon Drop 2025]]+Tabla2[[#This Row],[Amazon Full 2025]]+Tabla2[[#This Row],[TikTok 2025]]+Tabla2[[#This Row],[Shein 2025]]</f>
        <v>726717.6551724138</v>
      </c>
      <c r="AR270" s="17">
        <f>Tabla2[[#This Row],[Web + APP 2026]]+Tabla2[[#This Row],[Afiliados 2026]]+Tabla2[[#This Row],[TMK 2026]]+Tabla2[[#This Row],[WA 2026]]+Tabla2[[#This Row],[Ent. en Tienda 2026]]</f>
        <v>3464610</v>
      </c>
      <c r="AS270" s="17">
        <f>Tabla2[[#This Row],[Meli Drop 2026]]+Tabla2[[#This Row],[Meli Full 2026]]+Tabla2[[#This Row],[Amazon Drop 2026]]+Tabla2[[#This Row],[Amazon Full 2026]]+Tabla2[[#This Row],[TikTok 2026]]+Tabla2[[#This Row],[Shein 2026]]</f>
        <v>761620</v>
      </c>
      <c r="AT270" s="18">
        <f t="shared" si="91"/>
        <v>6.9705848402728199E-2</v>
      </c>
      <c r="AU270" s="18">
        <f t="shared" si="92"/>
        <v>4.8027379793470937E-2</v>
      </c>
      <c r="AV270" s="49">
        <f t="shared" si="93"/>
        <v>4215496.8832882997</v>
      </c>
      <c r="AW270" s="49">
        <f t="shared" si="94"/>
        <v>1026952.02591998</v>
      </c>
      <c r="AX270" s="39">
        <f t="shared" si="95"/>
        <v>0.82187464394409182</v>
      </c>
      <c r="AY270" s="39">
        <f t="shared" si="96"/>
        <v>0.74163152783861919</v>
      </c>
      <c r="AZ270" s="39">
        <f t="shared" si="97"/>
        <v>0.8061556866251367</v>
      </c>
      <c r="BA270" s="18">
        <v>3.6992484488507102E-2</v>
      </c>
      <c r="BB270" s="20">
        <v>2.6313557622999299E-2</v>
      </c>
      <c r="BC270" s="17">
        <f t="shared" si="111"/>
        <v>-750886.88328829966</v>
      </c>
      <c r="BD270" s="17">
        <f t="shared" si="112"/>
        <v>-265332.02591998002</v>
      </c>
      <c r="BE270" s="17">
        <f t="shared" si="113"/>
        <v>225766.34482758632</v>
      </c>
      <c r="BF270" s="17">
        <f t="shared" si="114"/>
        <v>34902.344827586203</v>
      </c>
    </row>
    <row r="271" spans="1:58" ht="14.25" customHeight="1" x14ac:dyDescent="0.35">
      <c r="A271" s="19">
        <v>45926</v>
      </c>
      <c r="B271" s="17">
        <v>42246323</v>
      </c>
      <c r="C271" s="17">
        <f t="shared" si="104"/>
        <v>3168255.7586206896</v>
      </c>
      <c r="D271" s="18">
        <f>+Tabla22[[#This Row],[Share diario]]</f>
        <v>3.4396109322725132E-2</v>
      </c>
      <c r="E271" s="17">
        <f>+Tabla22[[#This Row],[Global 2026]]</f>
        <v>43436352</v>
      </c>
      <c r="F271" s="19">
        <v>46290</v>
      </c>
      <c r="G271" s="17">
        <f t="shared" si="105"/>
        <v>4970929.575501441</v>
      </c>
      <c r="H271" s="17">
        <v>4134718.76641089</v>
      </c>
      <c r="I271" s="17">
        <v>836210.80909055099</v>
      </c>
      <c r="J271" s="17">
        <v>2325415</v>
      </c>
      <c r="K271" s="17">
        <f>+Tabla22[[#This Row],[Web + APP 2026]]</f>
        <v>2520346</v>
      </c>
      <c r="L271" s="17">
        <v>32150.8620689655</v>
      </c>
      <c r="M271" s="17">
        <f>+Tabla22[[#This Row],[Afiliados 2026]]</f>
        <v>38602</v>
      </c>
      <c r="N271" s="17">
        <v>53906</v>
      </c>
      <c r="O271" s="17">
        <f>+Tabla22[[#This Row],[TMK 2026]]</f>
        <v>31954</v>
      </c>
      <c r="P271" s="17">
        <v>1765</v>
      </c>
      <c r="Q271" s="17">
        <f>+Tabla22[[#This Row],[WA 2026]]</f>
        <v>6862</v>
      </c>
      <c r="R271" s="17">
        <v>83502</v>
      </c>
      <c r="S271" s="17">
        <f>+Tabla22[[#This Row],[Ent. en Tienda 2026]]</f>
        <v>159606</v>
      </c>
      <c r="T271" s="17">
        <v>491681</v>
      </c>
      <c r="U271" s="17">
        <f>+Tabla22[[#This Row],[Meli Drop 2026]]</f>
        <v>391280</v>
      </c>
      <c r="V271" s="17">
        <v>151968</v>
      </c>
      <c r="W271" s="17">
        <f>+Tabla22[[#This Row],[Meli Full 2026]]</f>
        <v>234119</v>
      </c>
      <c r="X271" s="17">
        <v>22504</v>
      </c>
      <c r="Y271" s="17">
        <f>+Tabla22[[#This Row],[Amazon Drop 2026]]</f>
        <v>17727</v>
      </c>
      <c r="Z271" s="17">
        <v>4607</v>
      </c>
      <c r="AA271" s="17">
        <f>+Tabla22[[#This Row],[Amazon Full 2026]]</f>
        <v>1869</v>
      </c>
      <c r="AB271" s="17">
        <v>756.89655172413802</v>
      </c>
      <c r="AC271" s="17">
        <f>+Tabla22[[#This Row],[TikTok 2026]]</f>
        <v>16945</v>
      </c>
      <c r="AD271" s="17">
        <v>0</v>
      </c>
      <c r="AE271" s="17">
        <f>+Tabla22[[#This Row],[Shein 2026]]</f>
        <v>1042</v>
      </c>
      <c r="AF271" s="17">
        <f t="shared" si="106"/>
        <v>3420352</v>
      </c>
      <c r="AG271" s="18">
        <f t="shared" si="107"/>
        <v>0.68807090264499937</v>
      </c>
      <c r="AH271" s="17">
        <f t="shared" si="108"/>
        <v>-1550577.575501441</v>
      </c>
      <c r="AI271" s="20">
        <f t="shared" si="109"/>
        <v>7.9569409980039474E-2</v>
      </c>
      <c r="AJ271" s="20">
        <f t="shared" si="98"/>
        <v>7.4994828748070924E-2</v>
      </c>
      <c r="AK271" s="21">
        <f t="shared" si="110"/>
        <v>7.8743997654314987E-2</v>
      </c>
      <c r="AL271" s="21">
        <f t="shared" si="99"/>
        <v>2.8168818384501693E-2</v>
      </c>
      <c r="AO271" s="38">
        <f t="shared" si="90"/>
        <v>46290</v>
      </c>
      <c r="AP271" s="17">
        <f>Tabla2[[#This Row],[Web + APP 2025]]+Tabla2[[#This Row],[Afiliados 2025]]+Tabla2[[#This Row],[TMK 2025]]+Tabla2[[#This Row],[WA 2025]]+Tabla2[[#This Row],[Ent. en Tienda 2025]]</f>
        <v>2496738.8620689656</v>
      </c>
      <c r="AQ271" s="17">
        <f>Tabla2[[#This Row],[Meli Drop 2025]]+Tabla2[[#This Row],[Meli Full 2025]]+Tabla2[[#This Row],[Amazon Drop 2025]]+Tabla2[[#This Row],[Amazon Full 2025]]+Tabla2[[#This Row],[TikTok 2025]]+Tabla2[[#This Row],[Shein 2025]]</f>
        <v>671516.89655172417</v>
      </c>
      <c r="AR271" s="17">
        <f>Tabla2[[#This Row],[Web + APP 2026]]+Tabla2[[#This Row],[Afiliados 2026]]+Tabla2[[#This Row],[TMK 2026]]+Tabla2[[#This Row],[WA 2026]]+Tabla2[[#This Row],[Ent. en Tienda 2026]]</f>
        <v>2757370</v>
      </c>
      <c r="AS271" s="17">
        <f>Tabla2[[#This Row],[Meli Drop 2026]]+Tabla2[[#This Row],[Meli Full 2026]]+Tabla2[[#This Row],[Amazon Drop 2026]]+Tabla2[[#This Row],[Amazon Full 2026]]+Tabla2[[#This Row],[TikTok 2026]]+Tabla2[[#This Row],[Shein 2026]]</f>
        <v>662982</v>
      </c>
      <c r="AT271" s="18">
        <f t="shared" si="91"/>
        <v>0.10438862545482941</v>
      </c>
      <c r="AU271" s="18">
        <f t="shared" si="92"/>
        <v>-1.2709876096270056E-2</v>
      </c>
      <c r="AV271" s="49">
        <f t="shared" si="93"/>
        <v>4134718.76641089</v>
      </c>
      <c r="AW271" s="49">
        <f t="shared" si="94"/>
        <v>836210.80909055099</v>
      </c>
      <c r="AX271" s="39">
        <f t="shared" si="95"/>
        <v>0.66688211599782232</v>
      </c>
      <c r="AY271" s="39">
        <f t="shared" si="96"/>
        <v>0.79284074397585014</v>
      </c>
      <c r="AZ271" s="39">
        <f t="shared" si="97"/>
        <v>0.68807090264499937</v>
      </c>
      <c r="BA271" s="18">
        <v>3.6992484488507102E-2</v>
      </c>
      <c r="BB271" s="20">
        <v>2.6313557622999299E-2</v>
      </c>
      <c r="BC271" s="17">
        <f t="shared" si="111"/>
        <v>-1377348.76641089</v>
      </c>
      <c r="BD271" s="17">
        <f t="shared" si="112"/>
        <v>-173228.80909055099</v>
      </c>
      <c r="BE271" s="17">
        <f t="shared" si="113"/>
        <v>260631.13793103443</v>
      </c>
      <c r="BF271" s="17">
        <f t="shared" si="114"/>
        <v>-8534.8965517241741</v>
      </c>
    </row>
    <row r="272" spans="1:58" ht="14.25" customHeight="1" x14ac:dyDescent="0.35">
      <c r="A272" s="16">
        <v>45927</v>
      </c>
      <c r="B272" s="17">
        <v>48917414</v>
      </c>
      <c r="C272" s="17">
        <f t="shared" si="104"/>
        <v>2774524.534482759</v>
      </c>
      <c r="D272" s="18">
        <f>+Tabla22[[#This Row],[Share diario]]</f>
        <v>2.7480516100353687E-2</v>
      </c>
      <c r="E272" s="17">
        <f>+Tabla22[[#This Row],[Global 2026]]</f>
        <v>51098491</v>
      </c>
      <c r="F272" s="19">
        <v>46291</v>
      </c>
      <c r="G272" s="17">
        <f t="shared" si="105"/>
        <v>3687250.413163099</v>
      </c>
      <c r="H272" s="17">
        <v>2723766.0260986299</v>
      </c>
      <c r="I272" s="17">
        <v>963484.38706446905</v>
      </c>
      <c r="J272" s="17">
        <v>1949302</v>
      </c>
      <c r="K272" s="17">
        <f>+Tabla22[[#This Row],[Web + APP 2026]]</f>
        <v>2395891</v>
      </c>
      <c r="L272" s="17">
        <v>33178.448275862102</v>
      </c>
      <c r="M272" s="17">
        <f>+Tabla22[[#This Row],[Afiliados 2026]]</f>
        <v>50172</v>
      </c>
      <c r="N272" s="17">
        <v>11242</v>
      </c>
      <c r="O272" s="17">
        <f>+Tabla22[[#This Row],[TMK 2026]]</f>
        <v>-1377</v>
      </c>
      <c r="P272" s="17">
        <v>4281</v>
      </c>
      <c r="Q272" s="17">
        <f>+Tabla22[[#This Row],[WA 2026]]</f>
        <v>1406</v>
      </c>
      <c r="R272" s="17">
        <v>94716</v>
      </c>
      <c r="S272" s="17">
        <f>+Tabla22[[#This Row],[Ent. en Tienda 2026]]</f>
        <v>123639</v>
      </c>
      <c r="T272" s="17">
        <v>515813</v>
      </c>
      <c r="U272" s="17">
        <f>+Tabla22[[#This Row],[Meli Drop 2026]]</f>
        <v>275259</v>
      </c>
      <c r="V272" s="17">
        <v>133564</v>
      </c>
      <c r="W272" s="17">
        <f>+Tabla22[[#This Row],[Meli Full 2026]]</f>
        <v>216106</v>
      </c>
      <c r="X272" s="17">
        <v>17092</v>
      </c>
      <c r="Y272" s="17">
        <f>+Tabla22[[#This Row],[Amazon Drop 2026]]</f>
        <v>13220</v>
      </c>
      <c r="Z272" s="17">
        <v>8878</v>
      </c>
      <c r="AA272" s="17">
        <f>+Tabla22[[#This Row],[Amazon Full 2026]]</f>
        <v>1521</v>
      </c>
      <c r="AB272" s="17">
        <v>6458.0862068965498</v>
      </c>
      <c r="AC272" s="17">
        <f>+Tabla22[[#This Row],[TikTok 2026]]</f>
        <v>4624</v>
      </c>
      <c r="AD272" s="17">
        <v>0</v>
      </c>
      <c r="AE272" s="17">
        <f>+Tabla22[[#This Row],[Shein 2026]]</f>
        <v>2712</v>
      </c>
      <c r="AF272" s="17">
        <f t="shared" si="106"/>
        <v>3083173</v>
      </c>
      <c r="AG272" s="18">
        <f t="shared" si="107"/>
        <v>0.83617130775642312</v>
      </c>
      <c r="AH272" s="17">
        <f t="shared" si="108"/>
        <v>-604077.41316309897</v>
      </c>
      <c r="AI272" s="20">
        <f t="shared" si="109"/>
        <v>0.1112437326400435</v>
      </c>
      <c r="AJ272" s="20">
        <f t="shared" si="98"/>
        <v>5.671854473915483E-2</v>
      </c>
      <c r="AK272" s="21">
        <f t="shared" si="110"/>
        <v>6.0337848332938052E-2</v>
      </c>
      <c r="AL272" s="21">
        <f t="shared" si="99"/>
        <v>4.4586923585126614E-2</v>
      </c>
      <c r="AO272" s="38">
        <f t="shared" si="90"/>
        <v>46291</v>
      </c>
      <c r="AP272" s="17">
        <f>Tabla2[[#This Row],[Web + APP 2025]]+Tabla2[[#This Row],[Afiliados 2025]]+Tabla2[[#This Row],[TMK 2025]]+Tabla2[[#This Row],[WA 2025]]+Tabla2[[#This Row],[Ent. en Tienda 2025]]</f>
        <v>2092719.448275862</v>
      </c>
      <c r="AQ272" s="17">
        <f>Tabla2[[#This Row],[Meli Drop 2025]]+Tabla2[[#This Row],[Meli Full 2025]]+Tabla2[[#This Row],[Amazon Drop 2025]]+Tabla2[[#This Row],[Amazon Full 2025]]+Tabla2[[#This Row],[TikTok 2025]]+Tabla2[[#This Row],[Shein 2025]]</f>
        <v>681805.08620689658</v>
      </c>
      <c r="AR272" s="17">
        <f>Tabla2[[#This Row],[Web + APP 2026]]+Tabla2[[#This Row],[Afiliados 2026]]+Tabla2[[#This Row],[TMK 2026]]+Tabla2[[#This Row],[WA 2026]]+Tabla2[[#This Row],[Ent. en Tienda 2026]]</f>
        <v>2569731</v>
      </c>
      <c r="AS272" s="17">
        <f>Tabla2[[#This Row],[Meli Drop 2026]]+Tabla2[[#This Row],[Meli Full 2026]]+Tabla2[[#This Row],[Amazon Drop 2026]]+Tabla2[[#This Row],[Amazon Full 2026]]+Tabla2[[#This Row],[TikTok 2026]]+Tabla2[[#This Row],[Shein 2026]]</f>
        <v>513442</v>
      </c>
      <c r="AT272" s="18">
        <f t="shared" si="91"/>
        <v>0.22793860501326901</v>
      </c>
      <c r="AU272" s="18">
        <f t="shared" si="92"/>
        <v>-0.24693726933536853</v>
      </c>
      <c r="AV272" s="49">
        <f t="shared" si="93"/>
        <v>2723766.0260986299</v>
      </c>
      <c r="AW272" s="49">
        <f t="shared" si="94"/>
        <v>963484.38706446905</v>
      </c>
      <c r="AX272" s="39">
        <f t="shared" si="95"/>
        <v>0.94344777612221664</v>
      </c>
      <c r="AY272" s="39">
        <f t="shared" si="96"/>
        <v>0.53290121448085737</v>
      </c>
      <c r="AZ272" s="39">
        <f t="shared" si="97"/>
        <v>0.83617130775642312</v>
      </c>
      <c r="BA272" s="18">
        <v>3.6992484488507102E-2</v>
      </c>
      <c r="BB272" s="20">
        <v>2.6313557622999299E-2</v>
      </c>
      <c r="BC272" s="17">
        <f t="shared" si="111"/>
        <v>-154035.02609862993</v>
      </c>
      <c r="BD272" s="17">
        <f t="shared" si="112"/>
        <v>-450042.38706446905</v>
      </c>
      <c r="BE272" s="17">
        <f t="shared" si="113"/>
        <v>477011.55172413797</v>
      </c>
      <c r="BF272" s="17">
        <f t="shared" si="114"/>
        <v>-168363.08620689658</v>
      </c>
    </row>
    <row r="273" spans="1:58" ht="14.25" customHeight="1" x14ac:dyDescent="0.35">
      <c r="A273" s="19">
        <v>45928</v>
      </c>
      <c r="B273" s="17">
        <v>50196219</v>
      </c>
      <c r="C273" s="17">
        <f t="shared" si="104"/>
        <v>3394169.7241379311</v>
      </c>
      <c r="D273" s="18">
        <f>+Tabla22[[#This Row],[Share diario]]</f>
        <v>2.4065407577408916E-2</v>
      </c>
      <c r="E273" s="17">
        <f>+Tabla22[[#This Row],[Global 2026]]</f>
        <v>49281359</v>
      </c>
      <c r="F273" s="19">
        <v>46292</v>
      </c>
      <c r="G273" s="17">
        <f t="shared" si="105"/>
        <v>4198560.7494607661</v>
      </c>
      <c r="H273" s="17">
        <v>3249614.9897906198</v>
      </c>
      <c r="I273" s="17">
        <v>948945.75967014604</v>
      </c>
      <c r="J273" s="17">
        <v>2625801</v>
      </c>
      <c r="K273" s="17">
        <f>+Tabla22[[#This Row],[Web + APP 2026]]</f>
        <v>2720888</v>
      </c>
      <c r="L273" s="17">
        <v>32585.344827586199</v>
      </c>
      <c r="M273" s="17">
        <f>+Tabla22[[#This Row],[Afiliados 2026]]</f>
        <v>46074</v>
      </c>
      <c r="N273" s="17">
        <v>-5250</v>
      </c>
      <c r="O273" s="17">
        <f>+Tabla22[[#This Row],[TMK 2026]]</f>
        <v>21115</v>
      </c>
      <c r="P273" s="17">
        <v>868</v>
      </c>
      <c r="Q273" s="17">
        <f>+Tabla22[[#This Row],[WA 2026]]</f>
        <v>1523</v>
      </c>
      <c r="R273" s="17">
        <v>97488</v>
      </c>
      <c r="S273" s="17">
        <f>+Tabla22[[#This Row],[Ent. en Tienda 2026]]</f>
        <v>56968</v>
      </c>
      <c r="T273" s="17">
        <v>448438</v>
      </c>
      <c r="U273" s="17">
        <f>+Tabla22[[#This Row],[Meli Drop 2026]]</f>
        <v>355928</v>
      </c>
      <c r="V273" s="17">
        <v>152669</v>
      </c>
      <c r="W273" s="17">
        <f>+Tabla22[[#This Row],[Meli Full 2026]]</f>
        <v>232846</v>
      </c>
      <c r="X273" s="17">
        <v>32751</v>
      </c>
      <c r="Y273" s="17">
        <f>+Tabla22[[#This Row],[Amazon Drop 2026]]</f>
        <v>33802</v>
      </c>
      <c r="Z273" s="17">
        <v>8303</v>
      </c>
      <c r="AA273" s="17">
        <f>+Tabla22[[#This Row],[Amazon Full 2026]]</f>
        <v>2191</v>
      </c>
      <c r="AB273" s="17">
        <v>516.37931034482801</v>
      </c>
      <c r="AC273" s="17">
        <f>+Tabla22[[#This Row],[TikTok 2026]]</f>
        <v>15640</v>
      </c>
      <c r="AD273" s="17">
        <v>0</v>
      </c>
      <c r="AE273" s="17">
        <f>+Tabla22[[#This Row],[Shein 2026]]</f>
        <v>0</v>
      </c>
      <c r="AF273" s="17">
        <f t="shared" si="106"/>
        <v>3486975</v>
      </c>
      <c r="AG273" s="18">
        <f t="shared" si="107"/>
        <v>0.83051674325489822</v>
      </c>
      <c r="AH273" s="17">
        <f t="shared" si="108"/>
        <v>-711585.74946076609</v>
      </c>
      <c r="AI273" s="20">
        <f t="shared" si="109"/>
        <v>2.7342556031325183E-2</v>
      </c>
      <c r="AJ273" s="20">
        <f t="shared" si="98"/>
        <v>6.7618035616147321E-2</v>
      </c>
      <c r="AK273" s="21">
        <f t="shared" si="110"/>
        <v>7.0756470007249592E-2</v>
      </c>
      <c r="AL273" s="21">
        <f t="shared" si="99"/>
        <v>-1.8225675523489082E-2</v>
      </c>
      <c r="AO273" s="38">
        <f t="shared" si="90"/>
        <v>46292</v>
      </c>
      <c r="AP273" s="17">
        <f>Tabla2[[#This Row],[Web + APP 2025]]+Tabla2[[#This Row],[Afiliados 2025]]+Tabla2[[#This Row],[TMK 2025]]+Tabla2[[#This Row],[WA 2025]]+Tabla2[[#This Row],[Ent. en Tienda 2025]]</f>
        <v>2751492.3448275863</v>
      </c>
      <c r="AQ273" s="17">
        <f>Tabla2[[#This Row],[Meli Drop 2025]]+Tabla2[[#This Row],[Meli Full 2025]]+Tabla2[[#This Row],[Amazon Drop 2025]]+Tabla2[[#This Row],[Amazon Full 2025]]+Tabla2[[#This Row],[TikTok 2025]]+Tabla2[[#This Row],[Shein 2025]]</f>
        <v>642677.37931034481</v>
      </c>
      <c r="AR273" s="17">
        <f>Tabla2[[#This Row],[Web + APP 2026]]+Tabla2[[#This Row],[Afiliados 2026]]+Tabla2[[#This Row],[TMK 2026]]+Tabla2[[#This Row],[WA 2026]]+Tabla2[[#This Row],[Ent. en Tienda 2026]]</f>
        <v>2846568</v>
      </c>
      <c r="AS273" s="17">
        <f>Tabla2[[#This Row],[Meli Drop 2026]]+Tabla2[[#This Row],[Meli Full 2026]]+Tabla2[[#This Row],[Amazon Drop 2026]]+Tabla2[[#This Row],[Amazon Full 2026]]+Tabla2[[#This Row],[TikTok 2026]]+Tabla2[[#This Row],[Shein 2026]]</f>
        <v>640407</v>
      </c>
      <c r="AT273" s="18">
        <f t="shared" si="91"/>
        <v>3.4554213952709079E-2</v>
      </c>
      <c r="AU273" s="18">
        <f t="shared" si="92"/>
        <v>-3.5326890029662161E-3</v>
      </c>
      <c r="AV273" s="49">
        <f t="shared" si="93"/>
        <v>3249614.9897906198</v>
      </c>
      <c r="AW273" s="49">
        <f t="shared" si="94"/>
        <v>948945.75967014604</v>
      </c>
      <c r="AX273" s="39">
        <f t="shared" si="95"/>
        <v>0.87597084852917018</v>
      </c>
      <c r="AY273" s="39">
        <f t="shared" si="96"/>
        <v>0.67486154342752502</v>
      </c>
      <c r="AZ273" s="39">
        <f t="shared" si="97"/>
        <v>0.83051674325489822</v>
      </c>
      <c r="BA273" s="18">
        <v>3.6992484488507102E-2</v>
      </c>
      <c r="BB273" s="20">
        <v>2.6313557622999299E-2</v>
      </c>
      <c r="BC273" s="17">
        <f t="shared" si="111"/>
        <v>-403046.98979061982</v>
      </c>
      <c r="BD273" s="17">
        <f t="shared" si="112"/>
        <v>-308538.75967014604</v>
      </c>
      <c r="BE273" s="17">
        <f t="shared" si="113"/>
        <v>95075.655172413681</v>
      </c>
      <c r="BF273" s="17">
        <f t="shared" si="114"/>
        <v>-2270.3793103448115</v>
      </c>
    </row>
    <row r="274" spans="1:58" ht="14.25" customHeight="1" x14ac:dyDescent="0.35">
      <c r="A274" s="16">
        <v>45929</v>
      </c>
      <c r="B274" s="17">
        <v>28392462</v>
      </c>
      <c r="C274" s="17">
        <f t="shared" si="104"/>
        <v>4420598</v>
      </c>
      <c r="D274" s="18">
        <f>+Tabla22[[#This Row],[Share diario]]</f>
        <v>2.9440027212990022E-2</v>
      </c>
      <c r="E274" s="17">
        <f>+Tabla22[[#This Row],[Global 2026]]</f>
        <v>28250956</v>
      </c>
      <c r="F274" s="19">
        <v>46293</v>
      </c>
      <c r="G274" s="17">
        <f t="shared" si="105"/>
        <v>5847755.3289961405</v>
      </c>
      <c r="H274" s="17">
        <v>4655469.1791051803</v>
      </c>
      <c r="I274" s="17">
        <v>1192286.14989096</v>
      </c>
      <c r="J274" s="17">
        <v>3385820</v>
      </c>
      <c r="K274" s="17">
        <f>+Tabla22[[#This Row],[Web + APP 2026]]</f>
        <v>3993936</v>
      </c>
      <c r="L274" s="17">
        <v>30803.448275862102</v>
      </c>
      <c r="M274" s="17">
        <f>+Tabla22[[#This Row],[Afiliados 2026]]</f>
        <v>35279</v>
      </c>
      <c r="N274" s="17">
        <v>62947</v>
      </c>
      <c r="O274" s="17">
        <f>+Tabla22[[#This Row],[TMK 2026]]</f>
        <v>4752</v>
      </c>
      <c r="P274" s="17">
        <v>3822</v>
      </c>
      <c r="Q274" s="17">
        <f>+Tabla22[[#This Row],[WA 2026]]</f>
        <v>3691</v>
      </c>
      <c r="R274" s="17">
        <v>93490</v>
      </c>
      <c r="S274" s="17">
        <f>+Tabla22[[#This Row],[Ent. en Tienda 2026]]</f>
        <v>127676</v>
      </c>
      <c r="T274" s="17">
        <v>662792</v>
      </c>
      <c r="U274" s="17">
        <f>+Tabla22[[#This Row],[Meli Drop 2026]]</f>
        <v>347151</v>
      </c>
      <c r="V274" s="17">
        <v>132803</v>
      </c>
      <c r="W274" s="17">
        <f>+Tabla22[[#This Row],[Meli Full 2026]]</f>
        <v>297484</v>
      </c>
      <c r="X274" s="17">
        <v>35780</v>
      </c>
      <c r="Y274" s="17">
        <f>+Tabla22[[#This Row],[Amazon Drop 2026]]</f>
        <v>20256</v>
      </c>
      <c r="Z274" s="17">
        <v>6759</v>
      </c>
      <c r="AA274" s="17">
        <f>+Tabla22[[#This Row],[Amazon Full 2026]]</f>
        <v>3267</v>
      </c>
      <c r="AB274" s="17">
        <v>5581.5517241379303</v>
      </c>
      <c r="AC274" s="17">
        <f>+Tabla22[[#This Row],[TikTok 2026]]</f>
        <v>8346</v>
      </c>
      <c r="AD274" s="17">
        <v>0</v>
      </c>
      <c r="AE274" s="17">
        <f>+Tabla22[[#This Row],[Shein 2026]]</f>
        <v>4221</v>
      </c>
      <c r="AF274" s="17">
        <f t="shared" si="106"/>
        <v>4846059</v>
      </c>
      <c r="AG274" s="18">
        <f t="shared" si="107"/>
        <v>0.82870413130501175</v>
      </c>
      <c r="AH274" s="17">
        <f t="shared" si="108"/>
        <v>-1001696.3289961405</v>
      </c>
      <c r="AI274" s="20">
        <f t="shared" si="109"/>
        <v>9.6245123397332266E-2</v>
      </c>
      <c r="AJ274" s="20">
        <f t="shared" si="98"/>
        <v>0.15569618443092395</v>
      </c>
      <c r="AK274" s="21">
        <f t="shared" si="110"/>
        <v>0.17153610660113591</v>
      </c>
      <c r="AL274" s="21">
        <f t="shared" si="99"/>
        <v>-4.9839284807354778E-3</v>
      </c>
      <c r="AO274" s="38">
        <f t="shared" si="90"/>
        <v>46293</v>
      </c>
      <c r="AP274" s="17">
        <f>Tabla2[[#This Row],[Web + APP 2025]]+Tabla2[[#This Row],[Afiliados 2025]]+Tabla2[[#This Row],[TMK 2025]]+Tabla2[[#This Row],[WA 2025]]+Tabla2[[#This Row],[Ent. en Tienda 2025]]</f>
        <v>3576882.4482758623</v>
      </c>
      <c r="AQ274" s="17">
        <f>Tabla2[[#This Row],[Meli Drop 2025]]+Tabla2[[#This Row],[Meli Full 2025]]+Tabla2[[#This Row],[Amazon Drop 2025]]+Tabla2[[#This Row],[Amazon Full 2025]]+Tabla2[[#This Row],[TikTok 2025]]+Tabla2[[#This Row],[Shein 2025]]</f>
        <v>843715.55172413797</v>
      </c>
      <c r="AR274" s="17">
        <f>Tabla2[[#This Row],[Web + APP 2026]]+Tabla2[[#This Row],[Afiliados 2026]]+Tabla2[[#This Row],[TMK 2026]]+Tabla2[[#This Row],[WA 2026]]+Tabla2[[#This Row],[Ent. en Tienda 2026]]</f>
        <v>4165334</v>
      </c>
      <c r="AS274" s="17">
        <f>Tabla2[[#This Row],[Meli Drop 2026]]+Tabla2[[#This Row],[Meli Full 2026]]+Tabla2[[#This Row],[Amazon Drop 2026]]+Tabla2[[#This Row],[Amazon Full 2026]]+Tabla2[[#This Row],[TikTok 2026]]+Tabla2[[#This Row],[Shein 2026]]</f>
        <v>680725</v>
      </c>
      <c r="AT274" s="18">
        <f t="shared" si="91"/>
        <v>0.16451520569477607</v>
      </c>
      <c r="AU274" s="18">
        <f t="shared" si="92"/>
        <v>-0.19318187437823775</v>
      </c>
      <c r="AV274" s="49">
        <f t="shared" si="93"/>
        <v>4655469.1791051803</v>
      </c>
      <c r="AW274" s="49">
        <f t="shared" si="94"/>
        <v>1192286.14989096</v>
      </c>
      <c r="AX274" s="39">
        <f t="shared" si="95"/>
        <v>0.89471841392377371</v>
      </c>
      <c r="AY274" s="39">
        <f t="shared" si="96"/>
        <v>0.57094096082744517</v>
      </c>
      <c r="AZ274" s="39">
        <f t="shared" si="97"/>
        <v>0.82870413130501175</v>
      </c>
      <c r="BA274" s="18">
        <v>3.6992484488507102E-2</v>
      </c>
      <c r="BB274" s="20">
        <v>2.6313557622999299E-2</v>
      </c>
      <c r="BC274" s="17">
        <f t="shared" si="111"/>
        <v>-490135.17910518032</v>
      </c>
      <c r="BD274" s="17">
        <f t="shared" si="112"/>
        <v>-511561.14989095996</v>
      </c>
      <c r="BE274" s="17">
        <f t="shared" si="113"/>
        <v>588451.55172413774</v>
      </c>
      <c r="BF274" s="17">
        <f t="shared" si="114"/>
        <v>-162990.55172413797</v>
      </c>
    </row>
    <row r="275" spans="1:58" ht="14.25" customHeight="1" x14ac:dyDescent="0.35">
      <c r="A275" s="19">
        <v>45930</v>
      </c>
      <c r="B275" s="17">
        <v>31463170</v>
      </c>
      <c r="C275" s="17">
        <f t="shared" si="104"/>
        <v>5055471.2327586217</v>
      </c>
      <c r="D275" s="18">
        <f>+Tabla22[[#This Row],[Share diario]]</f>
        <v>3.834296337397905E-2</v>
      </c>
      <c r="E275" s="17">
        <f>+Tabla22[[#This Row],[Global 2026]]</f>
        <v>28894817</v>
      </c>
      <c r="F275" s="19">
        <v>46294</v>
      </c>
      <c r="G275" s="17">
        <f t="shared" si="105"/>
        <v>6675436.1487542298</v>
      </c>
      <c r="H275" s="17">
        <v>5465858.3723724801</v>
      </c>
      <c r="I275" s="17">
        <v>1209577.7763817499</v>
      </c>
      <c r="J275" s="17">
        <v>4032670</v>
      </c>
      <c r="K275" s="17">
        <f>+Tabla22[[#This Row],[Web + APP 2026]]</f>
        <v>4698947</v>
      </c>
      <c r="L275" s="17">
        <v>36310.344827586203</v>
      </c>
      <c r="M275" s="17">
        <f>+Tabla22[[#This Row],[Afiliados 2026]]</f>
        <v>40798</v>
      </c>
      <c r="N275" s="17">
        <v>32319</v>
      </c>
      <c r="O275" s="17">
        <f>+Tabla22[[#This Row],[TMK 2026]]</f>
        <v>22091</v>
      </c>
      <c r="P275" s="17">
        <v>5531</v>
      </c>
      <c r="Q275" s="17">
        <f>+Tabla22[[#This Row],[WA 2026]]</f>
        <v>9017</v>
      </c>
      <c r="R275" s="17">
        <v>92689</v>
      </c>
      <c r="S275" s="17">
        <f>+Tabla22[[#This Row],[Ent. en Tienda 2026]]</f>
        <v>186089</v>
      </c>
      <c r="T275" s="17">
        <v>711212</v>
      </c>
      <c r="U275" s="17">
        <f>+Tabla22[[#This Row],[Meli Drop 2026]]</f>
        <v>362290</v>
      </c>
      <c r="V275" s="17">
        <v>102182</v>
      </c>
      <c r="W275" s="17">
        <f>+Tabla22[[#This Row],[Meli Full 2026]]</f>
        <v>296251</v>
      </c>
      <c r="X275" s="17">
        <v>36207</v>
      </c>
      <c r="Y275" s="17">
        <f>+Tabla22[[#This Row],[Amazon Drop 2026]]</f>
        <v>29431</v>
      </c>
      <c r="Z275" s="17">
        <v>5283</v>
      </c>
      <c r="AA275" s="17">
        <f>+Tabla22[[#This Row],[Amazon Full 2026]]</f>
        <v>1005</v>
      </c>
      <c r="AB275" s="17">
        <v>1067.8879310344801</v>
      </c>
      <c r="AC275" s="17">
        <f>+Tabla22[[#This Row],[TikTok 2026]]</f>
        <v>7011</v>
      </c>
      <c r="AD275" s="17">
        <v>0</v>
      </c>
      <c r="AE275" s="17">
        <f>+Tabla22[[#This Row],[Shein 2026]]</f>
        <v>1334</v>
      </c>
      <c r="AF275" s="17">
        <f t="shared" si="106"/>
        <v>5654264</v>
      </c>
      <c r="AG275" s="18">
        <f t="shared" si="107"/>
        <v>0.84702540388393932</v>
      </c>
      <c r="AH275" s="17">
        <f t="shared" si="108"/>
        <v>-1021172.1487542298</v>
      </c>
      <c r="AI275" s="20">
        <f t="shared" si="109"/>
        <v>0.11844450095201808</v>
      </c>
      <c r="AJ275" s="20">
        <f t="shared" si="98"/>
        <v>0.1606790171733688</v>
      </c>
      <c r="AK275" s="21">
        <f t="shared" si="110"/>
        <v>0.19568436789199944</v>
      </c>
      <c r="AL275" s="21">
        <f t="shared" si="99"/>
        <v>-8.1630458723644161E-2</v>
      </c>
      <c r="AO275" s="38">
        <f t="shared" si="90"/>
        <v>46294</v>
      </c>
      <c r="AP275" s="17">
        <f>Tabla2[[#This Row],[Web + APP 2025]]+Tabla2[[#This Row],[Afiliados 2025]]+Tabla2[[#This Row],[TMK 2025]]+Tabla2[[#This Row],[WA 2025]]+Tabla2[[#This Row],[Ent. en Tienda 2025]]</f>
        <v>4199519.3448275868</v>
      </c>
      <c r="AQ275" s="17">
        <f>Tabla2[[#This Row],[Meli Drop 2025]]+Tabla2[[#This Row],[Meli Full 2025]]+Tabla2[[#This Row],[Amazon Drop 2025]]+Tabla2[[#This Row],[Amazon Full 2025]]+Tabla2[[#This Row],[TikTok 2025]]+Tabla2[[#This Row],[Shein 2025]]</f>
        <v>855951.88793103443</v>
      </c>
      <c r="AR275" s="17">
        <f>Tabla2[[#This Row],[Web + APP 2026]]+Tabla2[[#This Row],[Afiliados 2026]]+Tabla2[[#This Row],[TMK 2026]]+Tabla2[[#This Row],[WA 2026]]+Tabla2[[#This Row],[Ent. en Tienda 2026]]</f>
        <v>4956942</v>
      </c>
      <c r="AS275" s="17">
        <f>Tabla2[[#This Row],[Meli Drop 2026]]+Tabla2[[#This Row],[Meli Full 2026]]+Tabla2[[#This Row],[Amazon Drop 2026]]+Tabla2[[#This Row],[Amazon Full 2026]]+Tabla2[[#This Row],[TikTok 2026]]+Tabla2[[#This Row],[Shein 2026]]</f>
        <v>697322</v>
      </c>
      <c r="AT275" s="18">
        <f t="shared" si="91"/>
        <v>0.18035936805608621</v>
      </c>
      <c r="AU275" s="18">
        <f t="shared" si="92"/>
        <v>-0.18532570599787679</v>
      </c>
      <c r="AV275" s="49">
        <f t="shared" si="93"/>
        <v>5465858.3723724801</v>
      </c>
      <c r="AW275" s="49">
        <f t="shared" si="94"/>
        <v>1209577.7763817499</v>
      </c>
      <c r="AX275" s="39">
        <f t="shared" si="95"/>
        <v>0.90689177477688965</v>
      </c>
      <c r="AY275" s="39">
        <f t="shared" si="96"/>
        <v>0.57650034054521271</v>
      </c>
      <c r="AZ275" s="39">
        <f t="shared" si="97"/>
        <v>0.84702540388393932</v>
      </c>
      <c r="BA275" s="18">
        <v>3.6992484488507102E-2</v>
      </c>
      <c r="BB275" s="20">
        <v>2.6313557622999299E-2</v>
      </c>
      <c r="BC275" s="17"/>
      <c r="BD275" s="17"/>
      <c r="BE275" s="17"/>
      <c r="BF275" s="17"/>
    </row>
    <row r="276" spans="1:58" ht="14.25" customHeight="1" x14ac:dyDescent="0.35">
      <c r="A276" s="16">
        <v>45931</v>
      </c>
      <c r="B276" s="17">
        <v>35229204</v>
      </c>
      <c r="C276" s="17">
        <f t="shared" si="104"/>
        <v>4724682.6465517236</v>
      </c>
      <c r="D276" s="18">
        <f>+Tabla22[[#This Row],[Share diario]]</f>
        <v>4.3849666564539126E-2</v>
      </c>
      <c r="E276" s="17">
        <f>+Tabla22[[#This Row],[Global 2026]]</f>
        <v>0</v>
      </c>
      <c r="F276" s="19">
        <v>46295</v>
      </c>
      <c r="G276" s="17">
        <f t="shared" si="105"/>
        <v>4489379.3603481036</v>
      </c>
      <c r="H276" s="17">
        <v>3581187.8061755002</v>
      </c>
      <c r="I276" s="17">
        <v>908191.55417260295</v>
      </c>
      <c r="J276" s="17">
        <v>3666861</v>
      </c>
      <c r="K276" s="17">
        <f>+Tabla22[[#This Row],[Web + APP 2026]]</f>
        <v>0</v>
      </c>
      <c r="L276" s="17">
        <v>32700</v>
      </c>
      <c r="M276" s="17">
        <f>+Tabla22[[#This Row],[Afiliados 2026]]</f>
        <v>0</v>
      </c>
      <c r="N276" s="17">
        <v>61161</v>
      </c>
      <c r="O276" s="17">
        <f>+Tabla22[[#This Row],[TMK 2026]]</f>
        <v>0</v>
      </c>
      <c r="P276" s="17">
        <v>4101</v>
      </c>
      <c r="Q276" s="17">
        <f>+Tabla22[[#This Row],[WA 2026]]</f>
        <v>0</v>
      </c>
      <c r="R276" s="17">
        <v>118698</v>
      </c>
      <c r="S276" s="17">
        <f>+Tabla22[[#This Row],[Ent. en Tienda 2026]]</f>
        <v>0</v>
      </c>
      <c r="T276" s="17">
        <v>660285</v>
      </c>
      <c r="U276" s="17">
        <f>+Tabla22[[#This Row],[Meli Drop 2026]]</f>
        <v>0</v>
      </c>
      <c r="V276" s="17">
        <v>134226</v>
      </c>
      <c r="W276" s="17">
        <f>+Tabla22[[#This Row],[Meli Full 2026]]</f>
        <v>0</v>
      </c>
      <c r="X276" s="17">
        <v>33430</v>
      </c>
      <c r="Y276" s="17">
        <f>+Tabla22[[#This Row],[Amazon Drop 2026]]</f>
        <v>0</v>
      </c>
      <c r="Z276" s="17">
        <v>4950</v>
      </c>
      <c r="AA276" s="17">
        <f>+Tabla22[[#This Row],[Amazon Full 2026]]</f>
        <v>0</v>
      </c>
      <c r="AB276" s="17">
        <v>7668.0603448275897</v>
      </c>
      <c r="AC276" s="17">
        <f>+Tabla22[[#This Row],[TikTok 2026]]</f>
        <v>0</v>
      </c>
      <c r="AD276" s="17">
        <v>602.58620689655197</v>
      </c>
      <c r="AE276" s="17">
        <f>+Tabla22[[#This Row],[Shein 2026]]</f>
        <v>0</v>
      </c>
      <c r="AF276" s="17">
        <f t="shared" si="106"/>
        <v>0</v>
      </c>
      <c r="AG276" s="18">
        <f t="shared" si="107"/>
        <v>0</v>
      </c>
      <c r="AH276" s="17">
        <f t="shared" si="108"/>
        <v>-4489379.3603481036</v>
      </c>
      <c r="AI276" s="20">
        <f t="shared" si="109"/>
        <v>-1</v>
      </c>
      <c r="AJ276" s="20">
        <f t="shared" si="98"/>
        <v>0.13411267102576951</v>
      </c>
      <c r="AK276" s="21" t="e">
        <f t="shared" si="110"/>
        <v>#DIV/0!</v>
      </c>
      <c r="AL276" s="21">
        <f t="shared" si="99"/>
        <v>-1</v>
      </c>
      <c r="AO276" s="38">
        <f t="shared" si="90"/>
        <v>46295</v>
      </c>
      <c r="AP276" s="17">
        <f>Tabla2[[#This Row],[Web + APP 2025]]+Tabla2[[#This Row],[Afiliados 2025]]+Tabla2[[#This Row],[TMK 2025]]+Tabla2[[#This Row],[WA 2025]]+Tabla2[[#This Row],[Ent. en Tienda 2025]]</f>
        <v>3883521</v>
      </c>
      <c r="AQ276" s="17">
        <f>Tabla2[[#This Row],[Meli Drop 2025]]+Tabla2[[#This Row],[Meli Full 2025]]+Tabla2[[#This Row],[Amazon Drop 2025]]+Tabla2[[#This Row],[Amazon Full 2025]]+Tabla2[[#This Row],[TikTok 2025]]+Tabla2[[#This Row],[Shein 2025]]</f>
        <v>841161.64655172417</v>
      </c>
      <c r="AR276" s="17">
        <f>Tabla2[[#This Row],[Web + APP 2026]]+Tabla2[[#This Row],[Afiliados 2026]]+Tabla2[[#This Row],[TMK 2026]]+Tabla2[[#This Row],[WA 2026]]+Tabla2[[#This Row],[Ent. en Tienda 2026]]</f>
        <v>0</v>
      </c>
      <c r="AS276" s="17">
        <f>Tabla2[[#This Row],[Meli Drop 2026]]+Tabla2[[#This Row],[Meli Full 2026]]+Tabla2[[#This Row],[Amazon Drop 2026]]+Tabla2[[#This Row],[Amazon Full 2026]]+Tabla2[[#This Row],[TikTok 2026]]+Tabla2[[#This Row],[Shein 2026]]</f>
        <v>0</v>
      </c>
      <c r="AT276" s="18">
        <f t="shared" si="91"/>
        <v>-1</v>
      </c>
      <c r="AU276" s="18">
        <f t="shared" si="92"/>
        <v>-1</v>
      </c>
      <c r="AV276" s="49">
        <f t="shared" si="93"/>
        <v>3581187.8061755002</v>
      </c>
      <c r="AW276" s="49">
        <f t="shared" si="94"/>
        <v>908191.55417260295</v>
      </c>
      <c r="AX276" s="39">
        <f t="shared" si="95"/>
        <v>0</v>
      </c>
      <c r="AY276" s="39">
        <f t="shared" si="96"/>
        <v>0</v>
      </c>
      <c r="AZ276" s="39">
        <f t="shared" si="97"/>
        <v>0</v>
      </c>
      <c r="BA276" s="18">
        <v>3.6992484488507102E-2</v>
      </c>
      <c r="BB276" s="20">
        <v>2.6313557622999299E-2</v>
      </c>
      <c r="BC276" s="17"/>
      <c r="BD276" s="17"/>
      <c r="BE276" s="17"/>
      <c r="BF276" s="17"/>
    </row>
    <row r="277" spans="1:58" ht="14.25" customHeight="1" x14ac:dyDescent="0.35">
      <c r="A277" s="19">
        <v>45932</v>
      </c>
      <c r="B277" s="17">
        <v>40655242</v>
      </c>
      <c r="C277" s="17">
        <f t="shared" si="104"/>
        <v>4188073.8189655175</v>
      </c>
      <c r="D277" s="18">
        <f>+Tabla22[[#This Row],[Share diario]]</f>
        <v>3.504005182694659E-2</v>
      </c>
      <c r="E277" s="17">
        <f>+Tabla22[[#This Row],[Global 2026]]</f>
        <v>0</v>
      </c>
      <c r="F277" s="19">
        <v>46296</v>
      </c>
      <c r="G277" s="17">
        <f t="shared" si="105"/>
        <v>6234160.2586209103</v>
      </c>
      <c r="H277" s="17">
        <v>5054886.4743162701</v>
      </c>
      <c r="I277" s="17">
        <v>1179273.78430464</v>
      </c>
      <c r="J277" s="17">
        <v>3300421</v>
      </c>
      <c r="K277" s="17">
        <f>+Tabla22[[#This Row],[Web + APP 2026]]</f>
        <v>0</v>
      </c>
      <c r="L277" s="17">
        <v>32825.8620689655</v>
      </c>
      <c r="M277" s="17">
        <f>+Tabla22[[#This Row],[Afiliados 2026]]</f>
        <v>0</v>
      </c>
      <c r="N277" s="17">
        <v>37692</v>
      </c>
      <c r="O277" s="17">
        <f>+Tabla22[[#This Row],[TMK 2026]]</f>
        <v>0</v>
      </c>
      <c r="P277" s="17">
        <v>7757</v>
      </c>
      <c r="Q277" s="17">
        <f>+Tabla22[[#This Row],[WA 2026]]</f>
        <v>0</v>
      </c>
      <c r="R277" s="17">
        <v>138994</v>
      </c>
      <c r="S277" s="17">
        <f>+Tabla22[[#This Row],[Ent. en Tienda 2026]]</f>
        <v>0</v>
      </c>
      <c r="T277" s="17">
        <v>486606</v>
      </c>
      <c r="U277" s="17">
        <f>+Tabla22[[#This Row],[Meli Drop 2026]]</f>
        <v>0</v>
      </c>
      <c r="V277" s="17">
        <v>138868</v>
      </c>
      <c r="W277" s="17">
        <f>+Tabla22[[#This Row],[Meli Full 2026]]</f>
        <v>0</v>
      </c>
      <c r="X277" s="17">
        <v>29586</v>
      </c>
      <c r="Y277" s="17">
        <f>+Tabla22[[#This Row],[Amazon Drop 2026]]</f>
        <v>0</v>
      </c>
      <c r="Z277" s="17">
        <v>6542</v>
      </c>
      <c r="AA277" s="17">
        <f>+Tabla22[[#This Row],[Amazon Full 2026]]</f>
        <v>0</v>
      </c>
      <c r="AB277" s="17">
        <v>7145.75</v>
      </c>
      <c r="AC277" s="17">
        <f>+Tabla22[[#This Row],[TikTok 2026]]</f>
        <v>0</v>
      </c>
      <c r="AD277" s="17">
        <v>1636.2068965517201</v>
      </c>
      <c r="AE277" s="17">
        <f>+Tabla22[[#This Row],[Shein 2026]]</f>
        <v>0</v>
      </c>
      <c r="AF277" s="17">
        <f t="shared" si="106"/>
        <v>0</v>
      </c>
      <c r="AG277" s="18">
        <f t="shared" si="107"/>
        <v>0</v>
      </c>
      <c r="AH277" s="17">
        <f t="shared" si="108"/>
        <v>-6234160.2586209103</v>
      </c>
      <c r="AI277" s="20">
        <f t="shared" si="109"/>
        <v>-1</v>
      </c>
      <c r="AJ277" s="20">
        <f t="shared" si="98"/>
        <v>0.10301436205853891</v>
      </c>
      <c r="AK277" s="21" t="e">
        <f t="shared" si="110"/>
        <v>#DIV/0!</v>
      </c>
      <c r="AL277" s="21">
        <f t="shared" si="99"/>
        <v>-1</v>
      </c>
    </row>
    <row r="278" spans="1:58" ht="14.25" customHeight="1" x14ac:dyDescent="0.35">
      <c r="A278" s="16">
        <v>45933</v>
      </c>
      <c r="B278" s="17">
        <v>40527045</v>
      </c>
      <c r="C278" s="17">
        <f t="shared" si="104"/>
        <v>3307913.4224137929</v>
      </c>
      <c r="D278" s="18">
        <f>+Tabla22[[#This Row],[Share diario]]</f>
        <v>3.1060355721189984E-2</v>
      </c>
      <c r="E278" s="17">
        <f>+Tabla22[[#This Row],[Global 2026]]</f>
        <v>0</v>
      </c>
      <c r="F278" s="19">
        <v>46297</v>
      </c>
      <c r="G278" s="17">
        <f t="shared" si="105"/>
        <v>5518562.2028435636</v>
      </c>
      <c r="H278" s="17">
        <v>4578711.6651646504</v>
      </c>
      <c r="I278" s="17">
        <v>939850.53767891298</v>
      </c>
      <c r="J278" s="17">
        <v>2511111</v>
      </c>
      <c r="K278" s="17">
        <f>+Tabla22[[#This Row],[Web + APP 2026]]</f>
        <v>0</v>
      </c>
      <c r="L278" s="17">
        <v>29472.413793103398</v>
      </c>
      <c r="M278" s="17">
        <f>+Tabla22[[#This Row],[Afiliados 2026]]</f>
        <v>0</v>
      </c>
      <c r="N278" s="17">
        <v>35787</v>
      </c>
      <c r="O278" s="17">
        <f>+Tabla22[[#This Row],[TMK 2026]]</f>
        <v>0</v>
      </c>
      <c r="P278" s="17">
        <v>2591</v>
      </c>
      <c r="Q278" s="17">
        <f>+Tabla22[[#This Row],[WA 2026]]</f>
        <v>0</v>
      </c>
      <c r="R278" s="17">
        <v>127358</v>
      </c>
      <c r="S278" s="17">
        <f>+Tabla22[[#This Row],[Ent. en Tienda 2026]]</f>
        <v>0</v>
      </c>
      <c r="T278" s="17">
        <v>439292</v>
      </c>
      <c r="U278" s="17">
        <f>+Tabla22[[#This Row],[Meli Drop 2026]]</f>
        <v>0</v>
      </c>
      <c r="V278" s="17">
        <v>130492</v>
      </c>
      <c r="W278" s="17">
        <f>+Tabla22[[#This Row],[Meli Full 2026]]</f>
        <v>0</v>
      </c>
      <c r="X278" s="17">
        <v>25977</v>
      </c>
      <c r="Y278" s="17">
        <f>+Tabla22[[#This Row],[Amazon Drop 2026]]</f>
        <v>0</v>
      </c>
      <c r="Z278" s="17">
        <v>5364</v>
      </c>
      <c r="AA278" s="17">
        <f>+Tabla22[[#This Row],[Amazon Full 2026]]</f>
        <v>0</v>
      </c>
      <c r="AB278" s="17">
        <v>469.008620689655</v>
      </c>
      <c r="AC278" s="17">
        <f>+Tabla22[[#This Row],[TikTok 2026]]</f>
        <v>0</v>
      </c>
      <c r="AD278" s="17">
        <v>0</v>
      </c>
      <c r="AE278" s="17">
        <f>+Tabla22[[#This Row],[Shein 2026]]</f>
        <v>0</v>
      </c>
      <c r="AF278" s="17">
        <f t="shared" si="106"/>
        <v>0</v>
      </c>
      <c r="AG278" s="18">
        <f t="shared" si="107"/>
        <v>0</v>
      </c>
      <c r="AH278" s="17">
        <f t="shared" si="108"/>
        <v>-5518562.2028435636</v>
      </c>
      <c r="AI278" s="20">
        <f t="shared" si="109"/>
        <v>-1</v>
      </c>
      <c r="AJ278" s="20">
        <f t="shared" si="98"/>
        <v>8.1622369023297725E-2</v>
      </c>
      <c r="AK278" s="21" t="e">
        <f t="shared" si="110"/>
        <v>#DIV/0!</v>
      </c>
      <c r="AL278" s="21">
        <f t="shared" si="99"/>
        <v>-1</v>
      </c>
    </row>
    <row r="279" spans="1:58" ht="14.25" customHeight="1" x14ac:dyDescent="0.35">
      <c r="A279" s="19">
        <v>45934</v>
      </c>
      <c r="B279" s="17">
        <v>52851490</v>
      </c>
      <c r="C279" s="17">
        <f t="shared" si="104"/>
        <v>2956638.5172413792</v>
      </c>
      <c r="D279" s="18">
        <f>+Tabla22[[#This Row],[Share diario]]</f>
        <v>2.4532749907557765E-2</v>
      </c>
      <c r="E279" s="17">
        <f>+Tabla22[[#This Row],[Global 2026]]</f>
        <v>0</v>
      </c>
      <c r="F279" s="19">
        <v>46298</v>
      </c>
      <c r="G279" s="17">
        <f t="shared" si="105"/>
        <v>4366021.8084425963</v>
      </c>
      <c r="H279" s="17">
        <v>3522611.92870137</v>
      </c>
      <c r="I279" s="17">
        <v>843409.87974122597</v>
      </c>
      <c r="J279" s="17">
        <v>2157345</v>
      </c>
      <c r="K279" s="17">
        <f>+Tabla22[[#This Row],[Web + APP 2026]]</f>
        <v>0</v>
      </c>
      <c r="L279" s="17">
        <v>34722.413793103398</v>
      </c>
      <c r="M279" s="17">
        <f>+Tabla22[[#This Row],[Afiliados 2026]]</f>
        <v>0</v>
      </c>
      <c r="N279" s="17">
        <v>15783</v>
      </c>
      <c r="O279" s="17">
        <f>+Tabla22[[#This Row],[TMK 2026]]</f>
        <v>0</v>
      </c>
      <c r="P279" s="17">
        <v>-491</v>
      </c>
      <c r="Q279" s="17">
        <f>+Tabla22[[#This Row],[WA 2026]]</f>
        <v>0</v>
      </c>
      <c r="R279" s="17">
        <v>105426</v>
      </c>
      <c r="S279" s="17">
        <f>+Tabla22[[#This Row],[Ent. en Tienda 2026]]</f>
        <v>0</v>
      </c>
      <c r="T279" s="17">
        <v>459901</v>
      </c>
      <c r="U279" s="17">
        <f>+Tabla22[[#This Row],[Meli Drop 2026]]</f>
        <v>0</v>
      </c>
      <c r="V279" s="17">
        <v>150843</v>
      </c>
      <c r="W279" s="17">
        <f>+Tabla22[[#This Row],[Meli Full 2026]]</f>
        <v>0</v>
      </c>
      <c r="X279" s="17">
        <v>25838</v>
      </c>
      <c r="Y279" s="17">
        <f>+Tabla22[[#This Row],[Amazon Drop 2026]]</f>
        <v>0</v>
      </c>
      <c r="Z279" s="17">
        <v>5526</v>
      </c>
      <c r="AA279" s="17">
        <f>+Tabla22[[#This Row],[Amazon Full 2026]]</f>
        <v>0</v>
      </c>
      <c r="AB279" s="17">
        <v>1745.10344827586</v>
      </c>
      <c r="AC279" s="17">
        <f>+Tabla22[[#This Row],[TikTok 2026]]</f>
        <v>0</v>
      </c>
      <c r="AD279" s="17">
        <v>0</v>
      </c>
      <c r="AE279" s="17">
        <f>+Tabla22[[#This Row],[Shein 2026]]</f>
        <v>0</v>
      </c>
      <c r="AF279" s="17">
        <f t="shared" si="106"/>
        <v>0</v>
      </c>
      <c r="AG279" s="18">
        <f t="shared" si="107"/>
        <v>0</v>
      </c>
      <c r="AH279" s="17">
        <f t="shared" si="108"/>
        <v>-4366021.8084425963</v>
      </c>
      <c r="AI279" s="20">
        <f t="shared" si="109"/>
        <v>-1</v>
      </c>
      <c r="AJ279" s="20">
        <f t="shared" si="98"/>
        <v>5.5942387191759008E-2</v>
      </c>
      <c r="AK279" s="21" t="e">
        <f t="shared" si="110"/>
        <v>#DIV/0!</v>
      </c>
      <c r="AL279" s="21">
        <f t="shared" si="99"/>
        <v>-1</v>
      </c>
    </row>
    <row r="280" spans="1:58" ht="14.25" customHeight="1" x14ac:dyDescent="0.35">
      <c r="A280" s="16">
        <v>45935</v>
      </c>
      <c r="B280" s="17">
        <v>51164374</v>
      </c>
      <c r="C280" s="17">
        <f t="shared" si="104"/>
        <v>3280640.3793103448</v>
      </c>
      <c r="D280" s="18">
        <f>+Tabla22[[#This Row],[Share diario]]</f>
        <v>2.192756098725419E-2</v>
      </c>
      <c r="E280" s="17">
        <f>+Tabla22[[#This Row],[Global 2026]]</f>
        <v>0</v>
      </c>
      <c r="F280" s="19">
        <v>46299</v>
      </c>
      <c r="G280" s="17">
        <f t="shared" si="105"/>
        <v>3913033.7729016151</v>
      </c>
      <c r="H280" s="17">
        <v>3010378.3927468699</v>
      </c>
      <c r="I280" s="17">
        <v>902655.38015474495</v>
      </c>
      <c r="J280" s="17">
        <v>2589139</v>
      </c>
      <c r="K280" s="17">
        <f>+Tabla22[[#This Row],[Web + APP 2026]]</f>
        <v>0</v>
      </c>
      <c r="L280" s="17">
        <v>24383.620689655199</v>
      </c>
      <c r="M280" s="17">
        <f>+Tabla22[[#This Row],[Afiliados 2026]]</f>
        <v>0</v>
      </c>
      <c r="N280" s="17">
        <v>18991</v>
      </c>
      <c r="O280" s="17">
        <f>+Tabla22[[#This Row],[TMK 2026]]</f>
        <v>0</v>
      </c>
      <c r="P280" s="17">
        <v>-1894</v>
      </c>
      <c r="Q280" s="17">
        <f>+Tabla22[[#This Row],[WA 2026]]</f>
        <v>0</v>
      </c>
      <c r="R280" s="17">
        <v>106909</v>
      </c>
      <c r="S280" s="17">
        <f>+Tabla22[[#This Row],[Ent. en Tienda 2026]]</f>
        <v>0</v>
      </c>
      <c r="T280" s="17">
        <v>323111</v>
      </c>
      <c r="U280" s="17">
        <f>+Tabla22[[#This Row],[Meli Drop 2026]]</f>
        <v>0</v>
      </c>
      <c r="V280" s="17">
        <v>170727</v>
      </c>
      <c r="W280" s="17">
        <f>+Tabla22[[#This Row],[Meli Full 2026]]</f>
        <v>0</v>
      </c>
      <c r="X280" s="17">
        <v>38180</v>
      </c>
      <c r="Y280" s="17">
        <f>+Tabla22[[#This Row],[Amazon Drop 2026]]</f>
        <v>0</v>
      </c>
      <c r="Z280" s="17">
        <v>8511</v>
      </c>
      <c r="AA280" s="17">
        <f>+Tabla22[[#This Row],[Amazon Full 2026]]</f>
        <v>0</v>
      </c>
      <c r="AB280" s="17">
        <v>1032.7586206896599</v>
      </c>
      <c r="AC280" s="17">
        <f>+Tabla22[[#This Row],[TikTok 2026]]</f>
        <v>0</v>
      </c>
      <c r="AD280" s="17">
        <v>1550</v>
      </c>
      <c r="AE280" s="17">
        <f>+Tabla22[[#This Row],[Shein 2026]]</f>
        <v>0</v>
      </c>
      <c r="AF280" s="17">
        <f t="shared" si="106"/>
        <v>0</v>
      </c>
      <c r="AG280" s="18">
        <f t="shared" si="107"/>
        <v>0</v>
      </c>
      <c r="AH280" s="17">
        <f t="shared" si="108"/>
        <v>-3913033.7729016151</v>
      </c>
      <c r="AI280" s="20">
        <f t="shared" si="109"/>
        <v>-1</v>
      </c>
      <c r="AJ280" s="20">
        <f t="shared" si="98"/>
        <v>6.411962314461904E-2</v>
      </c>
      <c r="AK280" s="21" t="e">
        <f t="shared" si="110"/>
        <v>#DIV/0!</v>
      </c>
      <c r="AL280" s="21">
        <f t="shared" si="99"/>
        <v>-1</v>
      </c>
    </row>
    <row r="281" spans="1:58" ht="14.25" customHeight="1" x14ac:dyDescent="0.35">
      <c r="A281" s="19">
        <v>45936</v>
      </c>
      <c r="B281" s="17">
        <v>28890790</v>
      </c>
      <c r="C281" s="17">
        <f t="shared" si="104"/>
        <v>4350647.9310344821</v>
      </c>
      <c r="D281" s="18">
        <f>+Tabla22[[#This Row],[Share diario]]</f>
        <v>2.4330482598763841E-2</v>
      </c>
      <c r="E281" s="17">
        <f>+Tabla22[[#This Row],[Global 2026]]</f>
        <v>0</v>
      </c>
      <c r="F281" s="19">
        <v>46300</v>
      </c>
      <c r="G281" s="17">
        <f t="shared" si="105"/>
        <v>4324654.7879951037</v>
      </c>
      <c r="H281" s="17">
        <v>3563234.60019344</v>
      </c>
      <c r="I281" s="17">
        <v>761420.187801664</v>
      </c>
      <c r="J281" s="17">
        <v>3206472</v>
      </c>
      <c r="K281" s="17">
        <f>+Tabla22[[#This Row],[Web + APP 2026]]</f>
        <v>0</v>
      </c>
      <c r="L281" s="17">
        <v>24687.068965517199</v>
      </c>
      <c r="M281" s="17">
        <f>+Tabla22[[#This Row],[Afiliados 2026]]</f>
        <v>0</v>
      </c>
      <c r="N281" s="17">
        <v>60560</v>
      </c>
      <c r="O281" s="17">
        <f>+Tabla22[[#This Row],[TMK 2026]]</f>
        <v>0</v>
      </c>
      <c r="P281" s="17">
        <v>-2415</v>
      </c>
      <c r="Q281" s="17">
        <f>+Tabla22[[#This Row],[WA 2026]]</f>
        <v>0</v>
      </c>
      <c r="R281" s="17">
        <v>85355</v>
      </c>
      <c r="S281" s="17">
        <f>+Tabla22[[#This Row],[Ent. en Tienda 2026]]</f>
        <v>0</v>
      </c>
      <c r="T281" s="17">
        <v>749807</v>
      </c>
      <c r="U281" s="17">
        <f>+Tabla22[[#This Row],[Meli Drop 2026]]</f>
        <v>0</v>
      </c>
      <c r="V281" s="17">
        <v>180881</v>
      </c>
      <c r="W281" s="17">
        <f>+Tabla22[[#This Row],[Meli Full 2026]]</f>
        <v>0</v>
      </c>
      <c r="X281" s="17">
        <v>39968</v>
      </c>
      <c r="Y281" s="17">
        <f>+Tabla22[[#This Row],[Amazon Drop 2026]]</f>
        <v>0</v>
      </c>
      <c r="Z281" s="17">
        <v>4257</v>
      </c>
      <c r="AA281" s="17">
        <f>+Tabla22[[#This Row],[Amazon Full 2026]]</f>
        <v>0</v>
      </c>
      <c r="AB281" s="17">
        <v>1075.8620689655199</v>
      </c>
      <c r="AC281" s="17">
        <f>+Tabla22[[#This Row],[TikTok 2026]]</f>
        <v>0</v>
      </c>
      <c r="AD281" s="17">
        <v>0</v>
      </c>
      <c r="AE281" s="17">
        <f>+Tabla22[[#This Row],[Shein 2026]]</f>
        <v>0</v>
      </c>
      <c r="AF281" s="17">
        <f t="shared" si="106"/>
        <v>0</v>
      </c>
      <c r="AG281" s="18">
        <f t="shared" si="107"/>
        <v>0</v>
      </c>
      <c r="AH281" s="17">
        <f t="shared" si="108"/>
        <v>-4324654.7879951037</v>
      </c>
      <c r="AI281" s="20">
        <f t="shared" si="109"/>
        <v>-1</v>
      </c>
      <c r="AJ281" s="20">
        <f t="shared" si="98"/>
        <v>0.15058944151525389</v>
      </c>
      <c r="AK281" s="21" t="e">
        <f t="shared" si="110"/>
        <v>#DIV/0!</v>
      </c>
      <c r="AL281" s="21">
        <f t="shared" si="99"/>
        <v>-1</v>
      </c>
    </row>
    <row r="282" spans="1:58" ht="14.25" customHeight="1" x14ac:dyDescent="0.35">
      <c r="A282" s="16">
        <v>45937</v>
      </c>
      <c r="B282" s="17">
        <v>32567490</v>
      </c>
      <c r="C282" s="17">
        <f t="shared" si="104"/>
        <v>4562345.7241379311</v>
      </c>
      <c r="D282" s="18">
        <f>+Tabla22[[#This Row],[Share diario]]</f>
        <v>3.226606745651129E-2</v>
      </c>
      <c r="E282" s="17">
        <f>+Tabla22[[#This Row],[Global 2026]]</f>
        <v>0</v>
      </c>
      <c r="F282" s="19">
        <v>46301</v>
      </c>
      <c r="G282" s="17">
        <f t="shared" si="105"/>
        <v>5760835.2214753805</v>
      </c>
      <c r="H282" s="17">
        <v>4392539.2660790402</v>
      </c>
      <c r="I282" s="17">
        <v>1368295.95539634</v>
      </c>
      <c r="J282" s="17">
        <v>3626258</v>
      </c>
      <c r="K282" s="17">
        <f>+Tabla22[[#This Row],[Web + APP 2026]]</f>
        <v>0</v>
      </c>
      <c r="L282" s="17">
        <v>33481.896551724101</v>
      </c>
      <c r="M282" s="17">
        <f>+Tabla22[[#This Row],[Afiliados 2026]]</f>
        <v>0</v>
      </c>
      <c r="N282" s="17">
        <v>54703</v>
      </c>
      <c r="O282" s="17">
        <f>+Tabla22[[#This Row],[TMK 2026]]</f>
        <v>0</v>
      </c>
      <c r="P282" s="17">
        <v>2927</v>
      </c>
      <c r="Q282" s="17">
        <f>+Tabla22[[#This Row],[WA 2026]]</f>
        <v>0</v>
      </c>
      <c r="R282" s="17">
        <v>113348</v>
      </c>
      <c r="S282" s="17">
        <f>+Tabla22[[#This Row],[Ent. en Tienda 2026]]</f>
        <v>0</v>
      </c>
      <c r="T282" s="17">
        <v>522052</v>
      </c>
      <c r="U282" s="17">
        <f>+Tabla22[[#This Row],[Meli Drop 2026]]</f>
        <v>0</v>
      </c>
      <c r="V282" s="17">
        <v>144499</v>
      </c>
      <c r="W282" s="17">
        <f>+Tabla22[[#This Row],[Meli Full 2026]]</f>
        <v>0</v>
      </c>
      <c r="X282" s="17">
        <v>55307</v>
      </c>
      <c r="Y282" s="17">
        <f>+Tabla22[[#This Row],[Amazon Drop 2026]]</f>
        <v>0</v>
      </c>
      <c r="Z282" s="17">
        <v>7575</v>
      </c>
      <c r="AA282" s="17">
        <f>+Tabla22[[#This Row],[Amazon Full 2026]]</f>
        <v>0</v>
      </c>
      <c r="AB282" s="17">
        <v>1506.03448275862</v>
      </c>
      <c r="AC282" s="17">
        <f>+Tabla22[[#This Row],[TikTok 2026]]</f>
        <v>0</v>
      </c>
      <c r="AD282" s="17">
        <v>688.79310344827604</v>
      </c>
      <c r="AE282" s="17">
        <f>+Tabla22[[#This Row],[Shein 2026]]</f>
        <v>0</v>
      </c>
      <c r="AF282" s="17">
        <f t="shared" si="106"/>
        <v>0</v>
      </c>
      <c r="AG282" s="18">
        <f t="shared" si="107"/>
        <v>0</v>
      </c>
      <c r="AH282" s="17">
        <f t="shared" si="108"/>
        <v>-5760835.2214753805</v>
      </c>
      <c r="AI282" s="20">
        <f t="shared" si="109"/>
        <v>-1</v>
      </c>
      <c r="AJ282" s="20">
        <f t="shared" si="98"/>
        <v>0.14008895755054906</v>
      </c>
      <c r="AK282" s="21" t="e">
        <f t="shared" si="110"/>
        <v>#DIV/0!</v>
      </c>
      <c r="AL282" s="21">
        <f t="shared" si="99"/>
        <v>-1</v>
      </c>
    </row>
    <row r="283" spans="1:58" ht="14.25" customHeight="1" x14ac:dyDescent="0.35">
      <c r="A283" s="19">
        <v>45938</v>
      </c>
      <c r="B283" s="17">
        <v>34762879</v>
      </c>
      <c r="C283" s="17">
        <f t="shared" si="104"/>
        <v>5138301.1034482755</v>
      </c>
      <c r="D283" s="18">
        <f>+Tabla22[[#This Row],[Share diario]]</f>
        <v>3.3836099180739154E-2</v>
      </c>
      <c r="E283" s="17">
        <f>+Tabla22[[#This Row],[Global 2026]]</f>
        <v>0</v>
      </c>
      <c r="F283" s="19">
        <v>46302</v>
      </c>
      <c r="G283" s="17">
        <f t="shared" si="105"/>
        <v>6011868.5632571001</v>
      </c>
      <c r="H283" s="17">
        <v>4986156.6558287097</v>
      </c>
      <c r="I283" s="17">
        <v>1025711.90742839</v>
      </c>
      <c r="J283" s="17">
        <v>4043316</v>
      </c>
      <c r="K283" s="17">
        <f>+Tabla22[[#This Row],[Web + APP 2026]]</f>
        <v>0</v>
      </c>
      <c r="L283" s="17">
        <v>36340.517241379297</v>
      </c>
      <c r="M283" s="17">
        <f>+Tabla22[[#This Row],[Afiliados 2026]]</f>
        <v>0</v>
      </c>
      <c r="N283" s="17">
        <v>109501</v>
      </c>
      <c r="O283" s="17">
        <f>+Tabla22[[#This Row],[TMK 2026]]</f>
        <v>0</v>
      </c>
      <c r="P283" s="17">
        <v>1656</v>
      </c>
      <c r="Q283" s="17">
        <f>+Tabla22[[#This Row],[WA 2026]]</f>
        <v>0</v>
      </c>
      <c r="R283" s="17">
        <v>105227</v>
      </c>
      <c r="S283" s="17">
        <f>+Tabla22[[#This Row],[Ent. en Tienda 2026]]</f>
        <v>0</v>
      </c>
      <c r="T283" s="17">
        <v>614752</v>
      </c>
      <c r="U283" s="17">
        <f>+Tabla22[[#This Row],[Meli Drop 2026]]</f>
        <v>0</v>
      </c>
      <c r="V283" s="17">
        <v>153038</v>
      </c>
      <c r="W283" s="17">
        <f>+Tabla22[[#This Row],[Meli Full 2026]]</f>
        <v>0</v>
      </c>
      <c r="X283" s="17">
        <v>62307</v>
      </c>
      <c r="Y283" s="17">
        <f>+Tabla22[[#This Row],[Amazon Drop 2026]]</f>
        <v>0</v>
      </c>
      <c r="Z283" s="17">
        <v>10011</v>
      </c>
      <c r="AA283" s="17">
        <f>+Tabla22[[#This Row],[Amazon Full 2026]]</f>
        <v>0</v>
      </c>
      <c r="AB283" s="17">
        <v>1463.7931034482799</v>
      </c>
      <c r="AC283" s="17">
        <f>+Tabla22[[#This Row],[TikTok 2026]]</f>
        <v>0</v>
      </c>
      <c r="AD283" s="17">
        <v>688.79310344827604</v>
      </c>
      <c r="AE283" s="17">
        <f>+Tabla22[[#This Row],[Shein 2026]]</f>
        <v>0</v>
      </c>
      <c r="AF283" s="17">
        <f t="shared" si="106"/>
        <v>0</v>
      </c>
      <c r="AG283" s="18">
        <f t="shared" si="107"/>
        <v>0</v>
      </c>
      <c r="AH283" s="17">
        <f t="shared" si="108"/>
        <v>-6011868.5632571001</v>
      </c>
      <c r="AI283" s="20">
        <f t="shared" si="109"/>
        <v>-1</v>
      </c>
      <c r="AJ283" s="20">
        <f t="shared" si="98"/>
        <v>0.14780999880499757</v>
      </c>
      <c r="AK283" s="21" t="e">
        <f t="shared" si="110"/>
        <v>#DIV/0!</v>
      </c>
      <c r="AL283" s="21">
        <f t="shared" si="99"/>
        <v>-1</v>
      </c>
    </row>
    <row r="284" spans="1:58" ht="14.25" customHeight="1" x14ac:dyDescent="0.35">
      <c r="A284" s="16">
        <v>45939</v>
      </c>
      <c r="B284" s="17">
        <v>39983455</v>
      </c>
      <c r="C284" s="17">
        <f t="shared" si="104"/>
        <v>3970706.5517241382</v>
      </c>
      <c r="D284" s="18">
        <f>+Tabla22[[#This Row],[Share diario]]</f>
        <v>3.810760434855661E-2</v>
      </c>
      <c r="E284" s="17">
        <f>+Tabla22[[#This Row],[Global 2026]]</f>
        <v>0</v>
      </c>
      <c r="F284" s="19">
        <v>46303</v>
      </c>
      <c r="G284" s="17">
        <f t="shared" si="105"/>
        <v>6772646.4787645806</v>
      </c>
      <c r="H284" s="17">
        <v>5591832.0265857</v>
      </c>
      <c r="I284" s="17">
        <v>1180814.4521788801</v>
      </c>
      <c r="J284" s="17">
        <v>2935762</v>
      </c>
      <c r="K284" s="17">
        <f>+Tabla22[[#This Row],[Web + APP 2026]]</f>
        <v>0</v>
      </c>
      <c r="L284" s="17">
        <v>36452.5862068965</v>
      </c>
      <c r="M284" s="17">
        <f>+Tabla22[[#This Row],[Afiliados 2026]]</f>
        <v>0</v>
      </c>
      <c r="N284" s="17">
        <v>11636</v>
      </c>
      <c r="O284" s="17">
        <f>+Tabla22[[#This Row],[TMK 2026]]</f>
        <v>0</v>
      </c>
      <c r="P284" s="17">
        <v>6503</v>
      </c>
      <c r="Q284" s="17">
        <f>+Tabla22[[#This Row],[WA 2026]]</f>
        <v>0</v>
      </c>
      <c r="R284" s="17">
        <v>141860</v>
      </c>
      <c r="S284" s="17">
        <f>+Tabla22[[#This Row],[Ent. en Tienda 2026]]</f>
        <v>0</v>
      </c>
      <c r="T284" s="17">
        <v>640869</v>
      </c>
      <c r="U284" s="17">
        <f>+Tabla22[[#This Row],[Meli Drop 2026]]</f>
        <v>0</v>
      </c>
      <c r="V284" s="17">
        <v>128902</v>
      </c>
      <c r="W284" s="17">
        <f>+Tabla22[[#This Row],[Meli Full 2026]]</f>
        <v>0</v>
      </c>
      <c r="X284" s="17">
        <v>53273</v>
      </c>
      <c r="Y284" s="17">
        <f>+Tabla22[[#This Row],[Amazon Drop 2026]]</f>
        <v>0</v>
      </c>
      <c r="Z284" s="17">
        <v>14605</v>
      </c>
      <c r="AA284" s="17">
        <f>+Tabla22[[#This Row],[Amazon Full 2026]]</f>
        <v>0</v>
      </c>
      <c r="AB284" s="17">
        <v>843.96551724137896</v>
      </c>
      <c r="AC284" s="17">
        <f>+Tabla22[[#This Row],[TikTok 2026]]</f>
        <v>0</v>
      </c>
      <c r="AD284" s="17">
        <v>0</v>
      </c>
      <c r="AE284" s="17">
        <f>+Tabla22[[#This Row],[Shein 2026]]</f>
        <v>0</v>
      </c>
      <c r="AF284" s="17">
        <f t="shared" si="106"/>
        <v>0</v>
      </c>
      <c r="AG284" s="18">
        <f t="shared" si="107"/>
        <v>0</v>
      </c>
      <c r="AH284" s="17">
        <f t="shared" si="108"/>
        <v>-6772646.4787645806</v>
      </c>
      <c r="AI284" s="20">
        <f t="shared" si="109"/>
        <v>-1</v>
      </c>
      <c r="AJ284" s="20">
        <f t="shared" si="98"/>
        <v>9.9308740370839338E-2</v>
      </c>
      <c r="AK284" s="21" t="e">
        <f t="shared" si="110"/>
        <v>#DIV/0!</v>
      </c>
      <c r="AL284" s="21">
        <f t="shared" si="99"/>
        <v>-1</v>
      </c>
    </row>
    <row r="285" spans="1:58" ht="14.25" customHeight="1" x14ac:dyDescent="0.35">
      <c r="A285" s="19">
        <v>45940</v>
      </c>
      <c r="B285" s="17">
        <v>42763583</v>
      </c>
      <c r="C285" s="17">
        <f t="shared" si="104"/>
        <v>4663558.8103448274</v>
      </c>
      <c r="D285" s="18">
        <f>+Tabla22[[#This Row],[Share diario]]</f>
        <v>2.9448277010426509E-2</v>
      </c>
      <c r="E285" s="17">
        <f>+Tabla22[[#This Row],[Global 2026]]</f>
        <v>0</v>
      </c>
      <c r="F285" s="19">
        <v>46304</v>
      </c>
      <c r="G285" s="17">
        <f t="shared" si="105"/>
        <v>5252498.6652221</v>
      </c>
      <c r="H285" s="17">
        <v>4076966.2611807398</v>
      </c>
      <c r="I285" s="17">
        <v>1175532.4040413599</v>
      </c>
      <c r="J285" s="17">
        <v>3483391</v>
      </c>
      <c r="K285" s="17">
        <f>+Tabla22[[#This Row],[Web + APP 2026]]</f>
        <v>0</v>
      </c>
      <c r="L285" s="17">
        <v>38300</v>
      </c>
      <c r="M285" s="17">
        <f>+Tabla22[[#This Row],[Afiliados 2026]]</f>
        <v>0</v>
      </c>
      <c r="N285" s="17">
        <v>25004</v>
      </c>
      <c r="O285" s="17">
        <f>+Tabla22[[#This Row],[TMK 2026]]</f>
        <v>0</v>
      </c>
      <c r="P285" s="17">
        <v>0</v>
      </c>
      <c r="Q285" s="17">
        <f>+Tabla22[[#This Row],[WA 2026]]</f>
        <v>0</v>
      </c>
      <c r="R285" s="17">
        <v>186430</v>
      </c>
      <c r="S285" s="17">
        <f>+Tabla22[[#This Row],[Ent. en Tienda 2026]]</f>
        <v>0</v>
      </c>
      <c r="T285" s="17">
        <v>732700</v>
      </c>
      <c r="U285" s="17">
        <f>+Tabla22[[#This Row],[Meli Drop 2026]]</f>
        <v>0</v>
      </c>
      <c r="V285" s="17">
        <v>129327</v>
      </c>
      <c r="W285" s="17">
        <f>+Tabla22[[#This Row],[Meli Full 2026]]</f>
        <v>0</v>
      </c>
      <c r="X285" s="17">
        <v>38381</v>
      </c>
      <c r="Y285" s="17">
        <f>+Tabla22[[#This Row],[Amazon Drop 2026]]</f>
        <v>0</v>
      </c>
      <c r="Z285" s="17">
        <v>15134</v>
      </c>
      <c r="AA285" s="17">
        <f>+Tabla22[[#This Row],[Amazon Full 2026]]</f>
        <v>0</v>
      </c>
      <c r="AB285" s="17">
        <v>14030.603448275901</v>
      </c>
      <c r="AC285" s="17">
        <f>+Tabla22[[#This Row],[TikTok 2026]]</f>
        <v>0</v>
      </c>
      <c r="AD285" s="17">
        <v>861.20689655172396</v>
      </c>
      <c r="AE285" s="17">
        <f>+Tabla22[[#This Row],[Shein 2026]]</f>
        <v>0</v>
      </c>
      <c r="AF285" s="17">
        <f t="shared" si="106"/>
        <v>0</v>
      </c>
      <c r="AG285" s="18">
        <f t="shared" si="107"/>
        <v>0</v>
      </c>
      <c r="AH285" s="17">
        <f t="shared" si="108"/>
        <v>-5252498.6652221</v>
      </c>
      <c r="AI285" s="20">
        <f t="shared" si="109"/>
        <v>-1</v>
      </c>
      <c r="AJ285" s="20">
        <f t="shared" si="98"/>
        <v>0.10905444500159932</v>
      </c>
      <c r="AK285" s="21" t="e">
        <f t="shared" si="110"/>
        <v>#DIV/0!</v>
      </c>
      <c r="AL285" s="21">
        <f t="shared" si="99"/>
        <v>-1</v>
      </c>
    </row>
    <row r="286" spans="1:58" ht="14.25" customHeight="1" x14ac:dyDescent="0.35">
      <c r="A286" s="16">
        <v>45941</v>
      </c>
      <c r="B286" s="17">
        <v>58985064</v>
      </c>
      <c r="C286" s="17">
        <f t="shared" si="104"/>
        <v>4553774.8103448274</v>
      </c>
      <c r="D286" s="18">
        <f>+Tabla22[[#This Row],[Share diario]]</f>
        <v>3.4586734101974187E-2</v>
      </c>
      <c r="E286" s="17">
        <f>+Tabla22[[#This Row],[Global 2026]]</f>
        <v>0</v>
      </c>
      <c r="F286" s="19">
        <v>46305</v>
      </c>
      <c r="G286" s="17">
        <f t="shared" si="105"/>
        <v>6163557.00068356</v>
      </c>
      <c r="H286" s="17">
        <v>4859127.3407384502</v>
      </c>
      <c r="I286" s="17">
        <v>1304429.6599451101</v>
      </c>
      <c r="J286" s="17">
        <v>3555883</v>
      </c>
      <c r="K286" s="17">
        <f>+Tabla22[[#This Row],[Web + APP 2026]]</f>
        <v>0</v>
      </c>
      <c r="L286" s="17">
        <v>40308.620689655203</v>
      </c>
      <c r="M286" s="17">
        <f>+Tabla22[[#This Row],[Afiliados 2026]]</f>
        <v>0</v>
      </c>
      <c r="N286" s="17">
        <v>31280</v>
      </c>
      <c r="O286" s="17">
        <f>+Tabla22[[#This Row],[TMK 2026]]</f>
        <v>0</v>
      </c>
      <c r="P286" s="17">
        <v>2597</v>
      </c>
      <c r="Q286" s="17">
        <f>+Tabla22[[#This Row],[WA 2026]]</f>
        <v>0</v>
      </c>
      <c r="R286" s="17">
        <v>177906</v>
      </c>
      <c r="S286" s="17">
        <f>+Tabla22[[#This Row],[Ent. en Tienda 2026]]</f>
        <v>0</v>
      </c>
      <c r="T286" s="17">
        <v>582185</v>
      </c>
      <c r="U286" s="17">
        <f>+Tabla22[[#This Row],[Meli Drop 2026]]</f>
        <v>0</v>
      </c>
      <c r="V286" s="17">
        <v>99364</v>
      </c>
      <c r="W286" s="17">
        <f>+Tabla22[[#This Row],[Meli Full 2026]]</f>
        <v>0</v>
      </c>
      <c r="X286" s="17">
        <v>49257</v>
      </c>
      <c r="Y286" s="17">
        <f>+Tabla22[[#This Row],[Amazon Drop 2026]]</f>
        <v>0</v>
      </c>
      <c r="Z286" s="17">
        <v>13284</v>
      </c>
      <c r="AA286" s="17">
        <f>+Tabla22[[#This Row],[Amazon Full 2026]]</f>
        <v>0</v>
      </c>
      <c r="AB286" s="17">
        <v>1710.1896551724101</v>
      </c>
      <c r="AC286" s="17">
        <f>+Tabla22[[#This Row],[TikTok 2026]]</f>
        <v>0</v>
      </c>
      <c r="AD286" s="17">
        <v>0</v>
      </c>
      <c r="AE286" s="17">
        <f>+Tabla22[[#This Row],[Shein 2026]]</f>
        <v>0</v>
      </c>
      <c r="AF286" s="17">
        <f t="shared" si="106"/>
        <v>0</v>
      </c>
      <c r="AG286" s="18">
        <f t="shared" si="107"/>
        <v>0</v>
      </c>
      <c r="AH286" s="17">
        <f t="shared" si="108"/>
        <v>-6163557.00068356</v>
      </c>
      <c r="AI286" s="20">
        <f t="shared" si="109"/>
        <v>-1</v>
      </c>
      <c r="AJ286" s="20">
        <f t="shared" si="98"/>
        <v>7.7202167829212284E-2</v>
      </c>
      <c r="AK286" s="21" t="e">
        <f t="shared" si="110"/>
        <v>#DIV/0!</v>
      </c>
      <c r="AL286" s="21">
        <f t="shared" si="99"/>
        <v>-1</v>
      </c>
    </row>
    <row r="287" spans="1:58" ht="14.25" customHeight="1" x14ac:dyDescent="0.35">
      <c r="A287" s="19">
        <v>45942</v>
      </c>
      <c r="B287" s="17">
        <v>59452948</v>
      </c>
      <c r="C287" s="17">
        <f t="shared" si="104"/>
        <v>5948000.2413793104</v>
      </c>
      <c r="D287" s="18">
        <f>+Tabla22[[#This Row],[Share diario]]</f>
        <v>3.3772534009069093E-2</v>
      </c>
      <c r="E287" s="17">
        <f>+Tabla22[[#This Row],[Global 2026]]</f>
        <v>0</v>
      </c>
      <c r="F287" s="19">
        <v>46306</v>
      </c>
      <c r="G287" s="17">
        <f t="shared" si="105"/>
        <v>6002134.4204214998</v>
      </c>
      <c r="H287" s="17">
        <v>4956553.4484463399</v>
      </c>
      <c r="I287" s="17">
        <v>1045580.9719751599</v>
      </c>
      <c r="J287" s="17">
        <v>5079374</v>
      </c>
      <c r="K287" s="17">
        <f>+Tabla22[[#This Row],[Web + APP 2026]]</f>
        <v>0</v>
      </c>
      <c r="L287" s="17">
        <v>33968.103448275797</v>
      </c>
      <c r="M287" s="17">
        <f>+Tabla22[[#This Row],[Afiliados 2026]]</f>
        <v>0</v>
      </c>
      <c r="N287" s="17">
        <v>0</v>
      </c>
      <c r="O287" s="17">
        <f>+Tabla22[[#This Row],[TMK 2026]]</f>
        <v>0</v>
      </c>
      <c r="P287" s="17">
        <v>7846</v>
      </c>
      <c r="Q287" s="17">
        <f>+Tabla22[[#This Row],[WA 2026]]</f>
        <v>0</v>
      </c>
      <c r="R287" s="17">
        <v>241390</v>
      </c>
      <c r="S287" s="17">
        <f>+Tabla22[[#This Row],[Ent. en Tienda 2026]]</f>
        <v>0</v>
      </c>
      <c r="T287" s="17">
        <v>416113</v>
      </c>
      <c r="U287" s="17">
        <f>+Tabla22[[#This Row],[Meli Drop 2026]]</f>
        <v>0</v>
      </c>
      <c r="V287" s="17">
        <v>102685</v>
      </c>
      <c r="W287" s="17">
        <f>+Tabla22[[#This Row],[Meli Full 2026]]</f>
        <v>0</v>
      </c>
      <c r="X287" s="17">
        <v>46963</v>
      </c>
      <c r="Y287" s="17">
        <f>+Tabla22[[#This Row],[Amazon Drop 2026]]</f>
        <v>0</v>
      </c>
      <c r="Z287" s="17">
        <v>17337</v>
      </c>
      <c r="AA287" s="17">
        <f>+Tabla22[[#This Row],[Amazon Full 2026]]</f>
        <v>0</v>
      </c>
      <c r="AB287" s="17">
        <v>1118.96551724138</v>
      </c>
      <c r="AC287" s="17">
        <f>+Tabla22[[#This Row],[TikTok 2026]]</f>
        <v>0</v>
      </c>
      <c r="AD287" s="17">
        <v>1205.1724137931001</v>
      </c>
      <c r="AE287" s="17">
        <f>+Tabla22[[#This Row],[Shein 2026]]</f>
        <v>0</v>
      </c>
      <c r="AF287" s="17">
        <f t="shared" si="106"/>
        <v>0</v>
      </c>
      <c r="AG287" s="18">
        <f t="shared" si="107"/>
        <v>0</v>
      </c>
      <c r="AH287" s="17">
        <f t="shared" si="108"/>
        <v>-6002134.4204214998</v>
      </c>
      <c r="AI287" s="20">
        <f t="shared" si="109"/>
        <v>-1</v>
      </c>
      <c r="AJ287" s="20">
        <f t="shared" si="98"/>
        <v>0.10004550558837402</v>
      </c>
      <c r="AK287" s="21" t="e">
        <f t="shared" si="110"/>
        <v>#DIV/0!</v>
      </c>
      <c r="AL287" s="21">
        <f t="shared" si="99"/>
        <v>-1</v>
      </c>
    </row>
    <row r="288" spans="1:58" ht="14.25" customHeight="1" x14ac:dyDescent="0.35">
      <c r="A288" s="16">
        <v>45943</v>
      </c>
      <c r="B288" s="17">
        <v>30334126</v>
      </c>
      <c r="C288" s="17">
        <f t="shared" si="104"/>
        <v>4746548.8534482764</v>
      </c>
      <c r="D288" s="18">
        <f>+Tabla22[[#This Row],[Share diario]]</f>
        <v>4.4112642544729318E-2</v>
      </c>
      <c r="E288" s="17">
        <f>+Tabla22[[#This Row],[Global 2026]]</f>
        <v>0</v>
      </c>
      <c r="F288" s="19">
        <v>46307</v>
      </c>
      <c r="G288" s="17">
        <f t="shared" si="105"/>
        <v>7800801.1742279902</v>
      </c>
      <c r="H288" s="17">
        <v>6980063.5872923797</v>
      </c>
      <c r="I288" s="17">
        <v>820737.58693561004</v>
      </c>
      <c r="J288" s="17">
        <v>3532434</v>
      </c>
      <c r="K288" s="17">
        <f>+Tabla22[[#This Row],[Web + APP 2026]]</f>
        <v>0</v>
      </c>
      <c r="L288" s="17">
        <v>27835.344827586199</v>
      </c>
      <c r="M288" s="17">
        <f>+Tabla22[[#This Row],[Afiliados 2026]]</f>
        <v>0</v>
      </c>
      <c r="N288" s="17">
        <v>56747</v>
      </c>
      <c r="O288" s="17">
        <f>+Tabla22[[#This Row],[TMK 2026]]</f>
        <v>0</v>
      </c>
      <c r="P288" s="17">
        <v>6296</v>
      </c>
      <c r="Q288" s="17">
        <f>+Tabla22[[#This Row],[WA 2026]]</f>
        <v>0</v>
      </c>
      <c r="R288" s="17">
        <v>260947</v>
      </c>
      <c r="S288" s="17">
        <f>+Tabla22[[#This Row],[Ent. en Tienda 2026]]</f>
        <v>0</v>
      </c>
      <c r="T288" s="17">
        <v>696035</v>
      </c>
      <c r="U288" s="17">
        <f>+Tabla22[[#This Row],[Meli Drop 2026]]</f>
        <v>0</v>
      </c>
      <c r="V288" s="17">
        <v>89849</v>
      </c>
      <c r="W288" s="17">
        <f>+Tabla22[[#This Row],[Meli Full 2026]]</f>
        <v>0</v>
      </c>
      <c r="X288" s="17">
        <v>44082</v>
      </c>
      <c r="Y288" s="17">
        <f>+Tabla22[[#This Row],[Amazon Drop 2026]]</f>
        <v>0</v>
      </c>
      <c r="Z288" s="17">
        <v>19797</v>
      </c>
      <c r="AA288" s="17">
        <f>+Tabla22[[#This Row],[Amazon Full 2026]]</f>
        <v>0</v>
      </c>
      <c r="AB288" s="17">
        <v>12526.508620689699</v>
      </c>
      <c r="AC288" s="17">
        <f>+Tabla22[[#This Row],[TikTok 2026]]</f>
        <v>0</v>
      </c>
      <c r="AD288" s="17">
        <v>0</v>
      </c>
      <c r="AE288" s="17">
        <f>+Tabla22[[#This Row],[Shein 2026]]</f>
        <v>0</v>
      </c>
      <c r="AF288" s="17">
        <f t="shared" si="106"/>
        <v>0</v>
      </c>
      <c r="AG288" s="18">
        <f t="shared" si="107"/>
        <v>0</v>
      </c>
      <c r="AH288" s="17">
        <f t="shared" si="108"/>
        <v>-7800801.1742279902</v>
      </c>
      <c r="AI288" s="20">
        <f t="shared" si="109"/>
        <v>-1</v>
      </c>
      <c r="AJ288" s="20">
        <f t="shared" si="98"/>
        <v>0.15647554353299239</v>
      </c>
      <c r="AK288" s="21" t="e">
        <f t="shared" si="110"/>
        <v>#DIV/0!</v>
      </c>
      <c r="AL288" s="21">
        <f t="shared" si="99"/>
        <v>-1</v>
      </c>
    </row>
    <row r="289" spans="1:38" ht="14.25" customHeight="1" x14ac:dyDescent="0.35">
      <c r="A289" s="19">
        <v>45944</v>
      </c>
      <c r="B289" s="17">
        <v>36736864</v>
      </c>
      <c r="C289" s="17">
        <f t="shared" si="104"/>
        <v>7233547.612068966</v>
      </c>
      <c r="D289" s="18">
        <f>+Tabla22[[#This Row],[Share diario]]</f>
        <v>3.5202219972456462E-2</v>
      </c>
      <c r="E289" s="17">
        <f>+Tabla22[[#This Row],[Global 2026]]</f>
        <v>0</v>
      </c>
      <c r="F289" s="19">
        <v>46308</v>
      </c>
      <c r="G289" s="17">
        <f t="shared" si="105"/>
        <v>6264741.6938360697</v>
      </c>
      <c r="H289" s="17">
        <v>5055847.5221082997</v>
      </c>
      <c r="I289" s="17">
        <v>1208894.17172777</v>
      </c>
      <c r="J289" s="17">
        <v>5860826</v>
      </c>
      <c r="K289" s="17">
        <f>+Tabla22[[#This Row],[Web + APP 2026]]</f>
        <v>0</v>
      </c>
      <c r="L289" s="17">
        <v>34962.931034482703</v>
      </c>
      <c r="M289" s="17">
        <f>+Tabla22[[#This Row],[Afiliados 2026]]</f>
        <v>0</v>
      </c>
      <c r="N289" s="17">
        <v>51290</v>
      </c>
      <c r="O289" s="17">
        <f>+Tabla22[[#This Row],[TMK 2026]]</f>
        <v>0</v>
      </c>
      <c r="P289" s="17">
        <v>8434</v>
      </c>
      <c r="Q289" s="17">
        <f>+Tabla22[[#This Row],[WA 2026]]</f>
        <v>0</v>
      </c>
      <c r="R289" s="17">
        <v>268072</v>
      </c>
      <c r="S289" s="17">
        <f>+Tabla22[[#This Row],[Ent. en Tienda 2026]]</f>
        <v>0</v>
      </c>
      <c r="T289" s="17">
        <v>843210</v>
      </c>
      <c r="U289" s="17">
        <f>+Tabla22[[#This Row],[Meli Drop 2026]]</f>
        <v>0</v>
      </c>
      <c r="V289" s="17">
        <v>87564</v>
      </c>
      <c r="W289" s="17">
        <f>+Tabla22[[#This Row],[Meli Full 2026]]</f>
        <v>0</v>
      </c>
      <c r="X289" s="17">
        <v>54009</v>
      </c>
      <c r="Y289" s="17">
        <f>+Tabla22[[#This Row],[Amazon Drop 2026]]</f>
        <v>0</v>
      </c>
      <c r="Z289" s="17">
        <v>8460</v>
      </c>
      <c r="AA289" s="17">
        <f>+Tabla22[[#This Row],[Amazon Full 2026]]</f>
        <v>0</v>
      </c>
      <c r="AB289" s="17">
        <v>16719.681034482801</v>
      </c>
      <c r="AC289" s="17">
        <f>+Tabla22[[#This Row],[TikTok 2026]]</f>
        <v>0</v>
      </c>
      <c r="AD289" s="17">
        <v>0</v>
      </c>
      <c r="AE289" s="17">
        <f>+Tabla22[[#This Row],[Shein 2026]]</f>
        <v>0</v>
      </c>
      <c r="AF289" s="17">
        <f t="shared" si="106"/>
        <v>0</v>
      </c>
      <c r="AG289" s="18">
        <f t="shared" si="107"/>
        <v>0</v>
      </c>
      <c r="AH289" s="17">
        <f t="shared" si="108"/>
        <v>-6264741.6938360697</v>
      </c>
      <c r="AI289" s="20">
        <f t="shared" si="109"/>
        <v>-1</v>
      </c>
      <c r="AJ289" s="20">
        <f t="shared" si="98"/>
        <v>0.19690160847885563</v>
      </c>
      <c r="AK289" s="21" t="e">
        <f t="shared" si="110"/>
        <v>#DIV/0!</v>
      </c>
      <c r="AL289" s="21">
        <f t="shared" si="99"/>
        <v>-1</v>
      </c>
    </row>
    <row r="290" spans="1:38" ht="14.25" customHeight="1" x14ac:dyDescent="0.35">
      <c r="A290" s="16">
        <v>45945</v>
      </c>
      <c r="B290" s="17">
        <v>38912618</v>
      </c>
      <c r="C290" s="17">
        <f t="shared" si="104"/>
        <v>5588833.0517241377</v>
      </c>
      <c r="D290" s="18">
        <f>+Tabla22[[#This Row],[Share diario]]</f>
        <v>5.3646753058551176E-2</v>
      </c>
      <c r="E290" s="17">
        <f>+Tabla22[[#This Row],[Global 2026]]</f>
        <v>0</v>
      </c>
      <c r="F290" s="19">
        <v>46309</v>
      </c>
      <c r="G290" s="17">
        <f t="shared" si="105"/>
        <v>9516697.0984582193</v>
      </c>
      <c r="H290" s="17">
        <v>8100771.2561988896</v>
      </c>
      <c r="I290" s="17">
        <v>1415925.84225933</v>
      </c>
      <c r="J290" s="17">
        <v>4393558</v>
      </c>
      <c r="K290" s="17">
        <f>+Tabla22[[#This Row],[Web + APP 2026]]</f>
        <v>0</v>
      </c>
      <c r="L290" s="17">
        <v>34782.758620689601</v>
      </c>
      <c r="M290" s="17">
        <f>+Tabla22[[#This Row],[Afiliados 2026]]</f>
        <v>0</v>
      </c>
      <c r="N290" s="17">
        <v>52617</v>
      </c>
      <c r="O290" s="17">
        <f>+Tabla22[[#This Row],[TMK 2026]]</f>
        <v>0</v>
      </c>
      <c r="P290" s="17">
        <v>5393</v>
      </c>
      <c r="Q290" s="17">
        <f>+Tabla22[[#This Row],[WA 2026]]</f>
        <v>0</v>
      </c>
      <c r="R290" s="17">
        <v>279705</v>
      </c>
      <c r="S290" s="17">
        <f>+Tabla22[[#This Row],[Ent. en Tienda 2026]]</f>
        <v>0</v>
      </c>
      <c r="T290" s="17">
        <v>668950</v>
      </c>
      <c r="U290" s="17">
        <f>+Tabla22[[#This Row],[Meli Drop 2026]]</f>
        <v>0</v>
      </c>
      <c r="V290" s="17">
        <v>93705</v>
      </c>
      <c r="W290" s="17">
        <f>+Tabla22[[#This Row],[Meli Full 2026]]</f>
        <v>0</v>
      </c>
      <c r="X290" s="17">
        <v>42427</v>
      </c>
      <c r="Y290" s="17">
        <f>+Tabla22[[#This Row],[Amazon Drop 2026]]</f>
        <v>0</v>
      </c>
      <c r="Z290" s="17">
        <v>12416</v>
      </c>
      <c r="AA290" s="17">
        <f>+Tabla22[[#This Row],[Amazon Full 2026]]</f>
        <v>0</v>
      </c>
      <c r="AB290" s="17">
        <v>4590.5</v>
      </c>
      <c r="AC290" s="17">
        <f>+Tabla22[[#This Row],[TikTok 2026]]</f>
        <v>0</v>
      </c>
      <c r="AD290" s="17">
        <v>688.79310344827604</v>
      </c>
      <c r="AE290" s="17">
        <f>+Tabla22[[#This Row],[Shein 2026]]</f>
        <v>0</v>
      </c>
      <c r="AF290" s="17">
        <f t="shared" si="106"/>
        <v>0</v>
      </c>
      <c r="AG290" s="18">
        <f t="shared" si="107"/>
        <v>0</v>
      </c>
      <c r="AH290" s="17">
        <f t="shared" si="108"/>
        <v>-9516697.0984582193</v>
      </c>
      <c r="AI290" s="20">
        <f t="shared" si="109"/>
        <v>-1</v>
      </c>
      <c r="AJ290" s="20">
        <f t="shared" si="98"/>
        <v>0.14362521307931883</v>
      </c>
      <c r="AK290" s="21" t="e">
        <f t="shared" si="110"/>
        <v>#DIV/0!</v>
      </c>
      <c r="AL290" s="21">
        <f t="shared" si="99"/>
        <v>-1</v>
      </c>
    </row>
    <row r="291" spans="1:38" ht="14.25" customHeight="1" x14ac:dyDescent="0.35">
      <c r="A291" s="19">
        <v>45946</v>
      </c>
      <c r="B291" s="17">
        <v>46278011</v>
      </c>
      <c r="C291" s="17">
        <f t="shared" si="104"/>
        <v>4838955.0948275868</v>
      </c>
      <c r="D291" s="18">
        <f>+Tabla22[[#This Row],[Share diario]]</f>
        <v>4.1448921427028163E-2</v>
      </c>
      <c r="E291" s="17">
        <f>+Tabla22[[#This Row],[Global 2026]]</f>
        <v>0</v>
      </c>
      <c r="F291" s="19">
        <v>46310</v>
      </c>
      <c r="G291" s="17">
        <f t="shared" si="105"/>
        <v>7357115.1101991897</v>
      </c>
      <c r="H291" s="17">
        <v>6203615.4278781796</v>
      </c>
      <c r="I291" s="17">
        <v>1153499.6823210099</v>
      </c>
      <c r="J291" s="17">
        <v>3659618</v>
      </c>
      <c r="K291" s="17">
        <f>+Tabla22[[#This Row],[Web + APP 2026]]</f>
        <v>0</v>
      </c>
      <c r="L291" s="17">
        <v>37947.413793103398</v>
      </c>
      <c r="M291" s="17">
        <f>+Tabla22[[#This Row],[Afiliados 2026]]</f>
        <v>0</v>
      </c>
      <c r="N291" s="17">
        <v>37369</v>
      </c>
      <c r="O291" s="17">
        <f>+Tabla22[[#This Row],[TMK 2026]]</f>
        <v>0</v>
      </c>
      <c r="P291" s="17">
        <v>9908</v>
      </c>
      <c r="Q291" s="17">
        <f>+Tabla22[[#This Row],[WA 2026]]</f>
        <v>0</v>
      </c>
      <c r="R291" s="17">
        <v>321653</v>
      </c>
      <c r="S291" s="17">
        <f>+Tabla22[[#This Row],[Ent. en Tienda 2026]]</f>
        <v>0</v>
      </c>
      <c r="T291" s="17">
        <v>573332</v>
      </c>
      <c r="U291" s="17">
        <f>+Tabla22[[#This Row],[Meli Drop 2026]]</f>
        <v>0</v>
      </c>
      <c r="V291" s="17">
        <v>132053</v>
      </c>
      <c r="W291" s="17">
        <f>+Tabla22[[#This Row],[Meli Full 2026]]</f>
        <v>0</v>
      </c>
      <c r="X291" s="17">
        <v>44310</v>
      </c>
      <c r="Y291" s="17">
        <f>+Tabla22[[#This Row],[Amazon Drop 2026]]</f>
        <v>0</v>
      </c>
      <c r="Z291" s="17">
        <v>14263</v>
      </c>
      <c r="AA291" s="17">
        <f>+Tabla22[[#This Row],[Amazon Full 2026]]</f>
        <v>0</v>
      </c>
      <c r="AB291" s="17">
        <v>6779.2672413793098</v>
      </c>
      <c r="AC291" s="17">
        <f>+Tabla22[[#This Row],[TikTok 2026]]</f>
        <v>0</v>
      </c>
      <c r="AD291" s="17">
        <v>1722.41379310345</v>
      </c>
      <c r="AE291" s="17">
        <f>+Tabla22[[#This Row],[Shein 2026]]</f>
        <v>0</v>
      </c>
      <c r="AF291" s="17">
        <f t="shared" si="106"/>
        <v>0</v>
      </c>
      <c r="AG291" s="18">
        <f t="shared" si="107"/>
        <v>0</v>
      </c>
      <c r="AH291" s="17">
        <f t="shared" si="108"/>
        <v>-7357115.1101991897</v>
      </c>
      <c r="AI291" s="20">
        <f t="shared" si="109"/>
        <v>-1</v>
      </c>
      <c r="AJ291" s="20">
        <f t="shared" si="98"/>
        <v>0.10456272839443309</v>
      </c>
      <c r="AK291" s="21" t="e">
        <f t="shared" si="110"/>
        <v>#DIV/0!</v>
      </c>
      <c r="AL291" s="21">
        <f t="shared" si="99"/>
        <v>-1</v>
      </c>
    </row>
    <row r="292" spans="1:38" ht="14.25" customHeight="1" x14ac:dyDescent="0.35">
      <c r="A292" s="16">
        <v>45947</v>
      </c>
      <c r="B292" s="17">
        <v>43693955</v>
      </c>
      <c r="C292" s="17">
        <f t="shared" si="104"/>
        <v>3910517.3103448278</v>
      </c>
      <c r="D292" s="18">
        <f>+Tabla22[[#This Row],[Share diario]]</f>
        <v>3.5887539967319512E-2</v>
      </c>
      <c r="E292" s="17">
        <f>+Tabla22[[#This Row],[Global 2026]]</f>
        <v>0</v>
      </c>
      <c r="F292" s="19">
        <v>46311</v>
      </c>
      <c r="G292" s="17">
        <f t="shared" si="105"/>
        <v>6376006.9473173004</v>
      </c>
      <c r="H292" s="17">
        <v>5293050.47276734</v>
      </c>
      <c r="I292" s="17">
        <v>1082956.4745499601</v>
      </c>
      <c r="J292" s="17">
        <v>2757514</v>
      </c>
      <c r="K292" s="17">
        <f>+Tabla22[[#This Row],[Web + APP 2026]]</f>
        <v>0</v>
      </c>
      <c r="L292" s="17">
        <v>38559.482758620703</v>
      </c>
      <c r="M292" s="17">
        <f>+Tabla22[[#This Row],[Afiliados 2026]]</f>
        <v>0</v>
      </c>
      <c r="N292" s="17">
        <v>28828</v>
      </c>
      <c r="O292" s="17">
        <f>+Tabla22[[#This Row],[TMK 2026]]</f>
        <v>0</v>
      </c>
      <c r="P292" s="17">
        <v>2569</v>
      </c>
      <c r="Q292" s="17">
        <f>+Tabla22[[#This Row],[WA 2026]]</f>
        <v>0</v>
      </c>
      <c r="R292" s="17">
        <v>249589</v>
      </c>
      <c r="S292" s="17">
        <f>+Tabla22[[#This Row],[Ent. en Tienda 2026]]</f>
        <v>0</v>
      </c>
      <c r="T292" s="17">
        <v>603059</v>
      </c>
      <c r="U292" s="17">
        <f>+Tabla22[[#This Row],[Meli Drop 2026]]</f>
        <v>0</v>
      </c>
      <c r="V292" s="17">
        <v>182555</v>
      </c>
      <c r="W292" s="17">
        <f>+Tabla22[[#This Row],[Meli Full 2026]]</f>
        <v>0</v>
      </c>
      <c r="X292" s="17">
        <v>33984</v>
      </c>
      <c r="Y292" s="17">
        <f>+Tabla22[[#This Row],[Amazon Drop 2026]]</f>
        <v>0</v>
      </c>
      <c r="Z292" s="17">
        <v>6959</v>
      </c>
      <c r="AA292" s="17">
        <f>+Tabla22[[#This Row],[Amazon Full 2026]]</f>
        <v>0</v>
      </c>
      <c r="AB292" s="17">
        <v>6900.8275862069004</v>
      </c>
      <c r="AC292" s="17">
        <f>+Tabla22[[#This Row],[TikTok 2026]]</f>
        <v>0</v>
      </c>
      <c r="AD292" s="17">
        <v>0</v>
      </c>
      <c r="AE292" s="17">
        <f>+Tabla22[[#This Row],[Shein 2026]]</f>
        <v>0</v>
      </c>
      <c r="AF292" s="17">
        <f t="shared" si="106"/>
        <v>0</v>
      </c>
      <c r="AG292" s="18">
        <f t="shared" si="107"/>
        <v>0</v>
      </c>
      <c r="AH292" s="17">
        <f t="shared" si="108"/>
        <v>-6376006.9473173004</v>
      </c>
      <c r="AI292" s="20">
        <f t="shared" si="109"/>
        <v>-1</v>
      </c>
      <c r="AJ292" s="20">
        <f t="shared" si="98"/>
        <v>8.949790217765427E-2</v>
      </c>
      <c r="AK292" s="21" t="e">
        <f t="shared" si="110"/>
        <v>#DIV/0!</v>
      </c>
      <c r="AL292" s="21">
        <f t="shared" si="99"/>
        <v>-1</v>
      </c>
    </row>
    <row r="293" spans="1:38" ht="14.25" customHeight="1" x14ac:dyDescent="0.35">
      <c r="A293" s="19">
        <v>45948</v>
      </c>
      <c r="B293" s="17">
        <v>58058265</v>
      </c>
      <c r="C293" s="17">
        <f t="shared" si="104"/>
        <v>3024104.6896551726</v>
      </c>
      <c r="D293" s="18">
        <f>+Tabla22[[#This Row],[Share diario]]</f>
        <v>2.9001890597807896E-2</v>
      </c>
      <c r="E293" s="17">
        <f>+Tabla22[[#This Row],[Global 2026]]</f>
        <v>0</v>
      </c>
      <c r="F293" s="19">
        <v>46312</v>
      </c>
      <c r="G293" s="17">
        <f t="shared" si="105"/>
        <v>5173649.6724917796</v>
      </c>
      <c r="H293" s="17">
        <v>4005176.3232548898</v>
      </c>
      <c r="I293" s="17">
        <v>1168473.34923689</v>
      </c>
      <c r="J293" s="17">
        <v>2057157</v>
      </c>
      <c r="K293" s="17">
        <f>+Tabla22[[#This Row],[Web + APP 2026]]</f>
        <v>0</v>
      </c>
      <c r="L293" s="17">
        <v>39201.724137931</v>
      </c>
      <c r="M293" s="17">
        <f>+Tabla22[[#This Row],[Afiliados 2026]]</f>
        <v>0</v>
      </c>
      <c r="N293" s="17">
        <v>21446</v>
      </c>
      <c r="O293" s="17">
        <f>+Tabla22[[#This Row],[TMK 2026]]</f>
        <v>0</v>
      </c>
      <c r="P293" s="17">
        <v>128</v>
      </c>
      <c r="Q293" s="17">
        <f>+Tabla22[[#This Row],[WA 2026]]</f>
        <v>0</v>
      </c>
      <c r="R293" s="17">
        <v>156666</v>
      </c>
      <c r="S293" s="17">
        <f>+Tabla22[[#This Row],[Ent. en Tienda 2026]]</f>
        <v>0</v>
      </c>
      <c r="T293" s="17">
        <v>518617</v>
      </c>
      <c r="U293" s="17">
        <f>+Tabla22[[#This Row],[Meli Drop 2026]]</f>
        <v>0</v>
      </c>
      <c r="V293" s="17">
        <v>193438</v>
      </c>
      <c r="W293" s="17">
        <f>+Tabla22[[#This Row],[Meli Full 2026]]</f>
        <v>0</v>
      </c>
      <c r="X293" s="17">
        <v>25309</v>
      </c>
      <c r="Y293" s="17">
        <f>+Tabla22[[#This Row],[Amazon Drop 2026]]</f>
        <v>0</v>
      </c>
      <c r="Z293" s="17">
        <v>10273</v>
      </c>
      <c r="AA293" s="17">
        <f>+Tabla22[[#This Row],[Amazon Full 2026]]</f>
        <v>0</v>
      </c>
      <c r="AB293" s="17">
        <v>1868.96551724138</v>
      </c>
      <c r="AC293" s="17">
        <f>+Tabla22[[#This Row],[TikTok 2026]]</f>
        <v>0</v>
      </c>
      <c r="AD293" s="17">
        <v>0</v>
      </c>
      <c r="AE293" s="17">
        <f>+Tabla22[[#This Row],[Shein 2026]]</f>
        <v>0</v>
      </c>
      <c r="AF293" s="17">
        <f t="shared" si="106"/>
        <v>0</v>
      </c>
      <c r="AG293" s="18">
        <f t="shared" si="107"/>
        <v>0</v>
      </c>
      <c r="AH293" s="17">
        <f t="shared" si="108"/>
        <v>-5173649.6724917796</v>
      </c>
      <c r="AI293" s="20">
        <f t="shared" si="109"/>
        <v>-1</v>
      </c>
      <c r="AJ293" s="20">
        <f t="shared" si="98"/>
        <v>5.2087410632322077E-2</v>
      </c>
      <c r="AK293" s="21" t="e">
        <f t="shared" si="110"/>
        <v>#DIV/0!</v>
      </c>
      <c r="AL293" s="21">
        <f t="shared" si="99"/>
        <v>-1</v>
      </c>
    </row>
    <row r="294" spans="1:38" ht="14.25" customHeight="1" x14ac:dyDescent="0.35">
      <c r="A294" s="16">
        <v>45949</v>
      </c>
      <c r="B294" s="17">
        <v>57993512</v>
      </c>
      <c r="C294" s="17">
        <f t="shared" si="104"/>
        <v>3686799.068965517</v>
      </c>
      <c r="D294" s="18">
        <f>+Tabla22[[#This Row],[Share diario]]</f>
        <v>2.2427915900968955E-2</v>
      </c>
      <c r="E294" s="17">
        <f>+Tabla22[[#This Row],[Global 2026]]</f>
        <v>0</v>
      </c>
      <c r="F294" s="19">
        <v>46313</v>
      </c>
      <c r="G294" s="17">
        <f t="shared" si="105"/>
        <v>4011449.9742653999</v>
      </c>
      <c r="H294" s="17">
        <v>2960673.6580391498</v>
      </c>
      <c r="I294" s="17">
        <v>1050776.31622625</v>
      </c>
      <c r="J294" s="17">
        <v>2619522</v>
      </c>
      <c r="K294" s="17">
        <f>+Tabla22[[#This Row],[Web + APP 2026]]</f>
        <v>0</v>
      </c>
      <c r="L294" s="17">
        <v>32746.551724137898</v>
      </c>
      <c r="M294" s="17">
        <f>+Tabla22[[#This Row],[Afiliados 2026]]</f>
        <v>0</v>
      </c>
      <c r="N294" s="17">
        <v>2872</v>
      </c>
      <c r="O294" s="17">
        <f>+Tabla22[[#This Row],[TMK 2026]]</f>
        <v>0</v>
      </c>
      <c r="P294" s="17">
        <v>3770</v>
      </c>
      <c r="Q294" s="17">
        <f>+Tabla22[[#This Row],[WA 2026]]</f>
        <v>0</v>
      </c>
      <c r="R294" s="17">
        <v>126305</v>
      </c>
      <c r="S294" s="17">
        <f>+Tabla22[[#This Row],[Ent. en Tienda 2026]]</f>
        <v>0</v>
      </c>
      <c r="T294" s="17">
        <v>624995</v>
      </c>
      <c r="U294" s="17">
        <f>+Tabla22[[#This Row],[Meli Drop 2026]]</f>
        <v>0</v>
      </c>
      <c r="V294" s="17">
        <v>224236</v>
      </c>
      <c r="W294" s="17">
        <f>+Tabla22[[#This Row],[Meli Full 2026]]</f>
        <v>0</v>
      </c>
      <c r="X294" s="17">
        <v>42542</v>
      </c>
      <c r="Y294" s="17">
        <f>+Tabla22[[#This Row],[Amazon Drop 2026]]</f>
        <v>0</v>
      </c>
      <c r="Z294" s="17">
        <v>7745</v>
      </c>
      <c r="AA294" s="17">
        <f>+Tabla22[[#This Row],[Amazon Full 2026]]</f>
        <v>0</v>
      </c>
      <c r="AB294" s="17">
        <v>1462.93103448276</v>
      </c>
      <c r="AC294" s="17">
        <f>+Tabla22[[#This Row],[TikTok 2026]]</f>
        <v>0</v>
      </c>
      <c r="AD294" s="17">
        <v>602.58620689655197</v>
      </c>
      <c r="AE294" s="17">
        <f>+Tabla22[[#This Row],[Shein 2026]]</f>
        <v>0</v>
      </c>
      <c r="AF294" s="17">
        <f t="shared" si="106"/>
        <v>0</v>
      </c>
      <c r="AG294" s="18">
        <f t="shared" si="107"/>
        <v>0</v>
      </c>
      <c r="AH294" s="17">
        <f t="shared" si="108"/>
        <v>-4011449.9742653999</v>
      </c>
      <c r="AI294" s="20">
        <f t="shared" si="109"/>
        <v>-1</v>
      </c>
      <c r="AJ294" s="20">
        <f t="shared" si="98"/>
        <v>6.3572612553030358E-2</v>
      </c>
      <c r="AK294" s="21" t="e">
        <f t="shared" si="110"/>
        <v>#DIV/0!</v>
      </c>
      <c r="AL294" s="21">
        <f t="shared" si="99"/>
        <v>-1</v>
      </c>
    </row>
    <row r="295" spans="1:38" ht="14.25" customHeight="1" x14ac:dyDescent="0.35">
      <c r="A295" s="19">
        <v>45950</v>
      </c>
      <c r="B295" s="17">
        <v>32252775</v>
      </c>
      <c r="C295" s="17">
        <f t="shared" si="104"/>
        <v>4525897.8275862066</v>
      </c>
      <c r="D295" s="18">
        <f>+Tabla22[[#This Row],[Share diario]]</f>
        <v>2.7342710636104921E-2</v>
      </c>
      <c r="E295" s="17">
        <f>+Tabla22[[#This Row],[Global 2026]]</f>
        <v>0</v>
      </c>
      <c r="F295" s="19">
        <v>46314</v>
      </c>
      <c r="G295" s="17">
        <f t="shared" si="105"/>
        <v>4889287.8269058503</v>
      </c>
      <c r="H295" s="17">
        <v>3625305.0828013201</v>
      </c>
      <c r="I295" s="17">
        <v>1263982.74410453</v>
      </c>
      <c r="J295" s="17">
        <v>3847226</v>
      </c>
      <c r="K295" s="17">
        <f>+Tabla22[[#This Row],[Web + APP 2026]]</f>
        <v>0</v>
      </c>
      <c r="L295" s="17">
        <v>31251.724137931</v>
      </c>
      <c r="M295" s="17">
        <f>+Tabla22[[#This Row],[Afiliados 2026]]</f>
        <v>0</v>
      </c>
      <c r="N295" s="17">
        <v>55327</v>
      </c>
      <c r="O295" s="17">
        <f>+Tabla22[[#This Row],[TMK 2026]]</f>
        <v>0</v>
      </c>
      <c r="P295" s="17">
        <v>3409</v>
      </c>
      <c r="Q295" s="17">
        <f>+Tabla22[[#This Row],[WA 2026]]</f>
        <v>0</v>
      </c>
      <c r="R295" s="17">
        <v>170272</v>
      </c>
      <c r="S295" s="17">
        <f>+Tabla22[[#This Row],[Ent. en Tienda 2026]]</f>
        <v>0</v>
      </c>
      <c r="T295" s="17">
        <v>271999</v>
      </c>
      <c r="U295" s="17">
        <f>+Tabla22[[#This Row],[Meli Drop 2026]]</f>
        <v>0</v>
      </c>
      <c r="V295" s="17">
        <v>100871</v>
      </c>
      <c r="W295" s="17">
        <f>+Tabla22[[#This Row],[Meli Full 2026]]</f>
        <v>0</v>
      </c>
      <c r="X295" s="17">
        <v>38995</v>
      </c>
      <c r="Y295" s="17">
        <f>+Tabla22[[#This Row],[Amazon Drop 2026]]</f>
        <v>0</v>
      </c>
      <c r="Z295" s="17">
        <v>5429</v>
      </c>
      <c r="AA295" s="17">
        <f>+Tabla22[[#This Row],[Amazon Full 2026]]</f>
        <v>0</v>
      </c>
      <c r="AB295" s="17">
        <v>429.31034482758599</v>
      </c>
      <c r="AC295" s="17">
        <f>+Tabla22[[#This Row],[TikTok 2026]]</f>
        <v>0</v>
      </c>
      <c r="AD295" s="17">
        <v>688.79310344827604</v>
      </c>
      <c r="AE295" s="17">
        <f>+Tabla22[[#This Row],[Shein 2026]]</f>
        <v>0</v>
      </c>
      <c r="AF295" s="17">
        <f t="shared" si="106"/>
        <v>0</v>
      </c>
      <c r="AG295" s="18">
        <f t="shared" si="107"/>
        <v>0</v>
      </c>
      <c r="AH295" s="17">
        <f t="shared" si="108"/>
        <v>-4889287.8269058503</v>
      </c>
      <c r="AI295" s="20">
        <f t="shared" si="109"/>
        <v>-1</v>
      </c>
      <c r="AJ295" s="20">
        <f t="shared" si="98"/>
        <v>0.1403258425852103</v>
      </c>
      <c r="AK295" s="21" t="e">
        <f t="shared" si="110"/>
        <v>#DIV/0!</v>
      </c>
      <c r="AL295" s="21">
        <f t="shared" si="99"/>
        <v>-1</v>
      </c>
    </row>
    <row r="296" spans="1:38" ht="14.25" customHeight="1" x14ac:dyDescent="0.35">
      <c r="A296" s="16">
        <v>45951</v>
      </c>
      <c r="B296" s="17">
        <v>35044736</v>
      </c>
      <c r="C296" s="17">
        <f t="shared" si="104"/>
        <v>5360909.2241379311</v>
      </c>
      <c r="D296" s="18">
        <f>+Tabla22[[#This Row],[Share diario]]</f>
        <v>3.3565787653024648E-2</v>
      </c>
      <c r="E296" s="17">
        <f>+Tabla22[[#This Row],[Global 2026]]</f>
        <v>0</v>
      </c>
      <c r="F296" s="19">
        <v>46315</v>
      </c>
      <c r="G296" s="17">
        <f t="shared" si="105"/>
        <v>5933000.9059289787</v>
      </c>
      <c r="H296" s="17">
        <v>5346404.4691381902</v>
      </c>
      <c r="I296" s="17">
        <v>586596.43679078901</v>
      </c>
      <c r="J296" s="17">
        <v>3931017</v>
      </c>
      <c r="K296" s="17">
        <f>+Tabla22[[#This Row],[Web + APP 2026]]</f>
        <v>0</v>
      </c>
      <c r="L296" s="17">
        <v>32601.724137931</v>
      </c>
      <c r="M296" s="17">
        <f>+Tabla22[[#This Row],[Afiliados 2026]]</f>
        <v>0</v>
      </c>
      <c r="N296" s="17">
        <v>9294</v>
      </c>
      <c r="O296" s="17">
        <f>+Tabla22[[#This Row],[TMK 2026]]</f>
        <v>0</v>
      </c>
      <c r="P296" s="17">
        <v>2891</v>
      </c>
      <c r="Q296" s="17">
        <f>+Tabla22[[#This Row],[WA 2026]]</f>
        <v>0</v>
      </c>
      <c r="R296" s="17">
        <v>155173</v>
      </c>
      <c r="S296" s="17">
        <f>+Tabla22[[#This Row],[Ent. en Tienda 2026]]</f>
        <v>0</v>
      </c>
      <c r="T296" s="17">
        <v>877636</v>
      </c>
      <c r="U296" s="17">
        <f>+Tabla22[[#This Row],[Meli Drop 2026]]</f>
        <v>0</v>
      </c>
      <c r="V296" s="17">
        <v>293673</v>
      </c>
      <c r="W296" s="17">
        <f>+Tabla22[[#This Row],[Meli Full 2026]]</f>
        <v>0</v>
      </c>
      <c r="X296" s="17">
        <v>44439</v>
      </c>
      <c r="Y296" s="17">
        <f>+Tabla22[[#This Row],[Amazon Drop 2026]]</f>
        <v>0</v>
      </c>
      <c r="Z296" s="17">
        <v>6738</v>
      </c>
      <c r="AA296" s="17">
        <f>+Tabla22[[#This Row],[Amazon Full 2026]]</f>
        <v>0</v>
      </c>
      <c r="AB296" s="17">
        <v>7446.5</v>
      </c>
      <c r="AC296" s="17">
        <f>+Tabla22[[#This Row],[TikTok 2026]]</f>
        <v>0</v>
      </c>
      <c r="AD296" s="17">
        <v>0</v>
      </c>
      <c r="AE296" s="17">
        <f>+Tabla22[[#This Row],[Shein 2026]]</f>
        <v>0</v>
      </c>
      <c r="AF296" s="17">
        <f t="shared" si="106"/>
        <v>0</v>
      </c>
      <c r="AG296" s="18">
        <f t="shared" si="107"/>
        <v>0</v>
      </c>
      <c r="AH296" s="17">
        <f t="shared" si="108"/>
        <v>-5933000.9059289787</v>
      </c>
      <c r="AI296" s="20">
        <f t="shared" si="109"/>
        <v>-1</v>
      </c>
      <c r="AJ296" s="20">
        <f t="shared" si="98"/>
        <v>0.15297330886264721</v>
      </c>
      <c r="AK296" s="21" t="e">
        <f t="shared" si="110"/>
        <v>#DIV/0!</v>
      </c>
      <c r="AL296" s="21">
        <f t="shared" si="99"/>
        <v>-1</v>
      </c>
    </row>
    <row r="297" spans="1:38" ht="14.25" customHeight="1" x14ac:dyDescent="0.35">
      <c r="A297" s="19">
        <v>45952</v>
      </c>
      <c r="B297" s="17">
        <v>38948520</v>
      </c>
      <c r="C297" s="17">
        <f t="shared" si="104"/>
        <v>5583297.9568965519</v>
      </c>
      <c r="D297" s="18">
        <f>+Tabla22[[#This Row],[Share diario]]</f>
        <v>3.9758551231043555E-2</v>
      </c>
      <c r="E297" s="17">
        <f>+Tabla22[[#This Row],[Global 2026]]</f>
        <v>0</v>
      </c>
      <c r="F297" s="19">
        <v>46316</v>
      </c>
      <c r="G297" s="17">
        <f t="shared" si="105"/>
        <v>7101295.3491040505</v>
      </c>
      <c r="H297" s="17">
        <v>5376980.9326536804</v>
      </c>
      <c r="I297" s="17">
        <v>1724314.4164503701</v>
      </c>
      <c r="J297" s="17">
        <v>4257253</v>
      </c>
      <c r="K297" s="17">
        <f>+Tabla22[[#This Row],[Web + APP 2026]]</f>
        <v>0</v>
      </c>
      <c r="L297" s="17">
        <v>28862.931034482801</v>
      </c>
      <c r="M297" s="17">
        <f>+Tabla22[[#This Row],[Afiliados 2026]]</f>
        <v>0</v>
      </c>
      <c r="N297" s="17">
        <v>58162</v>
      </c>
      <c r="O297" s="17">
        <f>+Tabla22[[#This Row],[TMK 2026]]</f>
        <v>0</v>
      </c>
      <c r="P297" s="17">
        <v>4241</v>
      </c>
      <c r="Q297" s="17">
        <f>+Tabla22[[#This Row],[WA 2026]]</f>
        <v>0</v>
      </c>
      <c r="R297" s="17">
        <v>134909</v>
      </c>
      <c r="S297" s="17">
        <f>+Tabla22[[#This Row],[Ent. en Tienda 2026]]</f>
        <v>0</v>
      </c>
      <c r="T297" s="17">
        <v>802589</v>
      </c>
      <c r="U297" s="17">
        <f>+Tabla22[[#This Row],[Meli Drop 2026]]</f>
        <v>0</v>
      </c>
      <c r="V297" s="17">
        <v>231059</v>
      </c>
      <c r="W297" s="17">
        <f>+Tabla22[[#This Row],[Meli Full 2026]]</f>
        <v>0</v>
      </c>
      <c r="X297" s="17">
        <v>43400</v>
      </c>
      <c r="Y297" s="17">
        <f>+Tabla22[[#This Row],[Amazon Drop 2026]]</f>
        <v>0</v>
      </c>
      <c r="Z297" s="17">
        <v>12873</v>
      </c>
      <c r="AA297" s="17">
        <f>+Tabla22[[#This Row],[Amazon Full 2026]]</f>
        <v>0</v>
      </c>
      <c r="AB297" s="17">
        <v>9949.0258620689692</v>
      </c>
      <c r="AC297" s="17">
        <f>+Tabla22[[#This Row],[TikTok 2026]]</f>
        <v>0</v>
      </c>
      <c r="AD297" s="17">
        <v>0</v>
      </c>
      <c r="AE297" s="17">
        <f>+Tabla22[[#This Row],[Shein 2026]]</f>
        <v>0</v>
      </c>
      <c r="AF297" s="17">
        <f t="shared" si="106"/>
        <v>0</v>
      </c>
      <c r="AG297" s="18">
        <f t="shared" si="107"/>
        <v>0</v>
      </c>
      <c r="AH297" s="17">
        <f t="shared" si="108"/>
        <v>-7101295.3491040505</v>
      </c>
      <c r="AI297" s="20">
        <f t="shared" si="109"/>
        <v>-1</v>
      </c>
      <c r="AJ297" s="20">
        <f t="shared" si="98"/>
        <v>0.14335070901016397</v>
      </c>
      <c r="AK297" s="21" t="e">
        <f t="shared" si="110"/>
        <v>#DIV/0!</v>
      </c>
      <c r="AL297" s="21">
        <f t="shared" si="99"/>
        <v>-1</v>
      </c>
    </row>
    <row r="298" spans="1:38" ht="14.25" customHeight="1" x14ac:dyDescent="0.35">
      <c r="A298" s="16">
        <v>45953</v>
      </c>
      <c r="B298" s="17">
        <v>43242417</v>
      </c>
      <c r="C298" s="17">
        <f t="shared" si="104"/>
        <v>4636206.8965517245</v>
      </c>
      <c r="D298" s="18">
        <f>+Tabla22[[#This Row],[Share diario]]</f>
        <v>4.1407871048804938E-2</v>
      </c>
      <c r="E298" s="17">
        <f>+Tabla22[[#This Row],[Global 2026]]</f>
        <v>0</v>
      </c>
      <c r="F298" s="19">
        <v>46317</v>
      </c>
      <c r="G298" s="17">
        <f t="shared" si="105"/>
        <v>7377712.3098019995</v>
      </c>
      <c r="H298" s="17">
        <v>5835740.0944034997</v>
      </c>
      <c r="I298" s="17">
        <v>1541972.2153985</v>
      </c>
      <c r="J298" s="17">
        <v>3461017</v>
      </c>
      <c r="K298" s="17">
        <f>+Tabla22[[#This Row],[Web + APP 2026]]</f>
        <v>0</v>
      </c>
      <c r="L298" s="17">
        <v>26515.517241379301</v>
      </c>
      <c r="M298" s="17">
        <f>+Tabla22[[#This Row],[Afiliados 2026]]</f>
        <v>0</v>
      </c>
      <c r="N298" s="17">
        <v>97029</v>
      </c>
      <c r="O298" s="17">
        <f>+Tabla22[[#This Row],[TMK 2026]]</f>
        <v>0</v>
      </c>
      <c r="P298" s="17">
        <v>4241</v>
      </c>
      <c r="Q298" s="17">
        <f>+Tabla22[[#This Row],[WA 2026]]</f>
        <v>0</v>
      </c>
      <c r="R298" s="17">
        <v>151103</v>
      </c>
      <c r="S298" s="17">
        <f>+Tabla22[[#This Row],[Ent. en Tienda 2026]]</f>
        <v>0</v>
      </c>
      <c r="T298" s="17">
        <v>627269</v>
      </c>
      <c r="U298" s="17">
        <f>+Tabla22[[#This Row],[Meli Drop 2026]]</f>
        <v>0</v>
      </c>
      <c r="V298" s="17">
        <v>217360</v>
      </c>
      <c r="W298" s="17">
        <f>+Tabla22[[#This Row],[Meli Full 2026]]</f>
        <v>0</v>
      </c>
      <c r="X298" s="17">
        <v>37546</v>
      </c>
      <c r="Y298" s="17">
        <f>+Tabla22[[#This Row],[Amazon Drop 2026]]</f>
        <v>0</v>
      </c>
      <c r="Z298" s="17">
        <v>11591</v>
      </c>
      <c r="AA298" s="17">
        <f>+Tabla22[[#This Row],[Amazon Full 2026]]</f>
        <v>0</v>
      </c>
      <c r="AB298" s="17">
        <v>2535.3793103448302</v>
      </c>
      <c r="AC298" s="17">
        <f>+Tabla22[[#This Row],[TikTok 2026]]</f>
        <v>0</v>
      </c>
      <c r="AD298" s="17">
        <v>0</v>
      </c>
      <c r="AE298" s="17">
        <f>+Tabla22[[#This Row],[Shein 2026]]</f>
        <v>0</v>
      </c>
      <c r="AF298" s="17">
        <f t="shared" si="106"/>
        <v>0</v>
      </c>
      <c r="AG298" s="18">
        <f t="shared" si="107"/>
        <v>0</v>
      </c>
      <c r="AH298" s="17">
        <f t="shared" si="108"/>
        <v>-7377712.3098019995</v>
      </c>
      <c r="AI298" s="20">
        <f t="shared" si="109"/>
        <v>-1</v>
      </c>
      <c r="AJ298" s="20">
        <f t="shared" si="98"/>
        <v>0.10721433301361773</v>
      </c>
      <c r="AK298" s="21" t="e">
        <f t="shared" si="110"/>
        <v>#DIV/0!</v>
      </c>
      <c r="AL298" s="21">
        <f t="shared" si="99"/>
        <v>-1</v>
      </c>
    </row>
    <row r="299" spans="1:38" ht="14.25" customHeight="1" x14ac:dyDescent="0.35">
      <c r="A299" s="19">
        <v>45954</v>
      </c>
      <c r="B299" s="17">
        <v>42069566</v>
      </c>
      <c r="C299" s="17">
        <f t="shared" si="104"/>
        <v>3572932.1379310349</v>
      </c>
      <c r="D299" s="18">
        <f>+Tabla22[[#This Row],[Share diario]]</f>
        <v>3.4383881858008974E-2</v>
      </c>
      <c r="E299" s="17">
        <f>+Tabla22[[#This Row],[Global 2026]]</f>
        <v>0</v>
      </c>
      <c r="F299" s="19">
        <v>46318</v>
      </c>
      <c r="G299" s="17">
        <f t="shared" si="105"/>
        <v>6124530.4343229504</v>
      </c>
      <c r="H299" s="17">
        <v>4867953.0287912004</v>
      </c>
      <c r="I299" s="17">
        <v>1256577.4055317501</v>
      </c>
      <c r="J299" s="17">
        <v>2656715</v>
      </c>
      <c r="K299" s="17">
        <f>+Tabla22[[#This Row],[Web + APP 2026]]</f>
        <v>0</v>
      </c>
      <c r="L299" s="17">
        <v>22585.344827586199</v>
      </c>
      <c r="M299" s="17">
        <f>+Tabla22[[#This Row],[Afiliados 2026]]</f>
        <v>0</v>
      </c>
      <c r="N299" s="17">
        <v>27735</v>
      </c>
      <c r="O299" s="17">
        <f>+Tabla22[[#This Row],[TMK 2026]]</f>
        <v>0</v>
      </c>
      <c r="P299" s="17">
        <v>1495</v>
      </c>
      <c r="Q299" s="17">
        <f>+Tabla22[[#This Row],[WA 2026]]</f>
        <v>0</v>
      </c>
      <c r="R299" s="17">
        <v>121228</v>
      </c>
      <c r="S299" s="17">
        <f>+Tabla22[[#This Row],[Ent. en Tienda 2026]]</f>
        <v>0</v>
      </c>
      <c r="T299" s="17">
        <v>505230</v>
      </c>
      <c r="U299" s="17">
        <f>+Tabla22[[#This Row],[Meli Drop 2026]]</f>
        <v>0</v>
      </c>
      <c r="V299" s="17">
        <v>186135</v>
      </c>
      <c r="W299" s="17">
        <f>+Tabla22[[#This Row],[Meli Full 2026]]</f>
        <v>0</v>
      </c>
      <c r="X299" s="17">
        <v>27757</v>
      </c>
      <c r="Y299" s="17">
        <f>+Tabla22[[#This Row],[Amazon Drop 2026]]</f>
        <v>0</v>
      </c>
      <c r="Z299" s="17">
        <v>5852</v>
      </c>
      <c r="AA299" s="17">
        <f>+Tabla22[[#This Row],[Amazon Full 2026]]</f>
        <v>0</v>
      </c>
      <c r="AB299" s="17">
        <v>17338.586206896602</v>
      </c>
      <c r="AC299" s="17">
        <f>+Tabla22[[#This Row],[TikTok 2026]]</f>
        <v>0</v>
      </c>
      <c r="AD299" s="17">
        <v>861.20689655172396</v>
      </c>
      <c r="AE299" s="17">
        <f>+Tabla22[[#This Row],[Shein 2026]]</f>
        <v>0</v>
      </c>
      <c r="AF299" s="17">
        <f t="shared" si="106"/>
        <v>0</v>
      </c>
      <c r="AG299" s="18">
        <f t="shared" si="107"/>
        <v>0</v>
      </c>
      <c r="AH299" s="17">
        <f t="shared" si="108"/>
        <v>-6124530.4343229504</v>
      </c>
      <c r="AI299" s="20">
        <f t="shared" si="109"/>
        <v>-1</v>
      </c>
      <c r="AJ299" s="20">
        <f t="shared" si="98"/>
        <v>8.4929141839281991E-2</v>
      </c>
      <c r="AK299" s="21" t="e">
        <f t="shared" si="110"/>
        <v>#DIV/0!</v>
      </c>
      <c r="AL299" s="21">
        <f t="shared" si="99"/>
        <v>-1</v>
      </c>
    </row>
    <row r="300" spans="1:38" ht="14.25" customHeight="1" x14ac:dyDescent="0.35">
      <c r="A300" s="16">
        <v>45955</v>
      </c>
      <c r="B300" s="17">
        <v>52693132</v>
      </c>
      <c r="C300" s="17">
        <f t="shared" si="104"/>
        <v>2815651.7241379311</v>
      </c>
      <c r="D300" s="18">
        <f>+Tabla22[[#This Row],[Share diario]]</f>
        <v>2.6498229966543843E-2</v>
      </c>
      <c r="E300" s="17">
        <f>+Tabla22[[#This Row],[Global 2026]]</f>
        <v>0</v>
      </c>
      <c r="F300" s="19">
        <v>46319</v>
      </c>
      <c r="G300" s="17">
        <f t="shared" si="105"/>
        <v>4725181.9509325605</v>
      </c>
      <c r="H300" s="17">
        <v>3683283.0781274401</v>
      </c>
      <c r="I300" s="17">
        <v>1041898.87280512</v>
      </c>
      <c r="J300" s="17">
        <v>2019623</v>
      </c>
      <c r="K300" s="17">
        <f>+Tabla22[[#This Row],[Web + APP 2026]]</f>
        <v>0</v>
      </c>
      <c r="L300" s="17">
        <v>28975</v>
      </c>
      <c r="M300" s="17">
        <f>+Tabla22[[#This Row],[Afiliados 2026]]</f>
        <v>0</v>
      </c>
      <c r="N300" s="17">
        <v>-2410</v>
      </c>
      <c r="O300" s="17">
        <f>+Tabla22[[#This Row],[TMK 2026]]</f>
        <v>0</v>
      </c>
      <c r="P300" s="17">
        <v>41</v>
      </c>
      <c r="Q300" s="17">
        <f>+Tabla22[[#This Row],[WA 2026]]</f>
        <v>0</v>
      </c>
      <c r="R300" s="17">
        <v>83407</v>
      </c>
      <c r="S300" s="17">
        <f>+Tabla22[[#This Row],[Ent. en Tienda 2026]]</f>
        <v>0</v>
      </c>
      <c r="T300" s="17">
        <v>490357</v>
      </c>
      <c r="U300" s="17">
        <f>+Tabla22[[#This Row],[Meli Drop 2026]]</f>
        <v>0</v>
      </c>
      <c r="V300" s="17">
        <v>162629</v>
      </c>
      <c r="W300" s="17">
        <f>+Tabla22[[#This Row],[Meli Full 2026]]</f>
        <v>0</v>
      </c>
      <c r="X300" s="17">
        <v>25730</v>
      </c>
      <c r="Y300" s="17">
        <f>+Tabla22[[#This Row],[Amazon Drop 2026]]</f>
        <v>0</v>
      </c>
      <c r="Z300" s="17">
        <v>6748</v>
      </c>
      <c r="AA300" s="17">
        <f>+Tabla22[[#This Row],[Amazon Full 2026]]</f>
        <v>0</v>
      </c>
      <c r="AB300" s="17">
        <v>551.72413793103499</v>
      </c>
      <c r="AC300" s="17">
        <f>+Tabla22[[#This Row],[TikTok 2026]]</f>
        <v>0</v>
      </c>
      <c r="AD300" s="17">
        <v>0</v>
      </c>
      <c r="AE300" s="17">
        <f>+Tabla22[[#This Row],[Shein 2026]]</f>
        <v>0</v>
      </c>
      <c r="AF300" s="17">
        <f t="shared" si="106"/>
        <v>0</v>
      </c>
      <c r="AG300" s="18">
        <f t="shared" si="107"/>
        <v>0</v>
      </c>
      <c r="AH300" s="17">
        <f t="shared" si="108"/>
        <v>-4725181.9509325605</v>
      </c>
      <c r="AI300" s="20">
        <f t="shared" si="109"/>
        <v>-1</v>
      </c>
      <c r="AJ300" s="20">
        <f t="shared" si="98"/>
        <v>5.3434890227021067E-2</v>
      </c>
      <c r="AK300" s="21" t="e">
        <f t="shared" si="110"/>
        <v>#DIV/0!</v>
      </c>
      <c r="AL300" s="21">
        <f t="shared" si="99"/>
        <v>-1</v>
      </c>
    </row>
    <row r="301" spans="1:38" ht="14.25" customHeight="1" x14ac:dyDescent="0.35">
      <c r="A301" s="19">
        <v>45956</v>
      </c>
      <c r="B301" s="17">
        <v>50632279</v>
      </c>
      <c r="C301" s="17">
        <f t="shared" si="104"/>
        <v>3536710.5172413792</v>
      </c>
      <c r="D301" s="18">
        <f>+Tabla22[[#This Row],[Share diario]]</f>
        <v>2.0881949057981995E-2</v>
      </c>
      <c r="E301" s="17">
        <f>+Tabla22[[#This Row],[Global 2026]]</f>
        <v>0</v>
      </c>
      <c r="F301" s="19">
        <v>46320</v>
      </c>
      <c r="G301" s="17">
        <f t="shared" si="105"/>
        <v>3733752.2378137349</v>
      </c>
      <c r="H301" s="17">
        <v>2771986.6099905199</v>
      </c>
      <c r="I301" s="17">
        <v>961765.62782321498</v>
      </c>
      <c r="J301" s="17">
        <v>2657024</v>
      </c>
      <c r="K301" s="17">
        <f>+Tabla22[[#This Row],[Web + APP 2026]]</f>
        <v>0</v>
      </c>
      <c r="L301" s="17">
        <v>30806.034482758601</v>
      </c>
      <c r="M301" s="17">
        <f>+Tabla22[[#This Row],[Afiliados 2026]]</f>
        <v>0</v>
      </c>
      <c r="N301" s="17">
        <v>-4552</v>
      </c>
      <c r="O301" s="17">
        <f>+Tabla22[[#This Row],[TMK 2026]]</f>
        <v>0</v>
      </c>
      <c r="P301" s="17">
        <v>130</v>
      </c>
      <c r="Q301" s="17">
        <f>+Tabla22[[#This Row],[WA 2026]]</f>
        <v>0</v>
      </c>
      <c r="R301" s="17">
        <v>80354</v>
      </c>
      <c r="S301" s="17">
        <f>+Tabla22[[#This Row],[Ent. en Tienda 2026]]</f>
        <v>0</v>
      </c>
      <c r="T301" s="17">
        <v>573146</v>
      </c>
      <c r="U301" s="17">
        <f>+Tabla22[[#This Row],[Meli Drop 2026]]</f>
        <v>0</v>
      </c>
      <c r="V301" s="17">
        <v>162092</v>
      </c>
      <c r="W301" s="17">
        <f>+Tabla22[[#This Row],[Meli Full 2026]]</f>
        <v>0</v>
      </c>
      <c r="X301" s="17">
        <v>29698</v>
      </c>
      <c r="Y301" s="17">
        <f>+Tabla22[[#This Row],[Amazon Drop 2026]]</f>
        <v>0</v>
      </c>
      <c r="Z301" s="17">
        <v>3328</v>
      </c>
      <c r="AA301" s="17">
        <f>+Tabla22[[#This Row],[Amazon Full 2026]]</f>
        <v>0</v>
      </c>
      <c r="AB301" s="17">
        <v>3048.2758620689701</v>
      </c>
      <c r="AC301" s="17">
        <f>+Tabla22[[#This Row],[TikTok 2026]]</f>
        <v>0</v>
      </c>
      <c r="AD301" s="17">
        <v>1636.2068965517201</v>
      </c>
      <c r="AE301" s="17">
        <f>+Tabla22[[#This Row],[Shein 2026]]</f>
        <v>0</v>
      </c>
      <c r="AF301" s="17">
        <f t="shared" si="106"/>
        <v>0</v>
      </c>
      <c r="AG301" s="18">
        <f t="shared" si="107"/>
        <v>0</v>
      </c>
      <c r="AH301" s="17">
        <f t="shared" si="108"/>
        <v>-3733752.2378137349</v>
      </c>
      <c r="AI301" s="20">
        <f t="shared" si="109"/>
        <v>-1</v>
      </c>
      <c r="AJ301" s="20">
        <f t="shared" si="98"/>
        <v>6.9850905135859662E-2</v>
      </c>
      <c r="AK301" s="21" t="e">
        <f t="shared" si="110"/>
        <v>#DIV/0!</v>
      </c>
      <c r="AL301" s="21">
        <f t="shared" si="99"/>
        <v>-1</v>
      </c>
    </row>
    <row r="302" spans="1:38" ht="14.25" customHeight="1" x14ac:dyDescent="0.35">
      <c r="A302" s="16">
        <v>45957</v>
      </c>
      <c r="B302" s="17">
        <v>27179504</v>
      </c>
      <c r="C302" s="17">
        <f t="shared" si="104"/>
        <v>4732069.5689655179</v>
      </c>
      <c r="D302" s="18">
        <f>+Tabla22[[#This Row],[Share diario]]</f>
        <v>2.6229596587083348E-2</v>
      </c>
      <c r="E302" s="17">
        <f>+Tabla22[[#This Row],[Global 2026]]</f>
        <v>0</v>
      </c>
      <c r="F302" s="19">
        <v>46321</v>
      </c>
      <c r="G302" s="17">
        <f t="shared" si="105"/>
        <v>4681022.4112888705</v>
      </c>
      <c r="H302" s="17">
        <v>3597380.65696972</v>
      </c>
      <c r="I302" s="17">
        <v>1083641.75431915</v>
      </c>
      <c r="J302" s="17">
        <v>3776827</v>
      </c>
      <c r="K302" s="17">
        <f>+Tabla22[[#This Row],[Web + APP 2026]]</f>
        <v>0</v>
      </c>
      <c r="L302" s="17">
        <v>29792.241379310301</v>
      </c>
      <c r="M302" s="17">
        <f>+Tabla22[[#This Row],[Afiliados 2026]]</f>
        <v>0</v>
      </c>
      <c r="N302" s="17">
        <v>64916</v>
      </c>
      <c r="O302" s="17">
        <f>+Tabla22[[#This Row],[TMK 2026]]</f>
        <v>0</v>
      </c>
      <c r="P302" s="17">
        <v>3260</v>
      </c>
      <c r="Q302" s="17">
        <f>+Tabla22[[#This Row],[WA 2026]]</f>
        <v>0</v>
      </c>
      <c r="R302" s="17">
        <v>63746</v>
      </c>
      <c r="S302" s="17">
        <f>+Tabla22[[#This Row],[Ent. en Tienda 2026]]</f>
        <v>0</v>
      </c>
      <c r="T302" s="17">
        <v>549556</v>
      </c>
      <c r="U302" s="17">
        <f>+Tabla22[[#This Row],[Meli Drop 2026]]</f>
        <v>0</v>
      </c>
      <c r="V302" s="17">
        <v>173311</v>
      </c>
      <c r="W302" s="17">
        <f>+Tabla22[[#This Row],[Meli Full 2026]]</f>
        <v>0</v>
      </c>
      <c r="X302" s="17">
        <v>35148</v>
      </c>
      <c r="Y302" s="17">
        <f>+Tabla22[[#This Row],[Amazon Drop 2026]]</f>
        <v>0</v>
      </c>
      <c r="Z302" s="17">
        <v>7879</v>
      </c>
      <c r="AA302" s="17">
        <f>+Tabla22[[#This Row],[Amazon Full 2026]]</f>
        <v>0</v>
      </c>
      <c r="AB302" s="17">
        <v>26773.120689655199</v>
      </c>
      <c r="AC302" s="17">
        <f>+Tabla22[[#This Row],[TikTok 2026]]</f>
        <v>0</v>
      </c>
      <c r="AD302" s="17">
        <v>861.20689655172396</v>
      </c>
      <c r="AE302" s="17">
        <f>+Tabla22[[#This Row],[Shein 2026]]</f>
        <v>0</v>
      </c>
      <c r="AF302" s="17">
        <f t="shared" si="106"/>
        <v>0</v>
      </c>
      <c r="AG302" s="18">
        <f t="shared" si="107"/>
        <v>0</v>
      </c>
      <c r="AH302" s="17">
        <f t="shared" si="108"/>
        <v>-4681022.4112888705</v>
      </c>
      <c r="AI302" s="20">
        <f t="shared" si="109"/>
        <v>-1</v>
      </c>
      <c r="AJ302" s="20">
        <f t="shared" si="98"/>
        <v>0.17410433865774438</v>
      </c>
      <c r="AK302" s="21" t="e">
        <f t="shared" si="110"/>
        <v>#DIV/0!</v>
      </c>
      <c r="AL302" s="21">
        <f t="shared" si="99"/>
        <v>-1</v>
      </c>
    </row>
    <row r="303" spans="1:38" ht="14.25" customHeight="1" x14ac:dyDescent="0.35">
      <c r="A303" s="19">
        <v>45958</v>
      </c>
      <c r="B303" s="17">
        <v>30046512</v>
      </c>
      <c r="C303" s="17">
        <f t="shared" si="104"/>
        <v>4544797.0603448264</v>
      </c>
      <c r="D303" s="18">
        <f>+Tabla22[[#This Row],[Share diario]]</f>
        <v>3.5094836066139862E-2</v>
      </c>
      <c r="E303" s="17">
        <f>+Tabla22[[#This Row],[Global 2026]]</f>
        <v>0</v>
      </c>
      <c r="F303" s="19">
        <v>46322</v>
      </c>
      <c r="G303" s="17">
        <f t="shared" si="105"/>
        <v>6238996.0183507893</v>
      </c>
      <c r="H303" s="17">
        <v>5126502.1740799397</v>
      </c>
      <c r="I303" s="17">
        <v>1112493.8442708501</v>
      </c>
      <c r="J303" s="17">
        <v>3810274</v>
      </c>
      <c r="K303" s="17">
        <f>+Tabla22[[#This Row],[Web + APP 2026]]</f>
        <v>0</v>
      </c>
      <c r="L303" s="17">
        <v>28745.689655172398</v>
      </c>
      <c r="M303" s="17">
        <f>+Tabla22[[#This Row],[Afiliados 2026]]</f>
        <v>0</v>
      </c>
      <c r="N303" s="17">
        <v>-671</v>
      </c>
      <c r="O303" s="17">
        <f>+Tabla22[[#This Row],[TMK 2026]]</f>
        <v>0</v>
      </c>
      <c r="P303" s="17">
        <v>2634</v>
      </c>
      <c r="Q303" s="17">
        <f>+Tabla22[[#This Row],[WA 2026]]</f>
        <v>0</v>
      </c>
      <c r="R303" s="17">
        <v>138347</v>
      </c>
      <c r="S303" s="17">
        <f>+Tabla22[[#This Row],[Ent. en Tienda 2026]]</f>
        <v>0</v>
      </c>
      <c r="T303" s="17">
        <v>371112</v>
      </c>
      <c r="U303" s="17">
        <f>+Tabla22[[#This Row],[Meli Drop 2026]]</f>
        <v>0</v>
      </c>
      <c r="V303" s="17">
        <v>145967</v>
      </c>
      <c r="W303" s="17">
        <f>+Tabla22[[#This Row],[Meli Full 2026]]</f>
        <v>0</v>
      </c>
      <c r="X303" s="17">
        <v>36008</v>
      </c>
      <c r="Y303" s="17">
        <f>+Tabla22[[#This Row],[Amazon Drop 2026]]</f>
        <v>0</v>
      </c>
      <c r="Z303" s="17">
        <v>9114</v>
      </c>
      <c r="AA303" s="17">
        <f>+Tabla22[[#This Row],[Amazon Full 2026]]</f>
        <v>0</v>
      </c>
      <c r="AB303" s="17">
        <v>682.75</v>
      </c>
      <c r="AC303" s="17">
        <f>+Tabla22[[#This Row],[TikTok 2026]]</f>
        <v>0</v>
      </c>
      <c r="AD303" s="17">
        <v>2583.6206896551698</v>
      </c>
      <c r="AE303" s="17">
        <f>+Tabla22[[#This Row],[Shein 2026]]</f>
        <v>0</v>
      </c>
      <c r="AF303" s="17">
        <f t="shared" si="106"/>
        <v>0</v>
      </c>
      <c r="AG303" s="18">
        <f t="shared" si="107"/>
        <v>0</v>
      </c>
      <c r="AH303" s="17">
        <f t="shared" si="108"/>
        <v>-6238996.0183507893</v>
      </c>
      <c r="AI303" s="20">
        <f t="shared" si="109"/>
        <v>-1</v>
      </c>
      <c r="AJ303" s="20">
        <f t="shared" si="98"/>
        <v>0.15125872381941793</v>
      </c>
      <c r="AK303" s="21" t="e">
        <f t="shared" si="110"/>
        <v>#DIV/0!</v>
      </c>
      <c r="AL303" s="21">
        <f t="shared" si="99"/>
        <v>-1</v>
      </c>
    </row>
    <row r="304" spans="1:38" ht="14.25" customHeight="1" x14ac:dyDescent="0.35">
      <c r="A304" s="16">
        <v>45959</v>
      </c>
      <c r="B304" s="17">
        <v>32503062</v>
      </c>
      <c r="C304" s="17">
        <f t="shared" si="104"/>
        <v>4303996.3017241387</v>
      </c>
      <c r="D304" s="18">
        <f>+Tabla22[[#This Row],[Share diario]]</f>
        <v>3.3705951584634936E-2</v>
      </c>
      <c r="E304" s="17">
        <f>+Tabla22[[#This Row],[Global 2026]]</f>
        <v>0</v>
      </c>
      <c r="F304" s="19">
        <v>46323</v>
      </c>
      <c r="G304" s="17">
        <f t="shared" si="105"/>
        <v>5972355.2516823364</v>
      </c>
      <c r="H304" s="17">
        <v>5179593.4218156897</v>
      </c>
      <c r="I304" s="17">
        <v>792761.82986664702</v>
      </c>
      <c r="J304" s="17">
        <v>3411835</v>
      </c>
      <c r="K304" s="17">
        <f>+Tabla22[[#This Row],[Web + APP 2026]]</f>
        <v>0</v>
      </c>
      <c r="L304" s="17">
        <v>32697.413793103398</v>
      </c>
      <c r="M304" s="17">
        <f>+Tabla22[[#This Row],[Afiliados 2026]]</f>
        <v>0</v>
      </c>
      <c r="N304" s="17">
        <v>103284</v>
      </c>
      <c r="O304" s="17">
        <f>+Tabla22[[#This Row],[TMK 2026]]</f>
        <v>0</v>
      </c>
      <c r="P304" s="17">
        <v>6626</v>
      </c>
      <c r="Q304" s="17">
        <f>+Tabla22[[#This Row],[WA 2026]]</f>
        <v>0</v>
      </c>
      <c r="R304" s="17">
        <v>99610</v>
      </c>
      <c r="S304" s="17">
        <f>+Tabla22[[#This Row],[Ent. en Tienda 2026]]</f>
        <v>0</v>
      </c>
      <c r="T304" s="17">
        <v>451504</v>
      </c>
      <c r="U304" s="17">
        <f>+Tabla22[[#This Row],[Meli Drop 2026]]</f>
        <v>0</v>
      </c>
      <c r="V304" s="17">
        <v>161597</v>
      </c>
      <c r="W304" s="17">
        <f>+Tabla22[[#This Row],[Meli Full 2026]]</f>
        <v>0</v>
      </c>
      <c r="X304" s="17">
        <v>29605</v>
      </c>
      <c r="Y304" s="17">
        <f>+Tabla22[[#This Row],[Amazon Drop 2026]]</f>
        <v>0</v>
      </c>
      <c r="Z304" s="17">
        <v>6174</v>
      </c>
      <c r="AA304" s="17">
        <f>+Tabla22[[#This Row],[Amazon Full 2026]]</f>
        <v>0</v>
      </c>
      <c r="AB304" s="17">
        <v>1063.8879310344801</v>
      </c>
      <c r="AC304" s="17">
        <f>+Tabla22[[#This Row],[TikTok 2026]]</f>
        <v>0</v>
      </c>
      <c r="AD304" s="17">
        <v>0</v>
      </c>
      <c r="AE304" s="17">
        <f>+Tabla22[[#This Row],[Shein 2026]]</f>
        <v>0</v>
      </c>
      <c r="AF304" s="17">
        <f t="shared" si="106"/>
        <v>0</v>
      </c>
      <c r="AG304" s="18">
        <f t="shared" si="107"/>
        <v>0</v>
      </c>
      <c r="AH304" s="17">
        <f t="shared" si="108"/>
        <v>-5972355.2516823364</v>
      </c>
      <c r="AI304" s="20">
        <f t="shared" si="109"/>
        <v>-1</v>
      </c>
      <c r="AJ304" s="20">
        <f t="shared" si="98"/>
        <v>0.13241817960794397</v>
      </c>
      <c r="AK304" s="21" t="e">
        <f t="shared" si="110"/>
        <v>#DIV/0!</v>
      </c>
      <c r="AL304" s="21">
        <f t="shared" si="99"/>
        <v>-1</v>
      </c>
    </row>
    <row r="305" spans="1:38" ht="14.25" customHeight="1" x14ac:dyDescent="0.35">
      <c r="A305" s="19">
        <v>45960</v>
      </c>
      <c r="B305" s="17">
        <v>36140823</v>
      </c>
      <c r="C305" s="17">
        <f t="shared" si="104"/>
        <v>3101286.1379310344</v>
      </c>
      <c r="D305" s="18">
        <f>+Tabla22[[#This Row],[Share diario]]</f>
        <v>3.1920081147771805E-2</v>
      </c>
      <c r="E305" s="17">
        <f>+Tabla22[[#This Row],[Global 2026]]</f>
        <v>0</v>
      </c>
      <c r="F305" s="19">
        <v>46324</v>
      </c>
      <c r="G305" s="17">
        <f t="shared" si="105"/>
        <v>5667398.9249175191</v>
      </c>
      <c r="H305" s="17">
        <v>4756204.5172217404</v>
      </c>
      <c r="I305" s="17">
        <v>911194.40769577899</v>
      </c>
      <c r="J305" s="17">
        <v>2388298</v>
      </c>
      <c r="K305" s="17">
        <f>+Tabla22[[#This Row],[Web + APP 2026]]</f>
        <v>0</v>
      </c>
      <c r="L305" s="17">
        <v>26326.724137931</v>
      </c>
      <c r="M305" s="17">
        <f>+Tabla22[[#This Row],[Afiliados 2026]]</f>
        <v>0</v>
      </c>
      <c r="N305" s="17">
        <v>50337</v>
      </c>
      <c r="O305" s="17">
        <f>+Tabla22[[#This Row],[TMK 2026]]</f>
        <v>0</v>
      </c>
      <c r="P305" s="17">
        <v>4122</v>
      </c>
      <c r="Q305" s="17">
        <f>+Tabla22[[#This Row],[WA 2026]]</f>
        <v>0</v>
      </c>
      <c r="R305" s="17">
        <v>122069</v>
      </c>
      <c r="S305" s="17">
        <f>+Tabla22[[#This Row],[Ent. en Tienda 2026]]</f>
        <v>0</v>
      </c>
      <c r="T305" s="17">
        <v>313708</v>
      </c>
      <c r="U305" s="17">
        <f>+Tabla22[[#This Row],[Meli Drop 2026]]</f>
        <v>0</v>
      </c>
      <c r="V305" s="17">
        <v>168402</v>
      </c>
      <c r="W305" s="17">
        <f>+Tabla22[[#This Row],[Meli Full 2026]]</f>
        <v>0</v>
      </c>
      <c r="X305" s="17">
        <v>24166</v>
      </c>
      <c r="Y305" s="17">
        <f>+Tabla22[[#This Row],[Amazon Drop 2026]]</f>
        <v>0</v>
      </c>
      <c r="Z305" s="17">
        <v>3722</v>
      </c>
      <c r="AA305" s="17">
        <f>+Tabla22[[#This Row],[Amazon Full 2026]]</f>
        <v>0</v>
      </c>
      <c r="AB305" s="17">
        <v>135.413793103448</v>
      </c>
      <c r="AC305" s="17">
        <f>+Tabla22[[#This Row],[TikTok 2026]]</f>
        <v>0</v>
      </c>
      <c r="AD305" s="17">
        <v>0</v>
      </c>
      <c r="AE305" s="17">
        <f>+Tabla22[[#This Row],[Shein 2026]]</f>
        <v>0</v>
      </c>
      <c r="AF305" s="17">
        <f t="shared" si="106"/>
        <v>0</v>
      </c>
      <c r="AG305" s="18">
        <f t="shared" si="107"/>
        <v>0</v>
      </c>
      <c r="AH305" s="17">
        <f t="shared" si="108"/>
        <v>-5667398.9249175191</v>
      </c>
      <c r="AI305" s="20">
        <f t="shared" si="109"/>
        <v>-1</v>
      </c>
      <c r="AJ305" s="20">
        <f t="shared" si="98"/>
        <v>8.5811165338737158E-2</v>
      </c>
      <c r="AK305" s="21" t="e">
        <f t="shared" si="110"/>
        <v>#DIV/0!</v>
      </c>
      <c r="AL305" s="21">
        <f t="shared" si="99"/>
        <v>-1</v>
      </c>
    </row>
    <row r="306" spans="1:38" ht="14.25" customHeight="1" x14ac:dyDescent="0.35">
      <c r="A306" s="16">
        <v>45961</v>
      </c>
      <c r="B306" s="17">
        <v>37148684</v>
      </c>
      <c r="C306" s="17">
        <f t="shared" si="104"/>
        <v>3448289.0948275863</v>
      </c>
      <c r="D306" s="18">
        <f>+Tabla22[[#This Row],[Share diario]]</f>
        <v>2.3000323012722548E-2</v>
      </c>
      <c r="E306" s="17">
        <f>+Tabla22[[#This Row],[Global 2026]]</f>
        <v>0</v>
      </c>
      <c r="F306" s="19">
        <v>46325</v>
      </c>
      <c r="G306" s="17">
        <f t="shared" si="105"/>
        <v>4087894.046608422</v>
      </c>
      <c r="H306" s="17">
        <v>3372708.1321647498</v>
      </c>
      <c r="I306" s="17">
        <v>715185.91444367205</v>
      </c>
      <c r="J306" s="17">
        <v>2518660</v>
      </c>
      <c r="K306" s="17">
        <f>+Tabla22[[#This Row],[Web + APP 2026]]</f>
        <v>0</v>
      </c>
      <c r="L306" s="17">
        <v>25826.724137931</v>
      </c>
      <c r="M306" s="17">
        <f>+Tabla22[[#This Row],[Afiliados 2026]]</f>
        <v>0</v>
      </c>
      <c r="N306" s="17">
        <v>91252</v>
      </c>
      <c r="O306" s="17">
        <f>+Tabla22[[#This Row],[TMK 2026]]</f>
        <v>0</v>
      </c>
      <c r="P306" s="17">
        <v>2632</v>
      </c>
      <c r="Q306" s="17">
        <f>+Tabla22[[#This Row],[WA 2026]]</f>
        <v>0</v>
      </c>
      <c r="R306" s="17">
        <v>75677</v>
      </c>
      <c r="S306" s="17">
        <f>+Tabla22[[#This Row],[Ent. en Tienda 2026]]</f>
        <v>0</v>
      </c>
      <c r="T306" s="17">
        <v>539551</v>
      </c>
      <c r="U306" s="17">
        <f>+Tabla22[[#This Row],[Meli Drop 2026]]</f>
        <v>0</v>
      </c>
      <c r="V306" s="17">
        <v>143470</v>
      </c>
      <c r="W306" s="17">
        <f>+Tabla22[[#This Row],[Meli Full 2026]]</f>
        <v>0</v>
      </c>
      <c r="X306" s="17">
        <v>48956</v>
      </c>
      <c r="Y306" s="17">
        <f>+Tabla22[[#This Row],[Amazon Drop 2026]]</f>
        <v>0</v>
      </c>
      <c r="Z306" s="17">
        <v>2157</v>
      </c>
      <c r="AA306" s="17">
        <f>+Tabla22[[#This Row],[Amazon Full 2026]]</f>
        <v>0</v>
      </c>
      <c r="AB306" s="17">
        <v>-667.62931034482699</v>
      </c>
      <c r="AC306" s="17">
        <f>+Tabla22[[#This Row],[TikTok 2026]]</f>
        <v>0</v>
      </c>
      <c r="AD306" s="17">
        <v>775</v>
      </c>
      <c r="AE306" s="17">
        <f>+Tabla22[[#This Row],[Shein 2026]]</f>
        <v>0</v>
      </c>
      <c r="AF306" s="17">
        <f t="shared" si="106"/>
        <v>0</v>
      </c>
      <c r="AG306" s="18">
        <f t="shared" si="107"/>
        <v>0</v>
      </c>
      <c r="AH306" s="17">
        <f t="shared" si="108"/>
        <v>-4087894.046608422</v>
      </c>
      <c r="AI306" s="20">
        <f t="shared" si="109"/>
        <v>-1</v>
      </c>
      <c r="AJ306" s="20">
        <f t="shared" si="98"/>
        <v>9.2823990611015622E-2</v>
      </c>
      <c r="AK306" s="21" t="e">
        <f t="shared" si="110"/>
        <v>#DIV/0!</v>
      </c>
      <c r="AL306" s="21">
        <f t="shared" si="99"/>
        <v>-1</v>
      </c>
    </row>
    <row r="307" spans="1:38" ht="14.25" customHeight="1" x14ac:dyDescent="0.35">
      <c r="A307" s="19">
        <v>45962</v>
      </c>
      <c r="B307" s="17">
        <v>38306116</v>
      </c>
      <c r="C307" s="17">
        <f t="shared" si="104"/>
        <v>2349410.4827586208</v>
      </c>
      <c r="D307" s="18">
        <f>+Tabla22[[#This Row],[Share diario]]</f>
        <v>2.5573829532283827E-2</v>
      </c>
      <c r="E307" s="17">
        <f>+Tabla22[[#This Row],[Global 2026]]</f>
        <v>0</v>
      </c>
      <c r="F307" s="19">
        <v>46326</v>
      </c>
      <c r="G307" s="17">
        <f t="shared" si="105"/>
        <v>4562047.2741711605</v>
      </c>
      <c r="H307" s="17">
        <v>3532671.2875747802</v>
      </c>
      <c r="I307" s="17">
        <v>1029375.98659638</v>
      </c>
      <c r="J307" s="17">
        <v>1683835</v>
      </c>
      <c r="K307" s="17">
        <f>+Tabla22[[#This Row],[Web + APP 2026]]</f>
        <v>0</v>
      </c>
      <c r="L307" s="17">
        <v>24736.206896551699</v>
      </c>
      <c r="M307" s="17">
        <f>+Tabla22[[#This Row],[Afiliados 2026]]</f>
        <v>0</v>
      </c>
      <c r="N307" s="17">
        <v>-1342</v>
      </c>
      <c r="O307" s="17">
        <f>+Tabla22[[#This Row],[TMK 2026]]</f>
        <v>0</v>
      </c>
      <c r="P307" s="17">
        <v>3614</v>
      </c>
      <c r="Q307" s="17">
        <f>+Tabla22[[#This Row],[WA 2026]]</f>
        <v>0</v>
      </c>
      <c r="R307" s="17">
        <v>101714</v>
      </c>
      <c r="S307" s="17">
        <f>+Tabla22[[#This Row],[Ent. en Tienda 2026]]</f>
        <v>0</v>
      </c>
      <c r="T307" s="17">
        <v>370351</v>
      </c>
      <c r="U307" s="17">
        <f>+Tabla22[[#This Row],[Meli Drop 2026]]</f>
        <v>0</v>
      </c>
      <c r="V307" s="17">
        <v>133732</v>
      </c>
      <c r="W307" s="17">
        <f>+Tabla22[[#This Row],[Meli Full 2026]]</f>
        <v>0</v>
      </c>
      <c r="X307" s="17">
        <v>24368</v>
      </c>
      <c r="Y307" s="17">
        <f>+Tabla22[[#This Row],[Amazon Drop 2026]]</f>
        <v>0</v>
      </c>
      <c r="Z307" s="17">
        <v>7154</v>
      </c>
      <c r="AA307" s="17">
        <f>+Tabla22[[#This Row],[Amazon Full 2026]]</f>
        <v>0</v>
      </c>
      <c r="AB307" s="17">
        <v>1248.2758620689699</v>
      </c>
      <c r="AC307" s="17">
        <f>+Tabla22[[#This Row],[TikTok 2026]]</f>
        <v>0</v>
      </c>
      <c r="AD307" s="17">
        <v>0</v>
      </c>
      <c r="AE307" s="17">
        <f>+Tabla22[[#This Row],[Shein 2026]]</f>
        <v>0</v>
      </c>
      <c r="AF307" s="17">
        <f t="shared" si="106"/>
        <v>0</v>
      </c>
      <c r="AG307" s="18">
        <f t="shared" si="107"/>
        <v>0</v>
      </c>
      <c r="AH307" s="17">
        <f t="shared" si="108"/>
        <v>-4562047.2741711605</v>
      </c>
      <c r="AI307" s="20">
        <f t="shared" si="109"/>
        <v>-1</v>
      </c>
      <c r="AJ307" s="20">
        <f t="shared" si="98"/>
        <v>6.1332516268645478E-2</v>
      </c>
      <c r="AK307" s="21" t="e">
        <f t="shared" si="110"/>
        <v>#DIV/0!</v>
      </c>
      <c r="AL307" s="21">
        <f t="shared" si="99"/>
        <v>-1</v>
      </c>
    </row>
    <row r="308" spans="1:38" ht="14.25" customHeight="1" x14ac:dyDescent="0.35">
      <c r="A308" s="16">
        <v>45963</v>
      </c>
      <c r="B308" s="17">
        <v>39057895</v>
      </c>
      <c r="C308" s="17">
        <f t="shared" si="104"/>
        <v>3066697.2413793104</v>
      </c>
      <c r="D308" s="18">
        <f>+Tabla22[[#This Row],[Share diario]]</f>
        <v>1.3946712552076792E-2</v>
      </c>
      <c r="E308" s="17">
        <f>+Tabla22[[#This Row],[Global 2026]]</f>
        <v>0</v>
      </c>
      <c r="F308" s="19">
        <v>46327</v>
      </c>
      <c r="G308" s="17">
        <f t="shared" si="105"/>
        <v>3110331.7005311521</v>
      </c>
      <c r="H308" s="17">
        <v>2352862.0725459899</v>
      </c>
      <c r="I308" s="17">
        <v>757469.62798516196</v>
      </c>
      <c r="J308" s="17">
        <v>2484015</v>
      </c>
      <c r="K308" s="17">
        <f>+Tabla22[[#This Row],[Web + APP 2026]]</f>
        <v>0</v>
      </c>
      <c r="L308" s="17">
        <v>31896.551724137898</v>
      </c>
      <c r="M308" s="17">
        <f>+Tabla22[[#This Row],[Afiliados 2026]]</f>
        <v>0</v>
      </c>
      <c r="N308" s="17">
        <v>5110</v>
      </c>
      <c r="O308" s="17">
        <f>+Tabla22[[#This Row],[TMK 2026]]</f>
        <v>0</v>
      </c>
      <c r="P308" s="17">
        <v>809</v>
      </c>
      <c r="Q308" s="17">
        <f>+Tabla22[[#This Row],[WA 2026]]</f>
        <v>0</v>
      </c>
      <c r="R308" s="17">
        <v>79521</v>
      </c>
      <c r="S308" s="17">
        <f>+Tabla22[[#This Row],[Ent. en Tienda 2026]]</f>
        <v>0</v>
      </c>
      <c r="T308" s="17">
        <v>252270</v>
      </c>
      <c r="U308" s="17">
        <f>+Tabla22[[#This Row],[Meli Drop 2026]]</f>
        <v>0</v>
      </c>
      <c r="V308" s="17">
        <v>160805</v>
      </c>
      <c r="W308" s="17">
        <f>+Tabla22[[#This Row],[Meli Full 2026]]</f>
        <v>0</v>
      </c>
      <c r="X308" s="17">
        <v>44223</v>
      </c>
      <c r="Y308" s="17">
        <f>+Tabla22[[#This Row],[Amazon Drop 2026]]</f>
        <v>0</v>
      </c>
      <c r="Z308" s="17">
        <v>6928</v>
      </c>
      <c r="AA308" s="17">
        <f>+Tabla22[[#This Row],[Amazon Full 2026]]</f>
        <v>0</v>
      </c>
      <c r="AB308" s="17">
        <v>1119.6896551724101</v>
      </c>
      <c r="AC308" s="17">
        <f>+Tabla22[[#This Row],[TikTok 2026]]</f>
        <v>0</v>
      </c>
      <c r="AD308" s="17">
        <v>0</v>
      </c>
      <c r="AE308" s="17">
        <f>+Tabla22[[#This Row],[Shein 2026]]</f>
        <v>0</v>
      </c>
      <c r="AF308" s="17">
        <f t="shared" si="106"/>
        <v>0</v>
      </c>
      <c r="AG308" s="18">
        <f t="shared" si="107"/>
        <v>0</v>
      </c>
      <c r="AH308" s="17">
        <f t="shared" si="108"/>
        <v>-3110331.7005311521</v>
      </c>
      <c r="AI308" s="20">
        <f t="shared" si="109"/>
        <v>-1</v>
      </c>
      <c r="AJ308" s="20">
        <f t="shared" si="98"/>
        <v>7.8516705556695016E-2</v>
      </c>
      <c r="AK308" s="21" t="e">
        <f t="shared" si="110"/>
        <v>#DIV/0!</v>
      </c>
      <c r="AL308" s="21">
        <f t="shared" si="99"/>
        <v>-1</v>
      </c>
    </row>
    <row r="309" spans="1:38" ht="14.25" customHeight="1" x14ac:dyDescent="0.35">
      <c r="A309" s="19">
        <v>45964</v>
      </c>
      <c r="B309" s="17">
        <v>34119561</v>
      </c>
      <c r="C309" s="17">
        <f t="shared" si="104"/>
        <v>4161735.8965517241</v>
      </c>
      <c r="D309" s="18">
        <f>+Tabla22[[#This Row],[Share diario]]</f>
        <v>1.8204713575443062E-2</v>
      </c>
      <c r="E309" s="17">
        <f>+Tabla22[[#This Row],[Global 2026]]</f>
        <v>0</v>
      </c>
      <c r="F309" s="19">
        <v>46328</v>
      </c>
      <c r="G309" s="17">
        <f t="shared" si="105"/>
        <v>4033364.4534092778</v>
      </c>
      <c r="H309" s="17">
        <v>3376787.98777891</v>
      </c>
      <c r="I309" s="17">
        <v>656576.46563036798</v>
      </c>
      <c r="J309" s="17">
        <v>3169867</v>
      </c>
      <c r="K309" s="17">
        <f>+Tabla22[[#This Row],[Web + APP 2026]]</f>
        <v>0</v>
      </c>
      <c r="L309" s="17">
        <v>37387.068965517203</v>
      </c>
      <c r="M309" s="17">
        <f>+Tabla22[[#This Row],[Afiliados 2026]]</f>
        <v>0</v>
      </c>
      <c r="N309" s="17">
        <v>28365</v>
      </c>
      <c r="O309" s="17">
        <f>+Tabla22[[#This Row],[TMK 2026]]</f>
        <v>0</v>
      </c>
      <c r="P309" s="17">
        <v>5684</v>
      </c>
      <c r="Q309" s="17">
        <f>+Tabla22[[#This Row],[WA 2026]]</f>
        <v>0</v>
      </c>
      <c r="R309" s="17">
        <v>68529</v>
      </c>
      <c r="S309" s="17">
        <f>+Tabla22[[#This Row],[Ent. en Tienda 2026]]</f>
        <v>0</v>
      </c>
      <c r="T309" s="17">
        <v>675820</v>
      </c>
      <c r="U309" s="17">
        <f>+Tabla22[[#This Row],[Meli Drop 2026]]</f>
        <v>0</v>
      </c>
      <c r="V309" s="17">
        <v>143167</v>
      </c>
      <c r="W309" s="17">
        <f>+Tabla22[[#This Row],[Meli Full 2026]]</f>
        <v>0</v>
      </c>
      <c r="X309" s="17">
        <v>26685</v>
      </c>
      <c r="Y309" s="17">
        <f>+Tabla22[[#This Row],[Amazon Drop 2026]]</f>
        <v>0</v>
      </c>
      <c r="Z309" s="17">
        <v>6387</v>
      </c>
      <c r="AA309" s="17">
        <f>+Tabla22[[#This Row],[Amazon Full 2026]]</f>
        <v>0</v>
      </c>
      <c r="AB309" s="17">
        <v>-155.172413793103</v>
      </c>
      <c r="AC309" s="17">
        <f>+Tabla22[[#This Row],[TikTok 2026]]</f>
        <v>0</v>
      </c>
      <c r="AD309" s="17">
        <v>0</v>
      </c>
      <c r="AE309" s="17">
        <f>+Tabla22[[#This Row],[Shein 2026]]</f>
        <v>0</v>
      </c>
      <c r="AF309" s="17">
        <f t="shared" si="106"/>
        <v>0</v>
      </c>
      <c r="AG309" s="18">
        <f t="shared" si="107"/>
        <v>0</v>
      </c>
      <c r="AH309" s="17">
        <f t="shared" si="108"/>
        <v>-4033364.4534092778</v>
      </c>
      <c r="AI309" s="20">
        <f t="shared" si="109"/>
        <v>-1</v>
      </c>
      <c r="AJ309" s="20">
        <f t="shared" si="98"/>
        <v>0.12197507161805875</v>
      </c>
      <c r="AK309" s="21" t="e">
        <f t="shared" si="110"/>
        <v>#DIV/0!</v>
      </c>
      <c r="AL309" s="21">
        <f t="shared" si="99"/>
        <v>-1</v>
      </c>
    </row>
    <row r="310" spans="1:38" ht="14.25" customHeight="1" x14ac:dyDescent="0.35">
      <c r="A310" s="16">
        <v>45965</v>
      </c>
      <c r="B310" s="17">
        <v>36354046</v>
      </c>
      <c r="C310" s="17">
        <f t="shared" si="104"/>
        <v>6443543.4827586198</v>
      </c>
      <c r="D310" s="18">
        <f>+Tabla22[[#This Row],[Share diario]]</f>
        <v>2.4705148245833294E-2</v>
      </c>
      <c r="E310" s="17">
        <f>+Tabla22[[#This Row],[Global 2026]]</f>
        <v>0</v>
      </c>
      <c r="F310" s="19">
        <v>46329</v>
      </c>
      <c r="G310" s="17">
        <f t="shared" si="105"/>
        <v>5498447.4894344397</v>
      </c>
      <c r="H310" s="17">
        <v>4296459.3403919199</v>
      </c>
      <c r="I310" s="17">
        <v>1201988.14904252</v>
      </c>
      <c r="J310" s="17">
        <v>5275115</v>
      </c>
      <c r="K310" s="17">
        <f>+Tabla22[[#This Row],[Web + APP 2026]]</f>
        <v>0</v>
      </c>
      <c r="L310" s="17">
        <v>48925.8620689655</v>
      </c>
      <c r="M310" s="17">
        <f>+Tabla22[[#This Row],[Afiliados 2026]]</f>
        <v>0</v>
      </c>
      <c r="N310" s="17">
        <v>61590</v>
      </c>
      <c r="O310" s="17">
        <f>+Tabla22[[#This Row],[TMK 2026]]</f>
        <v>0</v>
      </c>
      <c r="P310" s="17">
        <v>4784</v>
      </c>
      <c r="Q310" s="17">
        <f>+Tabla22[[#This Row],[WA 2026]]</f>
        <v>0</v>
      </c>
      <c r="R310" s="17">
        <v>164572</v>
      </c>
      <c r="S310" s="17">
        <f>+Tabla22[[#This Row],[Ent. en Tienda 2026]]</f>
        <v>0</v>
      </c>
      <c r="T310" s="17">
        <v>705965</v>
      </c>
      <c r="U310" s="17">
        <f>+Tabla22[[#This Row],[Meli Drop 2026]]</f>
        <v>0</v>
      </c>
      <c r="V310" s="17">
        <v>121452</v>
      </c>
      <c r="W310" s="17">
        <f>+Tabla22[[#This Row],[Meli Full 2026]]</f>
        <v>0</v>
      </c>
      <c r="X310" s="17">
        <v>50681</v>
      </c>
      <c r="Y310" s="17">
        <f>+Tabla22[[#This Row],[Amazon Drop 2026]]</f>
        <v>0</v>
      </c>
      <c r="Z310" s="17">
        <v>6631</v>
      </c>
      <c r="AA310" s="17">
        <f>+Tabla22[[#This Row],[Amazon Full 2026]]</f>
        <v>0</v>
      </c>
      <c r="AB310" s="17">
        <v>2450.03448275862</v>
      </c>
      <c r="AC310" s="17">
        <f>+Tabla22[[#This Row],[TikTok 2026]]</f>
        <v>0</v>
      </c>
      <c r="AD310" s="17">
        <v>1377.58620689655</v>
      </c>
      <c r="AE310" s="17">
        <f>+Tabla22[[#This Row],[Shein 2026]]</f>
        <v>0</v>
      </c>
      <c r="AF310" s="17">
        <f t="shared" si="106"/>
        <v>0</v>
      </c>
      <c r="AG310" s="18">
        <f t="shared" si="107"/>
        <v>0</v>
      </c>
      <c r="AH310" s="17">
        <f t="shared" si="108"/>
        <v>-5498447.4894344397</v>
      </c>
      <c r="AI310" s="20">
        <f t="shared" si="109"/>
        <v>-1</v>
      </c>
      <c r="AJ310" s="20">
        <f t="shared" si="98"/>
        <v>0.17724419127264734</v>
      </c>
      <c r="AK310" s="21" t="e">
        <f t="shared" si="110"/>
        <v>#DIV/0!</v>
      </c>
      <c r="AL310" s="21">
        <f t="shared" si="99"/>
        <v>-1</v>
      </c>
    </row>
    <row r="311" spans="1:38" ht="14.25" customHeight="1" x14ac:dyDescent="0.35">
      <c r="A311" s="19">
        <v>45966</v>
      </c>
      <c r="B311" s="17">
        <v>40657652</v>
      </c>
      <c r="C311" s="17">
        <f t="shared" si="104"/>
        <v>6030961.8275862075</v>
      </c>
      <c r="D311" s="18">
        <f>+Tabla22[[#This Row],[Share diario]]</f>
        <v>3.8250552396158322E-2</v>
      </c>
      <c r="E311" s="17">
        <f>+Tabla22[[#This Row],[Global 2026]]</f>
        <v>0</v>
      </c>
      <c r="F311" s="19">
        <v>46330</v>
      </c>
      <c r="G311" s="17">
        <f t="shared" si="105"/>
        <v>8464575.10752251</v>
      </c>
      <c r="H311" s="17">
        <v>7210871.9391162703</v>
      </c>
      <c r="I311" s="17">
        <v>1253703.1684062399</v>
      </c>
      <c r="J311" s="17">
        <v>4794794</v>
      </c>
      <c r="K311" s="17">
        <f>+Tabla22[[#This Row],[Web + APP 2026]]</f>
        <v>0</v>
      </c>
      <c r="L311" s="17">
        <v>47206.896551724101</v>
      </c>
      <c r="M311" s="17">
        <f>+Tabla22[[#This Row],[Afiliados 2026]]</f>
        <v>0</v>
      </c>
      <c r="N311" s="17">
        <v>52913</v>
      </c>
      <c r="O311" s="17">
        <f>+Tabla22[[#This Row],[TMK 2026]]</f>
        <v>0</v>
      </c>
      <c r="P311" s="17">
        <v>9080</v>
      </c>
      <c r="Q311" s="17">
        <f>+Tabla22[[#This Row],[WA 2026]]</f>
        <v>0</v>
      </c>
      <c r="R311" s="17">
        <v>121112</v>
      </c>
      <c r="S311" s="17">
        <f>+Tabla22[[#This Row],[Ent. en Tienda 2026]]</f>
        <v>0</v>
      </c>
      <c r="T311" s="17">
        <v>807271</v>
      </c>
      <c r="U311" s="17">
        <f>+Tabla22[[#This Row],[Meli Drop 2026]]</f>
        <v>0</v>
      </c>
      <c r="V311" s="17">
        <v>136768</v>
      </c>
      <c r="W311" s="17">
        <f>+Tabla22[[#This Row],[Meli Full 2026]]</f>
        <v>0</v>
      </c>
      <c r="X311" s="17">
        <v>42494</v>
      </c>
      <c r="Y311" s="17">
        <f>+Tabla22[[#This Row],[Amazon Drop 2026]]</f>
        <v>0</v>
      </c>
      <c r="Z311" s="17">
        <v>12012</v>
      </c>
      <c r="AA311" s="17">
        <f>+Tabla22[[#This Row],[Amazon Full 2026]]</f>
        <v>0</v>
      </c>
      <c r="AB311" s="17">
        <v>7310.93103448276</v>
      </c>
      <c r="AC311" s="17">
        <f>+Tabla22[[#This Row],[TikTok 2026]]</f>
        <v>0</v>
      </c>
      <c r="AD311" s="17">
        <v>0</v>
      </c>
      <c r="AE311" s="17">
        <f>+Tabla22[[#This Row],[Shein 2026]]</f>
        <v>0</v>
      </c>
      <c r="AF311" s="17">
        <f t="shared" si="106"/>
        <v>0</v>
      </c>
      <c r="AG311" s="18">
        <f t="shared" si="107"/>
        <v>0</v>
      </c>
      <c r="AH311" s="17">
        <f t="shared" si="108"/>
        <v>-8464575.10752251</v>
      </c>
      <c r="AI311" s="20">
        <f t="shared" si="109"/>
        <v>-1</v>
      </c>
      <c r="AJ311" s="20">
        <f t="shared" si="98"/>
        <v>0.14833522180735395</v>
      </c>
      <c r="AK311" s="21" t="e">
        <f t="shared" si="110"/>
        <v>#DIV/0!</v>
      </c>
      <c r="AL311" s="21">
        <f t="shared" si="99"/>
        <v>-1</v>
      </c>
    </row>
    <row r="312" spans="1:38" ht="14.25" customHeight="1" x14ac:dyDescent="0.35">
      <c r="A312" s="16">
        <v>45967</v>
      </c>
      <c r="B312" s="17">
        <v>45608200</v>
      </c>
      <c r="C312" s="17">
        <f t="shared" si="104"/>
        <v>4806098.6810344821</v>
      </c>
      <c r="D312" s="18">
        <f>+Tabla22[[#This Row],[Share diario]]</f>
        <v>3.5801360230218335E-2</v>
      </c>
      <c r="E312" s="17">
        <f>+Tabla22[[#This Row],[Global 2026]]</f>
        <v>0</v>
      </c>
      <c r="F312" s="19">
        <v>46331</v>
      </c>
      <c r="G312" s="17">
        <f t="shared" si="105"/>
        <v>7942244.7131025996</v>
      </c>
      <c r="H312" s="17">
        <v>6523038.8478428498</v>
      </c>
      <c r="I312" s="17">
        <v>1419205.86525975</v>
      </c>
      <c r="J312" s="17">
        <v>3788708</v>
      </c>
      <c r="K312" s="17">
        <f>+Tabla22[[#This Row],[Web + APP 2026]]</f>
        <v>0</v>
      </c>
      <c r="L312" s="17">
        <v>42858.620689655101</v>
      </c>
      <c r="M312" s="17">
        <f>+Tabla22[[#This Row],[Afiliados 2026]]</f>
        <v>0</v>
      </c>
      <c r="N312" s="17">
        <v>75396</v>
      </c>
      <c r="O312" s="17">
        <f>+Tabla22[[#This Row],[TMK 2026]]</f>
        <v>0</v>
      </c>
      <c r="P312" s="17">
        <v>1642</v>
      </c>
      <c r="Q312" s="17">
        <f>+Tabla22[[#This Row],[WA 2026]]</f>
        <v>0</v>
      </c>
      <c r="R312" s="17">
        <v>128834</v>
      </c>
      <c r="S312" s="17">
        <f>+Tabla22[[#This Row],[Ent. en Tienda 2026]]</f>
        <v>0</v>
      </c>
      <c r="T312" s="17">
        <v>597718</v>
      </c>
      <c r="U312" s="17">
        <f>+Tabla22[[#This Row],[Meli Drop 2026]]</f>
        <v>0</v>
      </c>
      <c r="V312" s="17">
        <v>113410</v>
      </c>
      <c r="W312" s="17">
        <f>+Tabla22[[#This Row],[Meli Full 2026]]</f>
        <v>0</v>
      </c>
      <c r="X312" s="17">
        <v>31381</v>
      </c>
      <c r="Y312" s="17">
        <f>+Tabla22[[#This Row],[Amazon Drop 2026]]</f>
        <v>0</v>
      </c>
      <c r="Z312" s="17">
        <v>18407</v>
      </c>
      <c r="AA312" s="17">
        <f>+Tabla22[[#This Row],[Amazon Full 2026]]</f>
        <v>0</v>
      </c>
      <c r="AB312" s="17">
        <v>7744.0603448275897</v>
      </c>
      <c r="AC312" s="17">
        <f>+Tabla22[[#This Row],[TikTok 2026]]</f>
        <v>0</v>
      </c>
      <c r="AD312" s="17">
        <v>0</v>
      </c>
      <c r="AE312" s="17">
        <f>+Tabla22[[#This Row],[Shein 2026]]</f>
        <v>0</v>
      </c>
      <c r="AF312" s="17">
        <f t="shared" si="106"/>
        <v>0</v>
      </c>
      <c r="AG312" s="18">
        <f t="shared" si="107"/>
        <v>0</v>
      </c>
      <c r="AH312" s="17">
        <f t="shared" si="108"/>
        <v>-7942244.7131025996</v>
      </c>
      <c r="AI312" s="20">
        <f t="shared" si="109"/>
        <v>-1</v>
      </c>
      <c r="AJ312" s="20">
        <f t="shared" si="98"/>
        <v>0.1053779513559948</v>
      </c>
      <c r="AK312" s="21" t="e">
        <f t="shared" si="110"/>
        <v>#DIV/0!</v>
      </c>
      <c r="AL312" s="21">
        <f t="shared" si="99"/>
        <v>-1</v>
      </c>
    </row>
    <row r="313" spans="1:38" ht="14.25" customHeight="1" x14ac:dyDescent="0.35">
      <c r="A313" s="19">
        <v>45968</v>
      </c>
      <c r="B313" s="17">
        <v>47127819</v>
      </c>
      <c r="C313" s="17">
        <f t="shared" si="104"/>
        <v>4513015.0086206896</v>
      </c>
      <c r="D313" s="18">
        <f>+Tabla22[[#This Row],[Share diario]]</f>
        <v>2.8530253564970551E-2</v>
      </c>
      <c r="E313" s="17">
        <f>+Tabla22[[#This Row],[Global 2026]]</f>
        <v>0</v>
      </c>
      <c r="F313" s="19">
        <v>46332</v>
      </c>
      <c r="G313" s="17">
        <f t="shared" si="105"/>
        <v>6325493.9024184505</v>
      </c>
      <c r="H313" s="17">
        <v>5240958.0038128104</v>
      </c>
      <c r="I313" s="17">
        <v>1084535.89860564</v>
      </c>
      <c r="J313" s="17">
        <v>3647018</v>
      </c>
      <c r="K313" s="17">
        <f>+Tabla22[[#This Row],[Web + APP 2026]]</f>
        <v>0</v>
      </c>
      <c r="L313" s="17">
        <v>44673.275862069</v>
      </c>
      <c r="M313" s="17">
        <f>+Tabla22[[#This Row],[Afiliados 2026]]</f>
        <v>0</v>
      </c>
      <c r="N313" s="17">
        <v>12603</v>
      </c>
      <c r="O313" s="17">
        <f>+Tabla22[[#This Row],[TMK 2026]]</f>
        <v>0</v>
      </c>
      <c r="P313" s="17">
        <v>6822</v>
      </c>
      <c r="Q313" s="17">
        <f>+Tabla22[[#This Row],[WA 2026]]</f>
        <v>0</v>
      </c>
      <c r="R313" s="17">
        <v>111646</v>
      </c>
      <c r="S313" s="17">
        <f>+Tabla22[[#This Row],[Ent. en Tienda 2026]]</f>
        <v>0</v>
      </c>
      <c r="T313" s="17">
        <v>548934</v>
      </c>
      <c r="U313" s="17">
        <f>+Tabla22[[#This Row],[Meli Drop 2026]]</f>
        <v>0</v>
      </c>
      <c r="V313" s="17">
        <v>88083</v>
      </c>
      <c r="W313" s="17">
        <f>+Tabla22[[#This Row],[Meli Full 2026]]</f>
        <v>0</v>
      </c>
      <c r="X313" s="17">
        <v>26380</v>
      </c>
      <c r="Y313" s="17">
        <f>+Tabla22[[#This Row],[Amazon Drop 2026]]</f>
        <v>0</v>
      </c>
      <c r="Z313" s="17">
        <v>13005</v>
      </c>
      <c r="AA313" s="17">
        <f>+Tabla22[[#This Row],[Amazon Full 2026]]</f>
        <v>0</v>
      </c>
      <c r="AB313" s="17">
        <v>13850.732758620699</v>
      </c>
      <c r="AC313" s="17">
        <f>+Tabla22[[#This Row],[TikTok 2026]]</f>
        <v>0</v>
      </c>
      <c r="AD313" s="17">
        <v>0</v>
      </c>
      <c r="AE313" s="17">
        <f>+Tabla22[[#This Row],[Shein 2026]]</f>
        <v>0</v>
      </c>
      <c r="AF313" s="17">
        <f t="shared" si="106"/>
        <v>0</v>
      </c>
      <c r="AG313" s="18">
        <f t="shared" si="107"/>
        <v>0</v>
      </c>
      <c r="AH313" s="17">
        <f t="shared" si="108"/>
        <v>-6325493.9024184505</v>
      </c>
      <c r="AI313" s="20">
        <f t="shared" si="109"/>
        <v>-1</v>
      </c>
      <c r="AJ313" s="20">
        <f t="shared" si="98"/>
        <v>9.5761168337127792E-2</v>
      </c>
      <c r="AK313" s="21" t="e">
        <f t="shared" si="110"/>
        <v>#DIV/0!</v>
      </c>
      <c r="AL313" s="21">
        <f t="shared" si="99"/>
        <v>-1</v>
      </c>
    </row>
    <row r="314" spans="1:38" ht="14.25" customHeight="1" x14ac:dyDescent="0.35">
      <c r="A314" s="16">
        <v>45969</v>
      </c>
      <c r="B314" s="17">
        <v>65744526</v>
      </c>
      <c r="C314" s="17">
        <f t="shared" si="104"/>
        <v>4226882.1982758623</v>
      </c>
      <c r="D314" s="18">
        <f>+Tabla22[[#This Row],[Share diario]]</f>
        <v>2.6790432549077793E-2</v>
      </c>
      <c r="E314" s="17">
        <f>+Tabla22[[#This Row],[Global 2026]]</f>
        <v>0</v>
      </c>
      <c r="F314" s="19">
        <v>46333</v>
      </c>
      <c r="G314" s="17">
        <f t="shared" si="105"/>
        <v>5936196.4154814631</v>
      </c>
      <c r="H314" s="17">
        <v>4962288.8243266204</v>
      </c>
      <c r="I314" s="17">
        <v>973907.59115484299</v>
      </c>
      <c r="J314" s="17">
        <v>3186164</v>
      </c>
      <c r="K314" s="17">
        <f>+Tabla22[[#This Row],[Web + APP 2026]]</f>
        <v>0</v>
      </c>
      <c r="L314" s="17">
        <v>55446.551724137898</v>
      </c>
      <c r="M314" s="17">
        <f>+Tabla22[[#This Row],[Afiliados 2026]]</f>
        <v>0</v>
      </c>
      <c r="N314" s="17">
        <v>74700</v>
      </c>
      <c r="O314" s="17">
        <f>+Tabla22[[#This Row],[TMK 2026]]</f>
        <v>0</v>
      </c>
      <c r="P314" s="17">
        <v>1403</v>
      </c>
      <c r="Q314" s="17">
        <f>+Tabla22[[#This Row],[WA 2026]]</f>
        <v>0</v>
      </c>
      <c r="R314" s="17">
        <v>56983</v>
      </c>
      <c r="S314" s="17">
        <f>+Tabla22[[#This Row],[Ent. en Tienda 2026]]</f>
        <v>0</v>
      </c>
      <c r="T314" s="17">
        <v>714555</v>
      </c>
      <c r="U314" s="17">
        <f>+Tabla22[[#This Row],[Meli Drop 2026]]</f>
        <v>0</v>
      </c>
      <c r="V314" s="17">
        <v>94071</v>
      </c>
      <c r="W314" s="17">
        <f>+Tabla22[[#This Row],[Meli Full 2026]]</f>
        <v>0</v>
      </c>
      <c r="X314" s="17">
        <v>34042</v>
      </c>
      <c r="Y314" s="17">
        <f>+Tabla22[[#This Row],[Amazon Drop 2026]]</f>
        <v>0</v>
      </c>
      <c r="Z314" s="17">
        <v>8377</v>
      </c>
      <c r="AA314" s="17">
        <f>+Tabla22[[#This Row],[Amazon Full 2026]]</f>
        <v>0</v>
      </c>
      <c r="AB314" s="17">
        <v>1140.64655172414</v>
      </c>
      <c r="AC314" s="17">
        <f>+Tabla22[[#This Row],[TikTok 2026]]</f>
        <v>0</v>
      </c>
      <c r="AD314" s="17">
        <v>0</v>
      </c>
      <c r="AE314" s="17">
        <f>+Tabla22[[#This Row],[Shein 2026]]</f>
        <v>0</v>
      </c>
      <c r="AF314" s="17">
        <f t="shared" si="106"/>
        <v>0</v>
      </c>
      <c r="AG314" s="18">
        <f t="shared" si="107"/>
        <v>0</v>
      </c>
      <c r="AH314" s="17">
        <f t="shared" si="108"/>
        <v>-5936196.4154814631</v>
      </c>
      <c r="AI314" s="20">
        <f t="shared" si="109"/>
        <v>-1</v>
      </c>
      <c r="AJ314" s="20">
        <f t="shared" ref="AJ314:AJ368" si="115">+C314/B314</f>
        <v>6.4292534381886979E-2</v>
      </c>
      <c r="AK314" s="21" t="e">
        <f t="shared" si="110"/>
        <v>#DIV/0!</v>
      </c>
      <c r="AL314" s="21">
        <f t="shared" ref="AL314:AL368" si="116">+E314/B314-1</f>
        <v>-1</v>
      </c>
    </row>
    <row r="315" spans="1:38" ht="14.25" customHeight="1" x14ac:dyDescent="0.35">
      <c r="A315" s="19">
        <v>45970</v>
      </c>
      <c r="B315" s="17">
        <v>67492039</v>
      </c>
      <c r="C315" s="17">
        <f t="shared" si="104"/>
        <v>4057240.8448275859</v>
      </c>
      <c r="D315" s="18">
        <f>+Tabla22[[#This Row],[Share diario]]</f>
        <v>2.509187366084489E-2</v>
      </c>
      <c r="E315" s="17">
        <f>+Tabla22[[#This Row],[Global 2026]]</f>
        <v>0</v>
      </c>
      <c r="F315" s="19">
        <v>46334</v>
      </c>
      <c r="G315" s="17">
        <f t="shared" si="105"/>
        <v>5583045.0453190198</v>
      </c>
      <c r="H315" s="17">
        <v>4380659.2656452497</v>
      </c>
      <c r="I315" s="17">
        <v>1202385.7796737701</v>
      </c>
      <c r="J315" s="17">
        <v>2924037</v>
      </c>
      <c r="K315" s="17">
        <f>+Tabla22[[#This Row],[Web + APP 2026]]</f>
        <v>0</v>
      </c>
      <c r="L315" s="17">
        <v>54995.689655172398</v>
      </c>
      <c r="M315" s="17">
        <f>+Tabla22[[#This Row],[Afiliados 2026]]</f>
        <v>0</v>
      </c>
      <c r="N315" s="17">
        <v>1732</v>
      </c>
      <c r="O315" s="17">
        <f>+Tabla22[[#This Row],[TMK 2026]]</f>
        <v>0</v>
      </c>
      <c r="P315" s="17">
        <v>3073</v>
      </c>
      <c r="Q315" s="17">
        <f>+Tabla22[[#This Row],[WA 2026]]</f>
        <v>0</v>
      </c>
      <c r="R315" s="17">
        <v>199350</v>
      </c>
      <c r="S315" s="17">
        <f>+Tabla22[[#This Row],[Ent. en Tienda 2026]]</f>
        <v>0</v>
      </c>
      <c r="T315" s="17">
        <v>711297</v>
      </c>
      <c r="U315" s="17">
        <f>+Tabla22[[#This Row],[Meli Drop 2026]]</f>
        <v>0</v>
      </c>
      <c r="V315" s="17">
        <v>107725</v>
      </c>
      <c r="W315" s="17">
        <f>+Tabla22[[#This Row],[Meli Full 2026]]</f>
        <v>0</v>
      </c>
      <c r="X315" s="17">
        <v>34480</v>
      </c>
      <c r="Y315" s="17">
        <f>+Tabla22[[#This Row],[Amazon Drop 2026]]</f>
        <v>0</v>
      </c>
      <c r="Z315" s="17">
        <v>17056</v>
      </c>
      <c r="AA315" s="17">
        <f>+Tabla22[[#This Row],[Amazon Full 2026]]</f>
        <v>0</v>
      </c>
      <c r="AB315" s="17">
        <v>1686.53448275862</v>
      </c>
      <c r="AC315" s="17">
        <f>+Tabla22[[#This Row],[TikTok 2026]]</f>
        <v>0</v>
      </c>
      <c r="AD315" s="17">
        <v>1808.6206896551701</v>
      </c>
      <c r="AE315" s="17">
        <f>+Tabla22[[#This Row],[Shein 2026]]</f>
        <v>0</v>
      </c>
      <c r="AF315" s="17">
        <f t="shared" si="106"/>
        <v>0</v>
      </c>
      <c r="AG315" s="18">
        <f t="shared" si="107"/>
        <v>0</v>
      </c>
      <c r="AH315" s="17">
        <f t="shared" si="108"/>
        <v>-5583045.0453190198</v>
      </c>
      <c r="AI315" s="20">
        <f t="shared" si="109"/>
        <v>-1</v>
      </c>
      <c r="AJ315" s="20">
        <f t="shared" si="115"/>
        <v>6.0114361707572443E-2</v>
      </c>
      <c r="AK315" s="21" t="e">
        <f t="shared" si="110"/>
        <v>#DIV/0!</v>
      </c>
      <c r="AL315" s="21">
        <f t="shared" si="116"/>
        <v>-1</v>
      </c>
    </row>
    <row r="316" spans="1:38" ht="14.25" customHeight="1" x14ac:dyDescent="0.35">
      <c r="A316" s="16">
        <v>45971</v>
      </c>
      <c r="B316" s="17">
        <v>40411989</v>
      </c>
      <c r="C316" s="17">
        <f t="shared" si="104"/>
        <v>7117243.4568965519</v>
      </c>
      <c r="D316" s="18">
        <f>+Tabla22[[#This Row],[Share diario]]</f>
        <v>2.4084838402063567E-2</v>
      </c>
      <c r="E316" s="17">
        <f>+Tabla22[[#This Row],[Global 2026]]</f>
        <v>0</v>
      </c>
      <c r="F316" s="19">
        <v>46335</v>
      </c>
      <c r="G316" s="17">
        <f t="shared" si="105"/>
        <v>5365303.1581960004</v>
      </c>
      <c r="H316" s="17">
        <v>4132063.5598633499</v>
      </c>
      <c r="I316" s="17">
        <v>1233239.59833265</v>
      </c>
      <c r="J316" s="17">
        <v>5697624</v>
      </c>
      <c r="K316" s="17">
        <f>+Tabla22[[#This Row],[Web + APP 2026]]</f>
        <v>0</v>
      </c>
      <c r="L316" s="17">
        <v>67562.068965517203</v>
      </c>
      <c r="M316" s="17">
        <f>+Tabla22[[#This Row],[Afiliados 2026]]</f>
        <v>0</v>
      </c>
      <c r="N316" s="17">
        <v>81533</v>
      </c>
      <c r="O316" s="17">
        <f>+Tabla22[[#This Row],[TMK 2026]]</f>
        <v>0</v>
      </c>
      <c r="P316" s="17">
        <v>4644</v>
      </c>
      <c r="Q316" s="17">
        <f>+Tabla22[[#This Row],[WA 2026]]</f>
        <v>0</v>
      </c>
      <c r="R316" s="17">
        <v>102759</v>
      </c>
      <c r="S316" s="17">
        <f>+Tabla22[[#This Row],[Ent. en Tienda 2026]]</f>
        <v>0</v>
      </c>
      <c r="T316" s="17">
        <v>901540</v>
      </c>
      <c r="U316" s="17">
        <f>+Tabla22[[#This Row],[Meli Drop 2026]]</f>
        <v>0</v>
      </c>
      <c r="V316" s="17">
        <v>162599</v>
      </c>
      <c r="W316" s="17">
        <f>+Tabla22[[#This Row],[Meli Full 2026]]</f>
        <v>0</v>
      </c>
      <c r="X316" s="17">
        <v>39109</v>
      </c>
      <c r="Y316" s="17">
        <f>+Tabla22[[#This Row],[Amazon Drop 2026]]</f>
        <v>0</v>
      </c>
      <c r="Z316" s="17">
        <v>22528</v>
      </c>
      <c r="AA316" s="17">
        <f>+Tabla22[[#This Row],[Amazon Full 2026]]</f>
        <v>0</v>
      </c>
      <c r="AB316" s="17">
        <v>35709.181034482797</v>
      </c>
      <c r="AC316" s="17">
        <f>+Tabla22[[#This Row],[TikTok 2026]]</f>
        <v>0</v>
      </c>
      <c r="AD316" s="17">
        <v>1636.2068965517201</v>
      </c>
      <c r="AE316" s="17">
        <f>+Tabla22[[#This Row],[Shein 2026]]</f>
        <v>0</v>
      </c>
      <c r="AF316" s="17">
        <f t="shared" si="106"/>
        <v>0</v>
      </c>
      <c r="AG316" s="18">
        <f t="shared" si="107"/>
        <v>0</v>
      </c>
      <c r="AH316" s="17">
        <f t="shared" si="108"/>
        <v>-5365303.1581960004</v>
      </c>
      <c r="AI316" s="20">
        <f t="shared" si="109"/>
        <v>-1</v>
      </c>
      <c r="AJ316" s="20">
        <f t="shared" si="115"/>
        <v>0.17611712843177682</v>
      </c>
      <c r="AK316" s="21" t="e">
        <f t="shared" si="110"/>
        <v>#DIV/0!</v>
      </c>
      <c r="AL316" s="21">
        <f t="shared" si="116"/>
        <v>-1</v>
      </c>
    </row>
    <row r="317" spans="1:38" ht="14.25" customHeight="1" x14ac:dyDescent="0.35">
      <c r="A317" s="19">
        <v>45972</v>
      </c>
      <c r="B317" s="17">
        <v>45078912</v>
      </c>
      <c r="C317" s="17">
        <f t="shared" si="104"/>
        <v>7188003.7844827585</v>
      </c>
      <c r="D317" s="18">
        <f>+Tabla22[[#This Row],[Share diario]]</f>
        <v>4.2249810914240217E-2</v>
      </c>
      <c r="E317" s="17">
        <f>+Tabla22[[#This Row],[Global 2026]]</f>
        <v>0</v>
      </c>
      <c r="F317" s="19">
        <v>46336</v>
      </c>
      <c r="G317" s="17">
        <f t="shared" si="105"/>
        <v>9370083.8270121608</v>
      </c>
      <c r="H317" s="17">
        <v>7728985.2910984801</v>
      </c>
      <c r="I317" s="17">
        <v>1641098.53591368</v>
      </c>
      <c r="J317" s="17">
        <v>5483822</v>
      </c>
      <c r="K317" s="17">
        <f>+Tabla22[[#This Row],[Web + APP 2026]]</f>
        <v>0</v>
      </c>
      <c r="L317" s="17">
        <v>68879.310344827594</v>
      </c>
      <c r="M317" s="17">
        <f>+Tabla22[[#This Row],[Afiliados 2026]]</f>
        <v>0</v>
      </c>
      <c r="N317" s="17">
        <v>48671</v>
      </c>
      <c r="O317" s="17">
        <f>+Tabla22[[#This Row],[TMK 2026]]</f>
        <v>0</v>
      </c>
      <c r="P317" s="17">
        <v>3768</v>
      </c>
      <c r="Q317" s="17">
        <f>+Tabla22[[#This Row],[WA 2026]]</f>
        <v>0</v>
      </c>
      <c r="R317" s="17">
        <v>118531</v>
      </c>
      <c r="S317" s="17">
        <f>+Tabla22[[#This Row],[Ent. en Tienda 2026]]</f>
        <v>0</v>
      </c>
      <c r="T317" s="17">
        <v>1226151</v>
      </c>
      <c r="U317" s="17">
        <f>+Tabla22[[#This Row],[Meli Drop 2026]]</f>
        <v>0</v>
      </c>
      <c r="V317" s="17">
        <v>160872</v>
      </c>
      <c r="W317" s="17">
        <f>+Tabla22[[#This Row],[Meli Full 2026]]</f>
        <v>0</v>
      </c>
      <c r="X317" s="17">
        <v>41738</v>
      </c>
      <c r="Y317" s="17">
        <f>+Tabla22[[#This Row],[Amazon Drop 2026]]</f>
        <v>0</v>
      </c>
      <c r="Z317" s="17">
        <v>20120</v>
      </c>
      <c r="AA317" s="17">
        <f>+Tabla22[[#This Row],[Amazon Full 2026]]</f>
        <v>0</v>
      </c>
      <c r="AB317" s="17">
        <v>13470.4396551724</v>
      </c>
      <c r="AC317" s="17">
        <f>+Tabla22[[#This Row],[TikTok 2026]]</f>
        <v>0</v>
      </c>
      <c r="AD317" s="17">
        <v>1981.03448275862</v>
      </c>
      <c r="AE317" s="17">
        <f>+Tabla22[[#This Row],[Shein 2026]]</f>
        <v>0</v>
      </c>
      <c r="AF317" s="17">
        <f t="shared" si="106"/>
        <v>0</v>
      </c>
      <c r="AG317" s="18">
        <f t="shared" si="107"/>
        <v>0</v>
      </c>
      <c r="AH317" s="17">
        <f t="shared" si="108"/>
        <v>-9370083.8270121608</v>
      </c>
      <c r="AI317" s="20">
        <f t="shared" si="109"/>
        <v>-1</v>
      </c>
      <c r="AJ317" s="20">
        <f t="shared" si="115"/>
        <v>0.15945379925058437</v>
      </c>
      <c r="AK317" s="21" t="e">
        <f t="shared" si="110"/>
        <v>#DIV/0!</v>
      </c>
      <c r="AL317" s="21">
        <f t="shared" si="116"/>
        <v>-1</v>
      </c>
    </row>
    <row r="318" spans="1:38" ht="14.25" customHeight="1" x14ac:dyDescent="0.35">
      <c r="A318" s="16">
        <v>45973</v>
      </c>
      <c r="B318" s="17">
        <v>48292081</v>
      </c>
      <c r="C318" s="17">
        <f t="shared" si="104"/>
        <v>6274424.7413793104</v>
      </c>
      <c r="D318" s="18">
        <f>+Tabla22[[#This Row],[Share diario]]</f>
        <v>4.2669862648995763E-2</v>
      </c>
      <c r="E318" s="17">
        <f>+Tabla22[[#This Row],[Global 2026]]</f>
        <v>0</v>
      </c>
      <c r="F318" s="19">
        <v>46337</v>
      </c>
      <c r="G318" s="17">
        <f t="shared" si="105"/>
        <v>9495929.8588947915</v>
      </c>
      <c r="H318" s="17">
        <v>7429839.5055282405</v>
      </c>
      <c r="I318" s="17">
        <v>2066090.3533665501</v>
      </c>
      <c r="J318" s="17">
        <v>4822707</v>
      </c>
      <c r="K318" s="17">
        <f>+Tabla22[[#This Row],[Web + APP 2026]]</f>
        <v>0</v>
      </c>
      <c r="L318" s="17">
        <v>67868.103448275797</v>
      </c>
      <c r="M318" s="17">
        <f>+Tabla22[[#This Row],[Afiliados 2026]]</f>
        <v>0</v>
      </c>
      <c r="N318" s="17">
        <v>98985</v>
      </c>
      <c r="O318" s="17">
        <f>+Tabla22[[#This Row],[TMK 2026]]</f>
        <v>0</v>
      </c>
      <c r="P318" s="17">
        <v>4095</v>
      </c>
      <c r="Q318" s="17">
        <f>+Tabla22[[#This Row],[WA 2026]]</f>
        <v>0</v>
      </c>
      <c r="R318" s="17">
        <v>144514</v>
      </c>
      <c r="S318" s="17">
        <f>+Tabla22[[#This Row],[Ent. en Tienda 2026]]</f>
        <v>0</v>
      </c>
      <c r="T318" s="17">
        <v>868042</v>
      </c>
      <c r="U318" s="17">
        <f>+Tabla22[[#This Row],[Meli Drop 2026]]</f>
        <v>0</v>
      </c>
      <c r="V318" s="17">
        <v>187197</v>
      </c>
      <c r="W318" s="17">
        <f>+Tabla22[[#This Row],[Meli Full 2026]]</f>
        <v>0</v>
      </c>
      <c r="X318" s="17">
        <v>46378</v>
      </c>
      <c r="Y318" s="17">
        <f>+Tabla22[[#This Row],[Amazon Drop 2026]]</f>
        <v>0</v>
      </c>
      <c r="Z318" s="17">
        <v>28094</v>
      </c>
      <c r="AA318" s="17">
        <f>+Tabla22[[#This Row],[Amazon Full 2026]]</f>
        <v>0</v>
      </c>
      <c r="AB318" s="17">
        <v>6544.6379310344801</v>
      </c>
      <c r="AC318" s="17">
        <f>+Tabla22[[#This Row],[TikTok 2026]]</f>
        <v>0</v>
      </c>
      <c r="AD318" s="17">
        <v>0</v>
      </c>
      <c r="AE318" s="17">
        <f>+Tabla22[[#This Row],[Shein 2026]]</f>
        <v>0</v>
      </c>
      <c r="AF318" s="17">
        <f t="shared" si="106"/>
        <v>0</v>
      </c>
      <c r="AG318" s="18">
        <f t="shared" si="107"/>
        <v>0</v>
      </c>
      <c r="AH318" s="17">
        <f t="shared" si="108"/>
        <v>-9495929.8588947915</v>
      </c>
      <c r="AI318" s="20">
        <f t="shared" si="109"/>
        <v>-1</v>
      </c>
      <c r="AJ318" s="20">
        <f t="shared" si="115"/>
        <v>0.12992657618915429</v>
      </c>
      <c r="AK318" s="21" t="e">
        <f t="shared" si="110"/>
        <v>#DIV/0!</v>
      </c>
      <c r="AL318" s="21">
        <f t="shared" si="116"/>
        <v>-1</v>
      </c>
    </row>
    <row r="319" spans="1:38" ht="14.25" customHeight="1" x14ac:dyDescent="0.35">
      <c r="A319" s="19">
        <v>45974</v>
      </c>
      <c r="B319" s="17">
        <v>65809693</v>
      </c>
      <c r="C319" s="17">
        <f t="shared" si="104"/>
        <v>7537029.7844827585</v>
      </c>
      <c r="D319" s="18">
        <f>+Tabla22[[#This Row],[Share diario]]</f>
        <v>3.7246619498737706E-2</v>
      </c>
      <c r="E319" s="17">
        <f>+Tabla22[[#This Row],[Global 2026]]</f>
        <v>0</v>
      </c>
      <c r="F319" s="19">
        <v>46338</v>
      </c>
      <c r="G319" s="17">
        <f t="shared" si="105"/>
        <v>8272997.5277931001</v>
      </c>
      <c r="H319" s="17">
        <v>6669805.0466117198</v>
      </c>
      <c r="I319" s="17">
        <v>1603192.4811813801</v>
      </c>
      <c r="J319" s="17">
        <v>5687818</v>
      </c>
      <c r="K319" s="17">
        <f>+Tabla22[[#This Row],[Web + APP 2026]]</f>
        <v>0</v>
      </c>
      <c r="L319" s="17">
        <v>65544.827586206899</v>
      </c>
      <c r="M319" s="17">
        <f>+Tabla22[[#This Row],[Afiliados 2026]]</f>
        <v>0</v>
      </c>
      <c r="N319" s="17">
        <v>82830</v>
      </c>
      <c r="O319" s="17">
        <f>+Tabla22[[#This Row],[TMK 2026]]</f>
        <v>0</v>
      </c>
      <c r="P319" s="17">
        <v>4235</v>
      </c>
      <c r="Q319" s="17">
        <f>+Tabla22[[#This Row],[WA 2026]]</f>
        <v>0</v>
      </c>
      <c r="R319" s="17">
        <v>151626</v>
      </c>
      <c r="S319" s="17">
        <f>+Tabla22[[#This Row],[Ent. en Tienda 2026]]</f>
        <v>0</v>
      </c>
      <c r="T319" s="17">
        <v>1184601</v>
      </c>
      <c r="U319" s="17">
        <f>+Tabla22[[#This Row],[Meli Drop 2026]]</f>
        <v>0</v>
      </c>
      <c r="V319" s="17">
        <v>265899</v>
      </c>
      <c r="W319" s="17">
        <f>+Tabla22[[#This Row],[Meli Full 2026]]</f>
        <v>0</v>
      </c>
      <c r="X319" s="17">
        <v>62519</v>
      </c>
      <c r="Y319" s="17">
        <f>+Tabla22[[#This Row],[Amazon Drop 2026]]</f>
        <v>0</v>
      </c>
      <c r="Z319" s="17">
        <v>25374</v>
      </c>
      <c r="AA319" s="17">
        <f>+Tabla22[[#This Row],[Amazon Full 2026]]</f>
        <v>0</v>
      </c>
      <c r="AB319" s="17">
        <v>2707.9568965517301</v>
      </c>
      <c r="AC319" s="17">
        <f>+Tabla22[[#This Row],[TikTok 2026]]</f>
        <v>0</v>
      </c>
      <c r="AD319" s="17">
        <v>3875</v>
      </c>
      <c r="AE319" s="17">
        <f>+Tabla22[[#This Row],[Shein 2026]]</f>
        <v>0</v>
      </c>
      <c r="AF319" s="17">
        <f t="shared" si="106"/>
        <v>0</v>
      </c>
      <c r="AG319" s="18">
        <f t="shared" si="107"/>
        <v>0</v>
      </c>
      <c r="AH319" s="17">
        <f t="shared" si="108"/>
        <v>-8272997.5277931001</v>
      </c>
      <c r="AI319" s="20">
        <f t="shared" si="109"/>
        <v>-1</v>
      </c>
      <c r="AJ319" s="20">
        <f t="shared" si="115"/>
        <v>0.11452765452777235</v>
      </c>
      <c r="AK319" s="21" t="e">
        <f t="shared" si="110"/>
        <v>#DIV/0!</v>
      </c>
      <c r="AL319" s="21">
        <f t="shared" si="116"/>
        <v>-1</v>
      </c>
    </row>
    <row r="320" spans="1:38" ht="14.25" customHeight="1" x14ac:dyDescent="0.35">
      <c r="A320" s="16">
        <v>45975</v>
      </c>
      <c r="B320" s="17">
        <v>75117979</v>
      </c>
      <c r="C320" s="17">
        <f t="shared" si="104"/>
        <v>8011188.0431034481</v>
      </c>
      <c r="D320" s="18">
        <f>+Tabla22[[#This Row],[Share diario]]</f>
        <v>4.4741771892154301E-2</v>
      </c>
      <c r="E320" s="17">
        <f>+Tabla22[[#This Row],[Global 2026]]</f>
        <v>0</v>
      </c>
      <c r="F320" s="19">
        <v>46339</v>
      </c>
      <c r="G320" s="17">
        <f t="shared" si="105"/>
        <v>9958097.8704865705</v>
      </c>
      <c r="H320" s="17">
        <v>7778224.1211139001</v>
      </c>
      <c r="I320" s="17">
        <v>2179873.74937267</v>
      </c>
      <c r="J320" s="17">
        <v>5897136</v>
      </c>
      <c r="K320" s="17">
        <f>+Tabla22[[#This Row],[Web + APP 2026]]</f>
        <v>0</v>
      </c>
      <c r="L320" s="17">
        <v>73120.689655172406</v>
      </c>
      <c r="M320" s="17">
        <f>+Tabla22[[#This Row],[Afiliados 2026]]</f>
        <v>0</v>
      </c>
      <c r="N320" s="17">
        <v>58945</v>
      </c>
      <c r="O320" s="17">
        <f>+Tabla22[[#This Row],[TMK 2026]]</f>
        <v>0</v>
      </c>
      <c r="P320" s="17">
        <v>7484</v>
      </c>
      <c r="Q320" s="17">
        <f>+Tabla22[[#This Row],[WA 2026]]</f>
        <v>0</v>
      </c>
      <c r="R320" s="17">
        <v>211561</v>
      </c>
      <c r="S320" s="17">
        <f>+Tabla22[[#This Row],[Ent. en Tienda 2026]]</f>
        <v>0</v>
      </c>
      <c r="T320" s="17">
        <v>1342849</v>
      </c>
      <c r="U320" s="17">
        <f>+Tabla22[[#This Row],[Meli Drop 2026]]</f>
        <v>0</v>
      </c>
      <c r="V320" s="17">
        <v>347316</v>
      </c>
      <c r="W320" s="17">
        <f>+Tabla22[[#This Row],[Meli Full 2026]]</f>
        <v>0</v>
      </c>
      <c r="X320" s="17">
        <v>17568</v>
      </c>
      <c r="Y320" s="17">
        <f>+Tabla22[[#This Row],[Amazon Drop 2026]]</f>
        <v>0</v>
      </c>
      <c r="Z320" s="17">
        <v>34059</v>
      </c>
      <c r="AA320" s="17">
        <f>+Tabla22[[#This Row],[Amazon Full 2026]]</f>
        <v>0</v>
      </c>
      <c r="AB320" s="17">
        <v>18479.525862069</v>
      </c>
      <c r="AC320" s="17">
        <f>+Tabla22[[#This Row],[TikTok 2026]]</f>
        <v>0</v>
      </c>
      <c r="AD320" s="17">
        <v>2669.8275862068999</v>
      </c>
      <c r="AE320" s="17">
        <f>+Tabla22[[#This Row],[Shein 2026]]</f>
        <v>0</v>
      </c>
      <c r="AF320" s="17">
        <f t="shared" si="106"/>
        <v>0</v>
      </c>
      <c r="AG320" s="18">
        <f t="shared" si="107"/>
        <v>0</v>
      </c>
      <c r="AH320" s="17">
        <f t="shared" si="108"/>
        <v>-9958097.8704865705</v>
      </c>
      <c r="AI320" s="20">
        <f t="shared" si="109"/>
        <v>-1</v>
      </c>
      <c r="AJ320" s="20">
        <f t="shared" si="115"/>
        <v>0.10664807746096908</v>
      </c>
      <c r="AK320" s="21" t="e">
        <f t="shared" si="110"/>
        <v>#DIV/0!</v>
      </c>
      <c r="AL320" s="21">
        <f t="shared" si="116"/>
        <v>-1</v>
      </c>
    </row>
    <row r="321" spans="1:38" ht="14.25" customHeight="1" x14ac:dyDescent="0.35">
      <c r="A321" s="19">
        <v>45976</v>
      </c>
      <c r="B321" s="17">
        <v>87981274</v>
      </c>
      <c r="C321" s="17">
        <f t="shared" si="104"/>
        <v>6250600.9396551726</v>
      </c>
      <c r="D321" s="18">
        <f>+Tabla22[[#This Row],[Share diario]]</f>
        <v>4.7556498814378331E-2</v>
      </c>
      <c r="E321" s="17">
        <f>+Tabla22[[#This Row],[Global 2026]]</f>
        <v>0</v>
      </c>
      <c r="F321" s="19">
        <v>46340</v>
      </c>
      <c r="G321" s="17">
        <f t="shared" si="105"/>
        <v>10598196.073287521</v>
      </c>
      <c r="H321" s="17">
        <v>8110785.4693160597</v>
      </c>
      <c r="I321" s="17">
        <v>2487410.6039714599</v>
      </c>
      <c r="J321" s="17">
        <v>4408030</v>
      </c>
      <c r="K321" s="17">
        <f>+Tabla22[[#This Row],[Web + APP 2026]]</f>
        <v>0</v>
      </c>
      <c r="L321" s="17">
        <v>69456.034482758594</v>
      </c>
      <c r="M321" s="17">
        <f>+Tabla22[[#This Row],[Afiliados 2026]]</f>
        <v>0</v>
      </c>
      <c r="N321" s="17">
        <v>25308</v>
      </c>
      <c r="O321" s="17">
        <f>+Tabla22[[#This Row],[TMK 2026]]</f>
        <v>0</v>
      </c>
      <c r="P321" s="17">
        <v>1153</v>
      </c>
      <c r="Q321" s="17">
        <f>+Tabla22[[#This Row],[WA 2026]]</f>
        <v>0</v>
      </c>
      <c r="R321" s="17">
        <v>256816</v>
      </c>
      <c r="S321" s="17">
        <f>+Tabla22[[#This Row],[Ent. en Tienda 2026]]</f>
        <v>0</v>
      </c>
      <c r="T321" s="17">
        <v>1108972</v>
      </c>
      <c r="U321" s="17">
        <f>+Tabla22[[#This Row],[Meli Drop 2026]]</f>
        <v>0</v>
      </c>
      <c r="V321" s="17">
        <v>362812</v>
      </c>
      <c r="W321" s="17">
        <f>+Tabla22[[#This Row],[Meli Full 2026]]</f>
        <v>0</v>
      </c>
      <c r="X321" s="17">
        <v>-2259</v>
      </c>
      <c r="Y321" s="17">
        <f>+Tabla22[[#This Row],[Amazon Drop 2026]]</f>
        <v>0</v>
      </c>
      <c r="Z321" s="17">
        <v>12703</v>
      </c>
      <c r="AA321" s="17">
        <f>+Tabla22[[#This Row],[Amazon Full 2026]]</f>
        <v>0</v>
      </c>
      <c r="AB321" s="17">
        <v>3562.4913793103501</v>
      </c>
      <c r="AC321" s="17">
        <f>+Tabla22[[#This Row],[TikTok 2026]]</f>
        <v>0</v>
      </c>
      <c r="AD321" s="17">
        <v>4047.4137931034502</v>
      </c>
      <c r="AE321" s="17">
        <f>+Tabla22[[#This Row],[Shein 2026]]</f>
        <v>0</v>
      </c>
      <c r="AF321" s="17">
        <f t="shared" si="106"/>
        <v>0</v>
      </c>
      <c r="AG321" s="18">
        <f t="shared" si="107"/>
        <v>0</v>
      </c>
      <c r="AH321" s="17">
        <f t="shared" si="108"/>
        <v>-10598196.073287521</v>
      </c>
      <c r="AI321" s="20">
        <f t="shared" si="109"/>
        <v>-1</v>
      </c>
      <c r="AJ321" s="20">
        <f t="shared" si="115"/>
        <v>7.1044674116166731E-2</v>
      </c>
      <c r="AK321" s="21" t="e">
        <f t="shared" si="110"/>
        <v>#DIV/0!</v>
      </c>
      <c r="AL321" s="21">
        <f t="shared" si="116"/>
        <v>-1</v>
      </c>
    </row>
    <row r="322" spans="1:38" ht="14.25" customHeight="1" x14ac:dyDescent="0.35">
      <c r="A322" s="16">
        <v>45977</v>
      </c>
      <c r="B322" s="17">
        <v>90614671</v>
      </c>
      <c r="C322" s="17">
        <f t="shared" si="104"/>
        <v>6187483.2586206906</v>
      </c>
      <c r="D322" s="18">
        <f>+Tabla22[[#This Row],[Share diario]]</f>
        <v>3.7105195206566299E-2</v>
      </c>
      <c r="E322" s="17">
        <f>+Tabla22[[#This Row],[Global 2026]]</f>
        <v>0</v>
      </c>
      <c r="F322" s="19">
        <v>46341</v>
      </c>
      <c r="G322" s="17">
        <f t="shared" si="105"/>
        <v>8281975.1424713098</v>
      </c>
      <c r="H322" s="17">
        <v>6179898.0675442601</v>
      </c>
      <c r="I322" s="17">
        <v>2102077.0749270502</v>
      </c>
      <c r="J322" s="17">
        <v>4732740</v>
      </c>
      <c r="K322" s="17">
        <f>+Tabla22[[#This Row],[Web + APP 2026]]</f>
        <v>0</v>
      </c>
      <c r="L322" s="17">
        <v>78706.896551724101</v>
      </c>
      <c r="M322" s="17">
        <f>+Tabla22[[#This Row],[Afiliados 2026]]</f>
        <v>0</v>
      </c>
      <c r="N322" s="17">
        <v>23936</v>
      </c>
      <c r="O322" s="17">
        <f>+Tabla22[[#This Row],[TMK 2026]]</f>
        <v>0</v>
      </c>
      <c r="P322" s="17">
        <v>4170</v>
      </c>
      <c r="Q322" s="17">
        <f>+Tabla22[[#This Row],[WA 2026]]</f>
        <v>0</v>
      </c>
      <c r="R322" s="17">
        <v>281033</v>
      </c>
      <c r="S322" s="17">
        <f>+Tabla22[[#This Row],[Ent. en Tienda 2026]]</f>
        <v>0</v>
      </c>
      <c r="T322" s="17">
        <v>434970</v>
      </c>
      <c r="U322" s="17">
        <f>+Tabla22[[#This Row],[Meli Drop 2026]]</f>
        <v>0</v>
      </c>
      <c r="V322" s="17">
        <v>457126</v>
      </c>
      <c r="W322" s="17">
        <f>+Tabla22[[#This Row],[Meli Full 2026]]</f>
        <v>0</v>
      </c>
      <c r="X322" s="17">
        <v>158214</v>
      </c>
      <c r="Y322" s="17">
        <f>+Tabla22[[#This Row],[Amazon Drop 2026]]</f>
        <v>0</v>
      </c>
      <c r="Z322" s="17">
        <v>13795</v>
      </c>
      <c r="AA322" s="17">
        <f>+Tabla22[[#This Row],[Amazon Full 2026]]</f>
        <v>0</v>
      </c>
      <c r="AB322" s="17">
        <v>1069.94827586207</v>
      </c>
      <c r="AC322" s="17">
        <f>+Tabla22[[#This Row],[TikTok 2026]]</f>
        <v>0</v>
      </c>
      <c r="AD322" s="17">
        <v>1722.41379310345</v>
      </c>
      <c r="AE322" s="17">
        <f>+Tabla22[[#This Row],[Shein 2026]]</f>
        <v>0</v>
      </c>
      <c r="AF322" s="17">
        <f t="shared" si="106"/>
        <v>0</v>
      </c>
      <c r="AG322" s="18">
        <f t="shared" si="107"/>
        <v>0</v>
      </c>
      <c r="AH322" s="17">
        <f t="shared" si="108"/>
        <v>-8281975.1424713098</v>
      </c>
      <c r="AI322" s="20">
        <f t="shared" si="109"/>
        <v>-1</v>
      </c>
      <c r="AJ322" s="20">
        <f t="shared" si="115"/>
        <v>6.8283459955625625E-2</v>
      </c>
      <c r="AK322" s="21" t="e">
        <f t="shared" si="110"/>
        <v>#DIV/0!</v>
      </c>
      <c r="AL322" s="21">
        <f t="shared" si="116"/>
        <v>-1</v>
      </c>
    </row>
    <row r="323" spans="1:38" ht="14.25" customHeight="1" x14ac:dyDescent="0.35">
      <c r="A323" s="19">
        <v>45978</v>
      </c>
      <c r="B323" s="17">
        <v>92083785</v>
      </c>
      <c r="C323" s="17">
        <f t="shared" si="104"/>
        <v>9615288.931034483</v>
      </c>
      <c r="D323" s="18">
        <f>+Tabla22[[#This Row],[Share diario]]</f>
        <v>3.6730512212342151E-2</v>
      </c>
      <c r="E323" s="17">
        <f>+Tabla22[[#This Row],[Global 2026]]</f>
        <v>0</v>
      </c>
      <c r="F323" s="19">
        <v>46342</v>
      </c>
      <c r="G323" s="17">
        <f t="shared" si="105"/>
        <v>8152312.3388383891</v>
      </c>
      <c r="H323" s="17">
        <v>6646980.4645995097</v>
      </c>
      <c r="I323" s="17">
        <v>1505331.8742388799</v>
      </c>
      <c r="J323" s="17">
        <v>7301102</v>
      </c>
      <c r="K323" s="17">
        <f>+Tabla22[[#This Row],[Web + APP 2026]]</f>
        <v>0</v>
      </c>
      <c r="L323" s="17">
        <v>73426.724137931</v>
      </c>
      <c r="M323" s="17">
        <f>+Tabla22[[#This Row],[Afiliados 2026]]</f>
        <v>0</v>
      </c>
      <c r="N323" s="17">
        <v>16174</v>
      </c>
      <c r="O323" s="17">
        <f>+Tabla22[[#This Row],[TMK 2026]]</f>
        <v>0</v>
      </c>
      <c r="P323" s="17">
        <v>2385</v>
      </c>
      <c r="Q323" s="17">
        <f>+Tabla22[[#This Row],[WA 2026]]</f>
        <v>0</v>
      </c>
      <c r="R323" s="17">
        <v>159658</v>
      </c>
      <c r="S323" s="17">
        <f>+Tabla22[[#This Row],[Ent. en Tienda 2026]]</f>
        <v>0</v>
      </c>
      <c r="T323" s="17">
        <v>1473035</v>
      </c>
      <c r="U323" s="17">
        <f>+Tabla22[[#This Row],[Meli Drop 2026]]</f>
        <v>0</v>
      </c>
      <c r="V323" s="17">
        <v>390070</v>
      </c>
      <c r="W323" s="17">
        <f>+Tabla22[[#This Row],[Meli Full 2026]]</f>
        <v>0</v>
      </c>
      <c r="X323" s="17">
        <v>88451</v>
      </c>
      <c r="Y323" s="17">
        <f>+Tabla22[[#This Row],[Amazon Drop 2026]]</f>
        <v>0</v>
      </c>
      <c r="Z323" s="17">
        <v>106398</v>
      </c>
      <c r="AA323" s="17">
        <f>+Tabla22[[#This Row],[Amazon Full 2026]]</f>
        <v>0</v>
      </c>
      <c r="AB323" s="17">
        <v>886.62068965517301</v>
      </c>
      <c r="AC323" s="17">
        <f>+Tabla22[[#This Row],[TikTok 2026]]</f>
        <v>0</v>
      </c>
      <c r="AD323" s="17">
        <v>3702.5862068965498</v>
      </c>
      <c r="AE323" s="17">
        <f>+Tabla22[[#This Row],[Shein 2026]]</f>
        <v>0</v>
      </c>
      <c r="AF323" s="17">
        <f t="shared" si="106"/>
        <v>0</v>
      </c>
      <c r="AG323" s="18">
        <f t="shared" si="107"/>
        <v>0</v>
      </c>
      <c r="AH323" s="17">
        <f t="shared" si="108"/>
        <v>-8152312.3388383891</v>
      </c>
      <c r="AI323" s="20">
        <f t="shared" si="109"/>
        <v>-1</v>
      </c>
      <c r="AJ323" s="20">
        <f t="shared" si="115"/>
        <v>0.10441891513293554</v>
      </c>
      <c r="AK323" s="21" t="e">
        <f t="shared" si="110"/>
        <v>#DIV/0!</v>
      </c>
      <c r="AL323" s="21">
        <f t="shared" si="116"/>
        <v>-1</v>
      </c>
    </row>
    <row r="324" spans="1:38" ht="14.25" customHeight="1" x14ac:dyDescent="0.35">
      <c r="A324" s="16">
        <v>45979</v>
      </c>
      <c r="B324" s="17">
        <v>39600628</v>
      </c>
      <c r="C324" s="17">
        <f t="shared" ref="C324:C368" si="117">+J324+L324+N324+P324+R324+T324+V324+X324+Z324+AB324+AD324</f>
        <v>6344583.2327586208</v>
      </c>
      <c r="D324" s="18">
        <f>+Tabla22[[#This Row],[Share diario]]</f>
        <v>5.7078859488549114E-2</v>
      </c>
      <c r="E324" s="17">
        <f>+Tabla22[[#This Row],[Global 2026]]</f>
        <v>0</v>
      </c>
      <c r="F324" s="19">
        <v>46343</v>
      </c>
      <c r="G324" s="17">
        <f t="shared" ref="G324:G368" si="118">+H324+I324</f>
        <v>12714274.281289689</v>
      </c>
      <c r="H324" s="17">
        <v>9804142.3963300195</v>
      </c>
      <c r="I324" s="17">
        <v>2910131.8849596698</v>
      </c>
      <c r="J324" s="17">
        <v>4720959</v>
      </c>
      <c r="K324" s="17">
        <f>+Tabla22[[#This Row],[Web + APP 2026]]</f>
        <v>0</v>
      </c>
      <c r="L324" s="17">
        <v>47643.965517241399</v>
      </c>
      <c r="M324" s="17">
        <f>+Tabla22[[#This Row],[Afiliados 2026]]</f>
        <v>0</v>
      </c>
      <c r="N324" s="17">
        <v>95259</v>
      </c>
      <c r="O324" s="17">
        <f>+Tabla22[[#This Row],[TMK 2026]]</f>
        <v>0</v>
      </c>
      <c r="P324" s="17">
        <v>-1341</v>
      </c>
      <c r="Q324" s="17">
        <f>+Tabla22[[#This Row],[WA 2026]]</f>
        <v>0</v>
      </c>
      <c r="R324" s="17">
        <v>147773</v>
      </c>
      <c r="S324" s="17">
        <f>+Tabla22[[#This Row],[Ent. en Tienda 2026]]</f>
        <v>0</v>
      </c>
      <c r="T324" s="17">
        <v>932318</v>
      </c>
      <c r="U324" s="17">
        <f>+Tabla22[[#This Row],[Meli Drop 2026]]</f>
        <v>0</v>
      </c>
      <c r="V324" s="17">
        <v>326265</v>
      </c>
      <c r="W324" s="17">
        <f>+Tabla22[[#This Row],[Meli Full 2026]]</f>
        <v>0</v>
      </c>
      <c r="X324" s="17">
        <v>34579</v>
      </c>
      <c r="Y324" s="17">
        <f>+Tabla22[[#This Row],[Amazon Drop 2026]]</f>
        <v>0</v>
      </c>
      <c r="Z324" s="17">
        <v>35129</v>
      </c>
      <c r="AA324" s="17">
        <f>+Tabla22[[#This Row],[Amazon Full 2026]]</f>
        <v>0</v>
      </c>
      <c r="AB324" s="17">
        <v>5998.2672413793098</v>
      </c>
      <c r="AC324" s="17">
        <f>+Tabla22[[#This Row],[TikTok 2026]]</f>
        <v>0</v>
      </c>
      <c r="AD324" s="17">
        <v>0</v>
      </c>
      <c r="AE324" s="17">
        <f>+Tabla22[[#This Row],[Shein 2026]]</f>
        <v>0</v>
      </c>
      <c r="AF324" s="17">
        <f t="shared" ref="AF324:AF368" si="119">+AE324+AC324+AA324+Y324+W324+U324+S324+Q324+O324+M324+K324</f>
        <v>0</v>
      </c>
      <c r="AG324" s="18">
        <f t="shared" ref="AG324:AG368" si="120">+AF324/G324</f>
        <v>0</v>
      </c>
      <c r="AH324" s="17">
        <f t="shared" ref="AH324:AH368" si="121">+AF324-G324</f>
        <v>-12714274.281289689</v>
      </c>
      <c r="AI324" s="20">
        <f t="shared" ref="AI324:AI368" si="122">+AF324/C324-1</f>
        <v>-1</v>
      </c>
      <c r="AJ324" s="20">
        <f t="shared" si="115"/>
        <v>0.16021420753121948</v>
      </c>
      <c r="AK324" s="21" t="e">
        <f t="shared" ref="AK324:AK368" si="123">+AF324/E324</f>
        <v>#DIV/0!</v>
      </c>
      <c r="AL324" s="21">
        <f t="shared" si="116"/>
        <v>-1</v>
      </c>
    </row>
    <row r="325" spans="1:38" ht="14.25" customHeight="1" x14ac:dyDescent="0.35">
      <c r="A325" s="19">
        <v>45980</v>
      </c>
      <c r="B325" s="17">
        <v>44043429</v>
      </c>
      <c r="C325" s="17">
        <f t="shared" si="117"/>
        <v>6100331.8534482755</v>
      </c>
      <c r="D325" s="18">
        <f>+Tabla22[[#This Row],[Share diario]]</f>
        <v>3.7663098577015115E-2</v>
      </c>
      <c r="E325" s="17">
        <f>+Tabla22[[#This Row],[Global 2026]]</f>
        <v>0</v>
      </c>
      <c r="F325" s="19">
        <v>46344</v>
      </c>
      <c r="G325" s="17">
        <f t="shared" si="118"/>
        <v>8386418.3696318399</v>
      </c>
      <c r="H325" s="17">
        <v>6503811.6308371797</v>
      </c>
      <c r="I325" s="17">
        <v>1882606.73879466</v>
      </c>
      <c r="J325" s="17">
        <v>4242519</v>
      </c>
      <c r="K325" s="17">
        <f>+Tabla22[[#This Row],[Web + APP 2026]]</f>
        <v>0</v>
      </c>
      <c r="L325" s="17">
        <v>49587.068965517203</v>
      </c>
      <c r="M325" s="17">
        <f>+Tabla22[[#This Row],[Afiliados 2026]]</f>
        <v>0</v>
      </c>
      <c r="N325" s="17">
        <v>76524</v>
      </c>
      <c r="O325" s="17">
        <f>+Tabla22[[#This Row],[TMK 2026]]</f>
        <v>0</v>
      </c>
      <c r="P325" s="17">
        <v>2601</v>
      </c>
      <c r="Q325" s="17">
        <f>+Tabla22[[#This Row],[WA 2026]]</f>
        <v>0</v>
      </c>
      <c r="R325" s="17">
        <v>240478</v>
      </c>
      <c r="S325" s="17">
        <f>+Tabla22[[#This Row],[Ent. en Tienda 2026]]</f>
        <v>0</v>
      </c>
      <c r="T325" s="17">
        <v>1127916</v>
      </c>
      <c r="U325" s="17">
        <f>+Tabla22[[#This Row],[Meli Drop 2026]]</f>
        <v>0</v>
      </c>
      <c r="V325" s="17">
        <v>278096</v>
      </c>
      <c r="W325" s="17">
        <f>+Tabla22[[#This Row],[Meli Full 2026]]</f>
        <v>0</v>
      </c>
      <c r="X325" s="17">
        <v>37316</v>
      </c>
      <c r="Y325" s="17">
        <f>+Tabla22[[#This Row],[Amazon Drop 2026]]</f>
        <v>0</v>
      </c>
      <c r="Z325" s="17">
        <v>34950</v>
      </c>
      <c r="AA325" s="17">
        <f>+Tabla22[[#This Row],[Amazon Full 2026]]</f>
        <v>0</v>
      </c>
      <c r="AB325" s="17">
        <v>5866.3362068965498</v>
      </c>
      <c r="AC325" s="17">
        <f>+Tabla22[[#This Row],[TikTok 2026]]</f>
        <v>0</v>
      </c>
      <c r="AD325" s="17">
        <v>4478.4482758620697</v>
      </c>
      <c r="AE325" s="17">
        <f>+Tabla22[[#This Row],[Shein 2026]]</f>
        <v>0</v>
      </c>
      <c r="AF325" s="17">
        <f t="shared" si="119"/>
        <v>0</v>
      </c>
      <c r="AG325" s="18">
        <f t="shared" si="120"/>
        <v>0</v>
      </c>
      <c r="AH325" s="17">
        <f t="shared" si="121"/>
        <v>-8386418.3696318399</v>
      </c>
      <c r="AI325" s="20">
        <f t="shared" si="122"/>
        <v>-1</v>
      </c>
      <c r="AJ325" s="20">
        <f t="shared" si="115"/>
        <v>0.13850719600983555</v>
      </c>
      <c r="AK325" s="21" t="e">
        <f t="shared" si="123"/>
        <v>#DIV/0!</v>
      </c>
      <c r="AL325" s="21">
        <f t="shared" si="116"/>
        <v>-1</v>
      </c>
    </row>
    <row r="326" spans="1:38" ht="14.25" customHeight="1" x14ac:dyDescent="0.35">
      <c r="A326" s="16">
        <v>45981</v>
      </c>
      <c r="B326" s="17">
        <v>45264544</v>
      </c>
      <c r="C326" s="17">
        <f t="shared" si="117"/>
        <v>4223555.3103448274</v>
      </c>
      <c r="D326" s="18">
        <f>+Tabla22[[#This Row],[Share diario]]</f>
        <v>3.6213158771822018E-2</v>
      </c>
      <c r="E326" s="17">
        <f>+Tabla22[[#This Row],[Global 2026]]</f>
        <v>0</v>
      </c>
      <c r="F326" s="19">
        <v>46345</v>
      </c>
      <c r="G326" s="17">
        <f t="shared" si="118"/>
        <v>8086775.2394312397</v>
      </c>
      <c r="H326" s="17">
        <v>5986412.6311157104</v>
      </c>
      <c r="I326" s="17">
        <v>2100362.6083155298</v>
      </c>
      <c r="J326" s="17">
        <v>3180652</v>
      </c>
      <c r="K326" s="17">
        <f>+Tabla22[[#This Row],[Web + APP 2026]]</f>
        <v>0</v>
      </c>
      <c r="L326" s="17">
        <v>40595.689655172398</v>
      </c>
      <c r="M326" s="17">
        <f>+Tabla22[[#This Row],[Afiliados 2026]]</f>
        <v>0</v>
      </c>
      <c r="N326" s="17">
        <v>49953</v>
      </c>
      <c r="O326" s="17">
        <f>+Tabla22[[#This Row],[TMK 2026]]</f>
        <v>0</v>
      </c>
      <c r="P326" s="17">
        <v>6804</v>
      </c>
      <c r="Q326" s="17">
        <f>+Tabla22[[#This Row],[WA 2026]]</f>
        <v>0</v>
      </c>
      <c r="R326" s="17">
        <v>241917</v>
      </c>
      <c r="S326" s="17">
        <f>+Tabla22[[#This Row],[Ent. en Tienda 2026]]</f>
        <v>0</v>
      </c>
      <c r="T326" s="17">
        <v>322746</v>
      </c>
      <c r="U326" s="17">
        <f>+Tabla22[[#This Row],[Meli Drop 2026]]</f>
        <v>0</v>
      </c>
      <c r="V326" s="17">
        <v>305105</v>
      </c>
      <c r="W326" s="17">
        <f>+Tabla22[[#This Row],[Meli Full 2026]]</f>
        <v>0</v>
      </c>
      <c r="X326" s="17">
        <v>24957</v>
      </c>
      <c r="Y326" s="17">
        <f>+Tabla22[[#This Row],[Amazon Drop 2026]]</f>
        <v>0</v>
      </c>
      <c r="Z326" s="17">
        <v>45711</v>
      </c>
      <c r="AA326" s="17">
        <f>+Tabla22[[#This Row],[Amazon Full 2026]]</f>
        <v>0</v>
      </c>
      <c r="AB326" s="17">
        <v>2272.3793103448302</v>
      </c>
      <c r="AC326" s="17">
        <f>+Tabla22[[#This Row],[TikTok 2026]]</f>
        <v>0</v>
      </c>
      <c r="AD326" s="17">
        <v>2842.2413793103501</v>
      </c>
      <c r="AE326" s="17">
        <f>+Tabla22[[#This Row],[Shein 2026]]</f>
        <v>0</v>
      </c>
      <c r="AF326" s="17">
        <f t="shared" si="119"/>
        <v>0</v>
      </c>
      <c r="AG326" s="18">
        <f t="shared" si="120"/>
        <v>0</v>
      </c>
      <c r="AH326" s="17">
        <f t="shared" si="121"/>
        <v>-8086775.2394312397</v>
      </c>
      <c r="AI326" s="20">
        <f t="shared" si="122"/>
        <v>-1</v>
      </c>
      <c r="AJ326" s="20">
        <f t="shared" si="115"/>
        <v>9.3308248291307808E-2</v>
      </c>
      <c r="AK326" s="21" t="e">
        <f t="shared" si="123"/>
        <v>#DIV/0!</v>
      </c>
      <c r="AL326" s="21">
        <f t="shared" si="116"/>
        <v>-1</v>
      </c>
    </row>
    <row r="327" spans="1:38" ht="14.25" customHeight="1" x14ac:dyDescent="0.35">
      <c r="A327" s="19">
        <v>45982</v>
      </c>
      <c r="B327" s="17">
        <v>48516289</v>
      </c>
      <c r="C327" s="17">
        <f t="shared" si="117"/>
        <v>3825613.4913793104</v>
      </c>
      <c r="D327" s="18">
        <f>+Tabla22[[#This Row],[Share diario]]</f>
        <v>2.5072124387566497E-2</v>
      </c>
      <c r="E327" s="17">
        <f>+Tabla22[[#This Row],[Global 2026]]</f>
        <v>0</v>
      </c>
      <c r="F327" s="19">
        <v>46346</v>
      </c>
      <c r="G327" s="17">
        <f t="shared" si="118"/>
        <v>5561961.8076369297</v>
      </c>
      <c r="H327" s="17">
        <v>4569174.5399318105</v>
      </c>
      <c r="I327" s="17">
        <v>992787.26770511898</v>
      </c>
      <c r="J327" s="17">
        <v>2745907</v>
      </c>
      <c r="K327" s="17">
        <f>+Tabla22[[#This Row],[Web + APP 2026]]</f>
        <v>0</v>
      </c>
      <c r="L327" s="17">
        <v>33519.827586206899</v>
      </c>
      <c r="M327" s="17">
        <f>+Tabla22[[#This Row],[Afiliados 2026]]</f>
        <v>0</v>
      </c>
      <c r="N327" s="17">
        <v>17150</v>
      </c>
      <c r="O327" s="17">
        <f>+Tabla22[[#This Row],[TMK 2026]]</f>
        <v>0</v>
      </c>
      <c r="P327" s="17">
        <v>7339</v>
      </c>
      <c r="Q327" s="17">
        <f>+Tabla22[[#This Row],[WA 2026]]</f>
        <v>0</v>
      </c>
      <c r="R327" s="17">
        <v>206736</v>
      </c>
      <c r="S327" s="17">
        <f>+Tabla22[[#This Row],[Ent. en Tienda 2026]]</f>
        <v>0</v>
      </c>
      <c r="T327" s="17">
        <v>475176</v>
      </c>
      <c r="U327" s="17">
        <f>+Tabla22[[#This Row],[Meli Drop 2026]]</f>
        <v>0</v>
      </c>
      <c r="V327" s="17">
        <v>235742</v>
      </c>
      <c r="W327" s="17">
        <f>+Tabla22[[#This Row],[Meli Full 2026]]</f>
        <v>0</v>
      </c>
      <c r="X327" s="17">
        <v>25815</v>
      </c>
      <c r="Y327" s="17">
        <f>+Tabla22[[#This Row],[Amazon Drop 2026]]</f>
        <v>0</v>
      </c>
      <c r="Z327" s="17">
        <v>62744</v>
      </c>
      <c r="AA327" s="17">
        <f>+Tabla22[[#This Row],[Amazon Full 2026]]</f>
        <v>0</v>
      </c>
      <c r="AB327" s="17">
        <v>14709.6637931035</v>
      </c>
      <c r="AC327" s="17">
        <f>+Tabla22[[#This Row],[TikTok 2026]]</f>
        <v>0</v>
      </c>
      <c r="AD327" s="17">
        <v>775</v>
      </c>
      <c r="AE327" s="17">
        <f>+Tabla22[[#This Row],[Shein 2026]]</f>
        <v>0</v>
      </c>
      <c r="AF327" s="17">
        <f t="shared" si="119"/>
        <v>0</v>
      </c>
      <c r="AG327" s="18">
        <f t="shared" si="120"/>
        <v>0</v>
      </c>
      <c r="AH327" s="17">
        <f t="shared" si="121"/>
        <v>-5561961.8076369297</v>
      </c>
      <c r="AI327" s="20">
        <f t="shared" si="122"/>
        <v>-1</v>
      </c>
      <c r="AJ327" s="20">
        <f t="shared" si="115"/>
        <v>7.8852145747983951E-2</v>
      </c>
      <c r="AK327" s="21" t="e">
        <f t="shared" si="123"/>
        <v>#DIV/0!</v>
      </c>
      <c r="AL327" s="21">
        <f t="shared" si="116"/>
        <v>-1</v>
      </c>
    </row>
    <row r="328" spans="1:38" ht="14.25" customHeight="1" x14ac:dyDescent="0.35">
      <c r="A328" s="16">
        <v>45983</v>
      </c>
      <c r="B328" s="17">
        <v>62976306</v>
      </c>
      <c r="C328" s="17">
        <f t="shared" si="117"/>
        <v>6091144.3448275859</v>
      </c>
      <c r="D328" s="18">
        <f>+Tabla22[[#This Row],[Share diario]]</f>
        <v>2.2709838102435941E-2</v>
      </c>
      <c r="E328" s="17">
        <f>+Tabla22[[#This Row],[Global 2026]]</f>
        <v>0</v>
      </c>
      <c r="F328" s="19">
        <v>46347</v>
      </c>
      <c r="G328" s="17">
        <f t="shared" si="118"/>
        <v>5057961.3563756002</v>
      </c>
      <c r="H328" s="17">
        <v>3908096.51238397</v>
      </c>
      <c r="I328" s="17">
        <v>1149864.84399163</v>
      </c>
      <c r="J328" s="17">
        <v>2622616</v>
      </c>
      <c r="K328" s="17">
        <f>+Tabla22[[#This Row],[Web + APP 2026]]</f>
        <v>0</v>
      </c>
      <c r="L328" s="17">
        <v>47146.551724137898</v>
      </c>
      <c r="M328" s="17">
        <f>+Tabla22[[#This Row],[Afiliados 2026]]</f>
        <v>0</v>
      </c>
      <c r="N328" s="17">
        <v>58779</v>
      </c>
      <c r="O328" s="17">
        <f>+Tabla22[[#This Row],[TMK 2026]]</f>
        <v>0</v>
      </c>
      <c r="P328" s="17">
        <v>5619</v>
      </c>
      <c r="Q328" s="17">
        <f>+Tabla22[[#This Row],[WA 2026]]</f>
        <v>0</v>
      </c>
      <c r="R328" s="17">
        <v>218600</v>
      </c>
      <c r="S328" s="17">
        <f>+Tabla22[[#This Row],[Ent. en Tienda 2026]]</f>
        <v>0</v>
      </c>
      <c r="T328" s="17">
        <v>2828747</v>
      </c>
      <c r="U328" s="17">
        <f>+Tabla22[[#This Row],[Meli Drop 2026]]</f>
        <v>0</v>
      </c>
      <c r="V328" s="17">
        <v>232232</v>
      </c>
      <c r="W328" s="17">
        <f>+Tabla22[[#This Row],[Meli Full 2026]]</f>
        <v>0</v>
      </c>
      <c r="X328" s="17">
        <v>32234</v>
      </c>
      <c r="Y328" s="17">
        <f>+Tabla22[[#This Row],[Amazon Drop 2026]]</f>
        <v>0</v>
      </c>
      <c r="Z328" s="17">
        <v>42932</v>
      </c>
      <c r="AA328" s="17">
        <f>+Tabla22[[#This Row],[Amazon Full 2026]]</f>
        <v>0</v>
      </c>
      <c r="AB328" s="17">
        <v>0</v>
      </c>
      <c r="AC328" s="17">
        <f>+Tabla22[[#This Row],[TikTok 2026]]</f>
        <v>0</v>
      </c>
      <c r="AD328" s="17">
        <v>2238.7931034482799</v>
      </c>
      <c r="AE328" s="17">
        <f>+Tabla22[[#This Row],[Shein 2026]]</f>
        <v>0</v>
      </c>
      <c r="AF328" s="17">
        <f t="shared" si="119"/>
        <v>0</v>
      </c>
      <c r="AG328" s="18">
        <f t="shared" si="120"/>
        <v>0</v>
      </c>
      <c r="AH328" s="17">
        <f t="shared" si="121"/>
        <v>-5057961.3563756002</v>
      </c>
      <c r="AI328" s="20">
        <f t="shared" si="122"/>
        <v>-1</v>
      </c>
      <c r="AJ328" s="20">
        <f t="shared" si="115"/>
        <v>9.6721207255750855E-2</v>
      </c>
      <c r="AK328" s="21" t="e">
        <f t="shared" si="123"/>
        <v>#DIV/0!</v>
      </c>
      <c r="AL328" s="21">
        <f t="shared" si="116"/>
        <v>-1</v>
      </c>
    </row>
    <row r="329" spans="1:38" ht="14.25" customHeight="1" x14ac:dyDescent="0.35">
      <c r="A329" s="19">
        <v>45984</v>
      </c>
      <c r="B329" s="17">
        <v>64339155</v>
      </c>
      <c r="C329" s="17">
        <f t="shared" si="117"/>
        <v>3431368.1982758618</v>
      </c>
      <c r="D329" s="18">
        <f>+Tabla22[[#This Row],[Share diario]]</f>
        <v>3.6158619327675147E-2</v>
      </c>
      <c r="E329" s="17">
        <f>+Tabla22[[#This Row],[Global 2026]]</f>
        <v>0</v>
      </c>
      <c r="F329" s="19">
        <v>46348</v>
      </c>
      <c r="G329" s="17">
        <f t="shared" si="118"/>
        <v>8261030.5790344095</v>
      </c>
      <c r="H329" s="17">
        <v>3832948.4360700799</v>
      </c>
      <c r="I329" s="17">
        <v>4428082.1429643296</v>
      </c>
      <c r="J329" s="17">
        <v>2912051</v>
      </c>
      <c r="K329" s="17">
        <f>+Tabla22[[#This Row],[Web + APP 2026]]</f>
        <v>0</v>
      </c>
      <c r="L329" s="17">
        <v>50568.103448275797</v>
      </c>
      <c r="M329" s="17">
        <f>+Tabla22[[#This Row],[Afiliados 2026]]</f>
        <v>0</v>
      </c>
      <c r="N329" s="17">
        <v>-4265</v>
      </c>
      <c r="O329" s="17">
        <f>+Tabla22[[#This Row],[TMK 2026]]</f>
        <v>0</v>
      </c>
      <c r="P329" s="17">
        <v>1723</v>
      </c>
      <c r="Q329" s="17">
        <f>+Tabla22[[#This Row],[WA 2026]]</f>
        <v>0</v>
      </c>
      <c r="R329" s="17">
        <v>188141</v>
      </c>
      <c r="S329" s="17">
        <f>+Tabla22[[#This Row],[Ent. en Tienda 2026]]</f>
        <v>0</v>
      </c>
      <c r="T329" s="17">
        <v>-35352</v>
      </c>
      <c r="U329" s="17">
        <f>+Tabla22[[#This Row],[Meli Drop 2026]]</f>
        <v>0</v>
      </c>
      <c r="V329" s="17">
        <v>235657</v>
      </c>
      <c r="W329" s="17">
        <f>+Tabla22[[#This Row],[Meli Full 2026]]</f>
        <v>0</v>
      </c>
      <c r="X329" s="17">
        <v>30424</v>
      </c>
      <c r="Y329" s="17">
        <f>+Tabla22[[#This Row],[Amazon Drop 2026]]</f>
        <v>0</v>
      </c>
      <c r="Z329" s="17">
        <v>50063</v>
      </c>
      <c r="AA329" s="17">
        <f>+Tabla22[[#This Row],[Amazon Full 2026]]</f>
        <v>0</v>
      </c>
      <c r="AB329" s="17">
        <v>635.68103448275895</v>
      </c>
      <c r="AC329" s="17">
        <f>+Tabla22[[#This Row],[TikTok 2026]]</f>
        <v>0</v>
      </c>
      <c r="AD329" s="17">
        <v>1722.41379310345</v>
      </c>
      <c r="AE329" s="17">
        <f>+Tabla22[[#This Row],[Shein 2026]]</f>
        <v>0</v>
      </c>
      <c r="AF329" s="17">
        <f t="shared" si="119"/>
        <v>0</v>
      </c>
      <c r="AG329" s="18">
        <f t="shared" si="120"/>
        <v>0</v>
      </c>
      <c r="AH329" s="17">
        <f t="shared" si="121"/>
        <v>-8261030.5790344095</v>
      </c>
      <c r="AI329" s="20">
        <f t="shared" si="122"/>
        <v>-1</v>
      </c>
      <c r="AJ329" s="20">
        <f t="shared" si="115"/>
        <v>5.3332503329828654E-2</v>
      </c>
      <c r="AK329" s="21" t="e">
        <f t="shared" si="123"/>
        <v>#DIV/0!</v>
      </c>
      <c r="AL329" s="21">
        <f t="shared" si="116"/>
        <v>-1</v>
      </c>
    </row>
    <row r="330" spans="1:38" ht="14.25" customHeight="1" x14ac:dyDescent="0.35">
      <c r="A330" s="16">
        <v>45985</v>
      </c>
      <c r="B330" s="17">
        <v>34296937</v>
      </c>
      <c r="C330" s="17">
        <f t="shared" si="117"/>
        <v>6135911.862068966</v>
      </c>
      <c r="D330" s="18">
        <f>+Tabla22[[#This Row],[Share diario]]</f>
        <v>2.0369495357618127E-2</v>
      </c>
      <c r="E330" s="17">
        <f>+Tabla22[[#This Row],[Global 2026]]</f>
        <v>0</v>
      </c>
      <c r="F330" s="19">
        <v>46349</v>
      </c>
      <c r="G330" s="17">
        <f t="shared" si="118"/>
        <v>4486178.6751943501</v>
      </c>
      <c r="H330" s="17">
        <v>4086669.89572642</v>
      </c>
      <c r="I330" s="17">
        <v>399508.77946793003</v>
      </c>
      <c r="J330" s="17">
        <v>4329304</v>
      </c>
      <c r="K330" s="17">
        <f>+Tabla22[[#This Row],[Web + APP 2026]]</f>
        <v>0</v>
      </c>
      <c r="L330" s="17">
        <v>41142.241379310297</v>
      </c>
      <c r="M330" s="17">
        <f>+Tabla22[[#This Row],[Afiliados 2026]]</f>
        <v>0</v>
      </c>
      <c r="N330" s="17">
        <v>88047</v>
      </c>
      <c r="O330" s="17">
        <f>+Tabla22[[#This Row],[TMK 2026]]</f>
        <v>0</v>
      </c>
      <c r="P330" s="17">
        <v>6720</v>
      </c>
      <c r="Q330" s="17">
        <f>+Tabla22[[#This Row],[WA 2026]]</f>
        <v>0</v>
      </c>
      <c r="R330" s="17">
        <v>71904</v>
      </c>
      <c r="S330" s="17">
        <f>+Tabla22[[#This Row],[Ent. en Tienda 2026]]</f>
        <v>0</v>
      </c>
      <c r="T330" s="17">
        <v>1270753</v>
      </c>
      <c r="U330" s="17">
        <f>+Tabla22[[#This Row],[Meli Drop 2026]]</f>
        <v>0</v>
      </c>
      <c r="V330" s="17">
        <v>227520</v>
      </c>
      <c r="W330" s="17">
        <f>+Tabla22[[#This Row],[Meli Full 2026]]</f>
        <v>0</v>
      </c>
      <c r="X330" s="17">
        <v>42479</v>
      </c>
      <c r="Y330" s="17">
        <f>+Tabla22[[#This Row],[Amazon Drop 2026]]</f>
        <v>0</v>
      </c>
      <c r="Z330" s="17">
        <v>30741</v>
      </c>
      <c r="AA330" s="17">
        <f>+Tabla22[[#This Row],[Amazon Full 2026]]</f>
        <v>0</v>
      </c>
      <c r="AB330" s="17">
        <v>26526.620689655199</v>
      </c>
      <c r="AC330" s="17">
        <f>+Tabla22[[#This Row],[TikTok 2026]]</f>
        <v>0</v>
      </c>
      <c r="AD330" s="17">
        <v>775</v>
      </c>
      <c r="AE330" s="17">
        <f>+Tabla22[[#This Row],[Shein 2026]]</f>
        <v>0</v>
      </c>
      <c r="AF330" s="17">
        <f t="shared" si="119"/>
        <v>0</v>
      </c>
      <c r="AG330" s="18">
        <f t="shared" si="120"/>
        <v>0</v>
      </c>
      <c r="AH330" s="17">
        <f t="shared" si="121"/>
        <v>-4486178.6751943501</v>
      </c>
      <c r="AI330" s="20">
        <f t="shared" si="122"/>
        <v>-1</v>
      </c>
      <c r="AJ330" s="20">
        <f t="shared" si="115"/>
        <v>0.17890553497733533</v>
      </c>
      <c r="AK330" s="21" t="e">
        <f t="shared" si="123"/>
        <v>#DIV/0!</v>
      </c>
      <c r="AL330" s="21">
        <f t="shared" si="116"/>
        <v>-1</v>
      </c>
    </row>
    <row r="331" spans="1:38" ht="14.25" customHeight="1" x14ac:dyDescent="0.35">
      <c r="A331" s="19">
        <v>45986</v>
      </c>
      <c r="B331" s="17">
        <v>41221018</v>
      </c>
      <c r="C331" s="17">
        <f t="shared" si="117"/>
        <v>5937682.7672413802</v>
      </c>
      <c r="D331" s="18">
        <f>+Tabla22[[#This Row],[Share diario]]</f>
        <v>3.6424370970147842E-2</v>
      </c>
      <c r="E331" s="17">
        <f>+Tabla22[[#This Row],[Global 2026]]</f>
        <v>0</v>
      </c>
      <c r="F331" s="19">
        <v>46350</v>
      </c>
      <c r="G331" s="17">
        <f t="shared" si="118"/>
        <v>8145394.5805129893</v>
      </c>
      <c r="H331" s="17">
        <v>5889585.7384903599</v>
      </c>
      <c r="I331" s="17">
        <v>2255808.8420226299</v>
      </c>
      <c r="J331" s="17">
        <v>4166212</v>
      </c>
      <c r="K331" s="17">
        <f>+Tabla22[[#This Row],[Web + APP 2026]]</f>
        <v>0</v>
      </c>
      <c r="L331" s="17">
        <v>42426.724137931</v>
      </c>
      <c r="M331" s="17">
        <f>+Tabla22[[#This Row],[Afiliados 2026]]</f>
        <v>0</v>
      </c>
      <c r="N331" s="17">
        <v>58241</v>
      </c>
      <c r="O331" s="17">
        <f>+Tabla22[[#This Row],[TMK 2026]]</f>
        <v>0</v>
      </c>
      <c r="P331" s="17">
        <v>1526</v>
      </c>
      <c r="Q331" s="17">
        <f>+Tabla22[[#This Row],[WA 2026]]</f>
        <v>0</v>
      </c>
      <c r="R331" s="17">
        <v>150921</v>
      </c>
      <c r="S331" s="17">
        <f>+Tabla22[[#This Row],[Ent. en Tienda 2026]]</f>
        <v>0</v>
      </c>
      <c r="T331" s="17">
        <v>1227377</v>
      </c>
      <c r="U331" s="17">
        <f>+Tabla22[[#This Row],[Meli Drop 2026]]</f>
        <v>0</v>
      </c>
      <c r="V331" s="17">
        <v>207275</v>
      </c>
      <c r="W331" s="17">
        <f>+Tabla22[[#This Row],[Meli Full 2026]]</f>
        <v>0</v>
      </c>
      <c r="X331" s="17">
        <v>45350</v>
      </c>
      <c r="Y331" s="17">
        <f>+Tabla22[[#This Row],[Amazon Drop 2026]]</f>
        <v>0</v>
      </c>
      <c r="Z331" s="17">
        <v>31920</v>
      </c>
      <c r="AA331" s="17">
        <f>+Tabla22[[#This Row],[Amazon Full 2026]]</f>
        <v>0</v>
      </c>
      <c r="AB331" s="17">
        <v>5486.6293103448297</v>
      </c>
      <c r="AC331" s="17">
        <f>+Tabla22[[#This Row],[TikTok 2026]]</f>
        <v>0</v>
      </c>
      <c r="AD331" s="17">
        <v>947.41379310344803</v>
      </c>
      <c r="AE331" s="17">
        <f>+Tabla22[[#This Row],[Shein 2026]]</f>
        <v>0</v>
      </c>
      <c r="AF331" s="17">
        <f t="shared" si="119"/>
        <v>0</v>
      </c>
      <c r="AG331" s="18">
        <f t="shared" si="120"/>
        <v>0</v>
      </c>
      <c r="AH331" s="17">
        <f t="shared" si="121"/>
        <v>-8145394.5805129893</v>
      </c>
      <c r="AI331" s="20">
        <f t="shared" si="122"/>
        <v>-1</v>
      </c>
      <c r="AJ331" s="20">
        <f t="shared" si="115"/>
        <v>0.14404502982535219</v>
      </c>
      <c r="AK331" s="21" t="e">
        <f t="shared" si="123"/>
        <v>#DIV/0!</v>
      </c>
      <c r="AL331" s="21">
        <f t="shared" si="116"/>
        <v>-1</v>
      </c>
    </row>
    <row r="332" spans="1:38" ht="14.25" customHeight="1" x14ac:dyDescent="0.35">
      <c r="A332" s="16">
        <v>45987</v>
      </c>
      <c r="B332" s="17">
        <v>45570391</v>
      </c>
      <c r="C332" s="17">
        <f t="shared" si="117"/>
        <v>6070530.0344827594</v>
      </c>
      <c r="D332" s="18">
        <f>+Tabla22[[#This Row],[Share diario]]</f>
        <v>3.5247631432588383E-2</v>
      </c>
      <c r="E332" s="17">
        <f>+Tabla22[[#This Row],[Global 2026]]</f>
        <v>0</v>
      </c>
      <c r="F332" s="19">
        <v>46351</v>
      </c>
      <c r="G332" s="17">
        <f t="shared" si="118"/>
        <v>7878997.6218831399</v>
      </c>
      <c r="H332" s="17">
        <v>5736683.0662500998</v>
      </c>
      <c r="I332" s="17">
        <v>2142314.5556330401</v>
      </c>
      <c r="J332" s="17">
        <v>4117696</v>
      </c>
      <c r="K332" s="17">
        <f>+Tabla22[[#This Row],[Web + APP 2026]]</f>
        <v>0</v>
      </c>
      <c r="L332" s="17">
        <v>37900.8620689655</v>
      </c>
      <c r="M332" s="17">
        <f>+Tabla22[[#This Row],[Afiliados 2026]]</f>
        <v>0</v>
      </c>
      <c r="N332" s="17">
        <v>90470</v>
      </c>
      <c r="O332" s="17">
        <f>+Tabla22[[#This Row],[TMK 2026]]</f>
        <v>0</v>
      </c>
      <c r="P332" s="17">
        <v>6491</v>
      </c>
      <c r="Q332" s="17">
        <f>+Tabla22[[#This Row],[WA 2026]]</f>
        <v>0</v>
      </c>
      <c r="R332" s="17">
        <v>216552</v>
      </c>
      <c r="S332" s="17">
        <f>+Tabla22[[#This Row],[Ent. en Tienda 2026]]</f>
        <v>0</v>
      </c>
      <c r="T332" s="17">
        <v>1254318</v>
      </c>
      <c r="U332" s="17">
        <f>+Tabla22[[#This Row],[Meli Drop 2026]]</f>
        <v>0</v>
      </c>
      <c r="V332" s="17">
        <v>277281</v>
      </c>
      <c r="W332" s="17">
        <f>+Tabla22[[#This Row],[Meli Full 2026]]</f>
        <v>0</v>
      </c>
      <c r="X332" s="17">
        <v>43933</v>
      </c>
      <c r="Y332" s="17">
        <f>+Tabla22[[#This Row],[Amazon Drop 2026]]</f>
        <v>0</v>
      </c>
      <c r="Z332" s="17">
        <v>18743</v>
      </c>
      <c r="AA332" s="17">
        <f>+Tabla22[[#This Row],[Amazon Full 2026]]</f>
        <v>0</v>
      </c>
      <c r="AB332" s="17">
        <v>6197.7586206896603</v>
      </c>
      <c r="AC332" s="17">
        <f>+Tabla22[[#This Row],[TikTok 2026]]</f>
        <v>0</v>
      </c>
      <c r="AD332" s="17">
        <v>947.41379310344803</v>
      </c>
      <c r="AE332" s="17">
        <f>+Tabla22[[#This Row],[Shein 2026]]</f>
        <v>0</v>
      </c>
      <c r="AF332" s="17">
        <f t="shared" si="119"/>
        <v>0</v>
      </c>
      <c r="AG332" s="18">
        <f t="shared" si="120"/>
        <v>0</v>
      </c>
      <c r="AH332" s="17">
        <f t="shared" si="121"/>
        <v>-7878997.6218831399</v>
      </c>
      <c r="AI332" s="20">
        <f t="shared" si="122"/>
        <v>-1</v>
      </c>
      <c r="AJ332" s="20">
        <f t="shared" si="115"/>
        <v>0.13321215599143663</v>
      </c>
      <c r="AK332" s="21" t="e">
        <f t="shared" si="123"/>
        <v>#DIV/0!</v>
      </c>
      <c r="AL332" s="21">
        <f t="shared" si="116"/>
        <v>-1</v>
      </c>
    </row>
    <row r="333" spans="1:38" ht="14.25" customHeight="1" x14ac:dyDescent="0.35">
      <c r="A333" s="19">
        <v>45988</v>
      </c>
      <c r="B333" s="17">
        <v>50030169</v>
      </c>
      <c r="C333" s="17">
        <f t="shared" si="117"/>
        <v>5132523.2672413792</v>
      </c>
      <c r="D333" s="18">
        <f>+Tabla22[[#This Row],[Share diario]]</f>
        <v>3.6036247412274042E-2</v>
      </c>
      <c r="E333" s="17">
        <f>+Tabla22[[#This Row],[Global 2026]]</f>
        <v>0</v>
      </c>
      <c r="F333" s="19">
        <v>46352</v>
      </c>
      <c r="G333" s="17">
        <f t="shared" si="118"/>
        <v>8060819.3982962798</v>
      </c>
      <c r="H333" s="17">
        <v>5801306.0511934701</v>
      </c>
      <c r="I333" s="17">
        <v>2259513.3471028102</v>
      </c>
      <c r="J333" s="17">
        <v>3604392</v>
      </c>
      <c r="K333" s="17">
        <f>+Tabla22[[#This Row],[Web + APP 2026]]</f>
        <v>0</v>
      </c>
      <c r="L333" s="17">
        <v>43066.379310344797</v>
      </c>
      <c r="M333" s="17">
        <f>+Tabla22[[#This Row],[Afiliados 2026]]</f>
        <v>0</v>
      </c>
      <c r="N333" s="17">
        <v>49493</v>
      </c>
      <c r="O333" s="17">
        <f>+Tabla22[[#This Row],[TMK 2026]]</f>
        <v>0</v>
      </c>
      <c r="P333" s="17">
        <v>2376</v>
      </c>
      <c r="Q333" s="17">
        <f>+Tabla22[[#This Row],[WA 2026]]</f>
        <v>0</v>
      </c>
      <c r="R333" s="17">
        <v>89383</v>
      </c>
      <c r="S333" s="17">
        <f>+Tabla22[[#This Row],[Ent. en Tienda 2026]]</f>
        <v>0</v>
      </c>
      <c r="T333" s="17">
        <v>885777</v>
      </c>
      <c r="U333" s="17">
        <f>+Tabla22[[#This Row],[Meli Drop 2026]]</f>
        <v>0</v>
      </c>
      <c r="V333" s="17">
        <v>367182</v>
      </c>
      <c r="W333" s="17">
        <f>+Tabla22[[#This Row],[Meli Full 2026]]</f>
        <v>0</v>
      </c>
      <c r="X333" s="17">
        <v>52085</v>
      </c>
      <c r="Y333" s="17">
        <f>+Tabla22[[#This Row],[Amazon Drop 2026]]</f>
        <v>0</v>
      </c>
      <c r="Z333" s="17">
        <v>32521</v>
      </c>
      <c r="AA333" s="17">
        <f>+Tabla22[[#This Row],[Amazon Full 2026]]</f>
        <v>0</v>
      </c>
      <c r="AB333" s="17">
        <v>7195.3017241379303</v>
      </c>
      <c r="AC333" s="17">
        <f>+Tabla22[[#This Row],[TikTok 2026]]</f>
        <v>0</v>
      </c>
      <c r="AD333" s="17">
        <v>-947.41379310344803</v>
      </c>
      <c r="AE333" s="17">
        <f>+Tabla22[[#This Row],[Shein 2026]]</f>
        <v>0</v>
      </c>
      <c r="AF333" s="17">
        <f t="shared" si="119"/>
        <v>0</v>
      </c>
      <c r="AG333" s="18">
        <f t="shared" si="120"/>
        <v>0</v>
      </c>
      <c r="AH333" s="17">
        <f t="shared" si="121"/>
        <v>-8060819.3982962798</v>
      </c>
      <c r="AI333" s="20">
        <f t="shared" si="122"/>
        <v>-1</v>
      </c>
      <c r="AJ333" s="20">
        <f t="shared" si="115"/>
        <v>0.10258856545620262</v>
      </c>
      <c r="AK333" s="21" t="e">
        <f t="shared" si="123"/>
        <v>#DIV/0!</v>
      </c>
      <c r="AL333" s="21">
        <f t="shared" si="116"/>
        <v>-1</v>
      </c>
    </row>
    <row r="334" spans="1:38" ht="14.25" customHeight="1" x14ac:dyDescent="0.35">
      <c r="A334" s="16">
        <v>45989</v>
      </c>
      <c r="B334" s="17">
        <v>61473070</v>
      </c>
      <c r="C334" s="17">
        <f t="shared" si="117"/>
        <v>6969101.0862068962</v>
      </c>
      <c r="D334" s="18">
        <f>+Tabla22[[#This Row],[Share diario]]</f>
        <v>3.0467994929098931E-2</v>
      </c>
      <c r="E334" s="17">
        <f>+Tabla22[[#This Row],[Global 2026]]</f>
        <v>0</v>
      </c>
      <c r="F334" s="19">
        <v>46353</v>
      </c>
      <c r="G334" s="17">
        <f t="shared" si="118"/>
        <v>6814130.4330856297</v>
      </c>
      <c r="H334" s="17">
        <v>4918086.4037961299</v>
      </c>
      <c r="I334" s="17">
        <v>1896044.0292895001</v>
      </c>
      <c r="J334" s="17">
        <v>4096929</v>
      </c>
      <c r="K334" s="17">
        <f>+Tabla22[[#This Row],[Web + APP 2026]]</f>
        <v>0</v>
      </c>
      <c r="L334" s="17">
        <v>54208.620689655203</v>
      </c>
      <c r="M334" s="17">
        <f>+Tabla22[[#This Row],[Afiliados 2026]]</f>
        <v>0</v>
      </c>
      <c r="N334" s="17">
        <v>68087</v>
      </c>
      <c r="O334" s="17">
        <f>+Tabla22[[#This Row],[TMK 2026]]</f>
        <v>0</v>
      </c>
      <c r="P334" s="17">
        <v>4812</v>
      </c>
      <c r="Q334" s="17">
        <f>+Tabla22[[#This Row],[WA 2026]]</f>
        <v>0</v>
      </c>
      <c r="R334" s="17">
        <v>144358</v>
      </c>
      <c r="S334" s="17">
        <f>+Tabla22[[#This Row],[Ent. en Tienda 2026]]</f>
        <v>0</v>
      </c>
      <c r="T334" s="17">
        <v>1726586</v>
      </c>
      <c r="U334" s="17">
        <f>+Tabla22[[#This Row],[Meli Drop 2026]]</f>
        <v>0</v>
      </c>
      <c r="V334" s="17">
        <v>740810</v>
      </c>
      <c r="W334" s="17">
        <f>+Tabla22[[#This Row],[Meli Full 2026]]</f>
        <v>0</v>
      </c>
      <c r="X334" s="17">
        <v>72416</v>
      </c>
      <c r="Y334" s="17">
        <f>+Tabla22[[#This Row],[Amazon Drop 2026]]</f>
        <v>0</v>
      </c>
      <c r="Z334" s="17">
        <v>40806</v>
      </c>
      <c r="AA334" s="17">
        <f>+Tabla22[[#This Row],[Amazon Full 2026]]</f>
        <v>0</v>
      </c>
      <c r="AB334" s="17">
        <v>18624.672413793101</v>
      </c>
      <c r="AC334" s="17">
        <f>+Tabla22[[#This Row],[TikTok 2026]]</f>
        <v>0</v>
      </c>
      <c r="AD334" s="17">
        <v>1463.7931034482799</v>
      </c>
      <c r="AE334" s="17">
        <f>+Tabla22[[#This Row],[Shein 2026]]</f>
        <v>0</v>
      </c>
      <c r="AF334" s="17">
        <f t="shared" si="119"/>
        <v>0</v>
      </c>
      <c r="AG334" s="18">
        <f t="shared" si="120"/>
        <v>0</v>
      </c>
      <c r="AH334" s="17">
        <f t="shared" si="121"/>
        <v>-6814130.4330856297</v>
      </c>
      <c r="AI334" s="20">
        <f t="shared" si="122"/>
        <v>-1</v>
      </c>
      <c r="AJ334" s="20">
        <f t="shared" si="115"/>
        <v>0.11336835928654444</v>
      </c>
      <c r="AK334" s="21" t="e">
        <f t="shared" si="123"/>
        <v>#DIV/0!</v>
      </c>
      <c r="AL334" s="21">
        <f t="shared" si="116"/>
        <v>-1</v>
      </c>
    </row>
    <row r="335" spans="1:38" ht="14.25" customHeight="1" x14ac:dyDescent="0.35">
      <c r="A335" s="19">
        <v>45990</v>
      </c>
      <c r="B335" s="17">
        <v>71412130</v>
      </c>
      <c r="C335" s="17">
        <f t="shared" si="117"/>
        <v>4932270.6379310349</v>
      </c>
      <c r="D335" s="18">
        <f>+Tabla22[[#This Row],[Share diario]]</f>
        <v>4.1370399216729671E-2</v>
      </c>
      <c r="E335" s="17">
        <f>+Tabla22[[#This Row],[Global 2026]]</f>
        <v>0</v>
      </c>
      <c r="F335" s="19">
        <v>46354</v>
      </c>
      <c r="G335" s="17">
        <f t="shared" si="118"/>
        <v>9340018.4454301596</v>
      </c>
      <c r="H335" s="17">
        <v>5670568.62085634</v>
      </c>
      <c r="I335" s="17">
        <v>3669449.82457382</v>
      </c>
      <c r="J335" s="17">
        <v>2657112</v>
      </c>
      <c r="K335" s="17">
        <f>+Tabla22[[#This Row],[Web + APP 2026]]</f>
        <v>0</v>
      </c>
      <c r="L335" s="17">
        <v>46651.724137931</v>
      </c>
      <c r="M335" s="17">
        <f>+Tabla22[[#This Row],[Afiliados 2026]]</f>
        <v>0</v>
      </c>
      <c r="N335" s="17">
        <v>33620</v>
      </c>
      <c r="O335" s="17">
        <f>+Tabla22[[#This Row],[TMK 2026]]</f>
        <v>0</v>
      </c>
      <c r="P335" s="17">
        <v>-301</v>
      </c>
      <c r="Q335" s="17">
        <f>+Tabla22[[#This Row],[WA 2026]]</f>
        <v>0</v>
      </c>
      <c r="R335" s="17">
        <v>121072</v>
      </c>
      <c r="S335" s="17">
        <f>+Tabla22[[#This Row],[Ent. en Tienda 2026]]</f>
        <v>0</v>
      </c>
      <c r="T335" s="17">
        <v>1566964</v>
      </c>
      <c r="U335" s="17">
        <f>+Tabla22[[#This Row],[Meli Drop 2026]]</f>
        <v>0</v>
      </c>
      <c r="V335" s="17">
        <v>376748</v>
      </c>
      <c r="W335" s="17">
        <f>+Tabla22[[#This Row],[Meli Full 2026]]</f>
        <v>0</v>
      </c>
      <c r="X335" s="17">
        <v>87941</v>
      </c>
      <c r="Y335" s="17">
        <f>+Tabla22[[#This Row],[Amazon Drop 2026]]</f>
        <v>0</v>
      </c>
      <c r="Z335" s="17">
        <v>21084</v>
      </c>
      <c r="AA335" s="17">
        <f>+Tabla22[[#This Row],[Amazon Full 2026]]</f>
        <v>0</v>
      </c>
      <c r="AB335" s="17">
        <v>21378.9137931035</v>
      </c>
      <c r="AC335" s="17">
        <f>+Tabla22[[#This Row],[TikTok 2026]]</f>
        <v>0</v>
      </c>
      <c r="AD335" s="17">
        <v>0</v>
      </c>
      <c r="AE335" s="17">
        <f>+Tabla22[[#This Row],[Shein 2026]]</f>
        <v>0</v>
      </c>
      <c r="AF335" s="17">
        <f t="shared" si="119"/>
        <v>0</v>
      </c>
      <c r="AG335" s="18">
        <f t="shared" si="120"/>
        <v>0</v>
      </c>
      <c r="AH335" s="17">
        <f t="shared" si="121"/>
        <v>-9340018.4454301596</v>
      </c>
      <c r="AI335" s="20">
        <f t="shared" si="122"/>
        <v>-1</v>
      </c>
      <c r="AJ335" s="20">
        <f t="shared" si="115"/>
        <v>6.9067686931212319E-2</v>
      </c>
      <c r="AK335" s="21" t="e">
        <f t="shared" si="123"/>
        <v>#DIV/0!</v>
      </c>
      <c r="AL335" s="21">
        <f t="shared" si="116"/>
        <v>-1</v>
      </c>
    </row>
    <row r="336" spans="1:38" ht="14.25" customHeight="1" x14ac:dyDescent="0.35">
      <c r="A336" s="16">
        <v>45991</v>
      </c>
      <c r="B336" s="17">
        <v>76776183</v>
      </c>
      <c r="C336" s="17">
        <f t="shared" si="117"/>
        <v>5424755.6551724132</v>
      </c>
      <c r="D336" s="18">
        <f>+Tabla22[[#This Row],[Share diario]]</f>
        <v>2.9279243163800921E-2</v>
      </c>
      <c r="E336" s="17">
        <f>+Tabla22[[#This Row],[Global 2026]]</f>
        <v>0</v>
      </c>
      <c r="F336" s="19">
        <v>46355</v>
      </c>
      <c r="G336" s="17">
        <f t="shared" si="118"/>
        <v>6636601.8939045798</v>
      </c>
      <c r="H336" s="17">
        <v>3710141.5736314901</v>
      </c>
      <c r="I336" s="17">
        <v>2926460.3202730902</v>
      </c>
      <c r="J336" s="17">
        <v>3541686</v>
      </c>
      <c r="K336" s="17">
        <f>+Tabla22[[#This Row],[Web + APP 2026]]</f>
        <v>0</v>
      </c>
      <c r="L336" s="17">
        <v>50855.172413793101</v>
      </c>
      <c r="M336" s="17">
        <f>+Tabla22[[#This Row],[Afiliados 2026]]</f>
        <v>0</v>
      </c>
      <c r="N336" s="17">
        <v>-6179</v>
      </c>
      <c r="O336" s="17">
        <f>+Tabla22[[#This Row],[TMK 2026]]</f>
        <v>0</v>
      </c>
      <c r="P336" s="17">
        <v>2597</v>
      </c>
      <c r="Q336" s="17">
        <f>+Tabla22[[#This Row],[WA 2026]]</f>
        <v>0</v>
      </c>
      <c r="R336" s="17">
        <v>192231</v>
      </c>
      <c r="S336" s="17">
        <f>+Tabla22[[#This Row],[Ent. en Tienda 2026]]</f>
        <v>0</v>
      </c>
      <c r="T336" s="17">
        <v>1294466</v>
      </c>
      <c r="U336" s="17">
        <f>+Tabla22[[#This Row],[Meli Drop 2026]]</f>
        <v>0</v>
      </c>
      <c r="V336" s="17">
        <v>250269</v>
      </c>
      <c r="W336" s="17">
        <f>+Tabla22[[#This Row],[Meli Full 2026]]</f>
        <v>0</v>
      </c>
      <c r="X336" s="17">
        <v>68872</v>
      </c>
      <c r="Y336" s="17">
        <f>+Tabla22[[#This Row],[Amazon Drop 2026]]</f>
        <v>0</v>
      </c>
      <c r="Z336" s="17">
        <v>26453</v>
      </c>
      <c r="AA336" s="17">
        <f>+Tabla22[[#This Row],[Amazon Full 2026]]</f>
        <v>0</v>
      </c>
      <c r="AB336" s="17">
        <v>2816.6896551724099</v>
      </c>
      <c r="AC336" s="17">
        <f>+Tabla22[[#This Row],[TikTok 2026]]</f>
        <v>0</v>
      </c>
      <c r="AD336" s="17">
        <v>688.79310344827604</v>
      </c>
      <c r="AE336" s="17">
        <f>+Tabla22[[#This Row],[Shein 2026]]</f>
        <v>0</v>
      </c>
      <c r="AF336" s="17">
        <f t="shared" si="119"/>
        <v>0</v>
      </c>
      <c r="AG336" s="18">
        <f t="shared" si="120"/>
        <v>0</v>
      </c>
      <c r="AH336" s="17">
        <f t="shared" si="121"/>
        <v>-6636601.8939045798</v>
      </c>
      <c r="AI336" s="20">
        <f t="shared" si="122"/>
        <v>-1</v>
      </c>
      <c r="AJ336" s="20">
        <f t="shared" si="115"/>
        <v>7.0656751132996715E-2</v>
      </c>
      <c r="AK336" s="21" t="e">
        <f t="shared" si="123"/>
        <v>#DIV/0!</v>
      </c>
      <c r="AL336" s="21">
        <f t="shared" si="116"/>
        <v>-1</v>
      </c>
    </row>
    <row r="337" spans="1:38" ht="14.25" customHeight="1" x14ac:dyDescent="0.35">
      <c r="A337" s="19">
        <v>45992</v>
      </c>
      <c r="B337" s="17">
        <v>44076818</v>
      </c>
      <c r="C337" s="17">
        <f t="shared" si="117"/>
        <v>6986951.4482758623</v>
      </c>
      <c r="D337" s="18">
        <f>+Tabla22[[#This Row],[Share diario]]</f>
        <v>3.2202762498576856E-2</v>
      </c>
      <c r="E337" s="17">
        <f>+Tabla22[[#This Row],[Global 2026]]</f>
        <v>0</v>
      </c>
      <c r="F337" s="19">
        <v>46356</v>
      </c>
      <c r="G337" s="17">
        <f t="shared" si="118"/>
        <v>7227302.4975645505</v>
      </c>
      <c r="H337" s="17">
        <v>4908324.4997209003</v>
      </c>
      <c r="I337" s="17">
        <v>2318977.9978436502</v>
      </c>
      <c r="J337" s="17">
        <v>4957610</v>
      </c>
      <c r="K337" s="17">
        <f>+Tabla22[[#This Row],[Web + APP 2026]]</f>
        <v>0</v>
      </c>
      <c r="L337" s="17">
        <v>38026.724137931</v>
      </c>
      <c r="M337" s="17">
        <f>+Tabla22[[#This Row],[Afiliados 2026]]</f>
        <v>0</v>
      </c>
      <c r="N337" s="17">
        <v>2176</v>
      </c>
      <c r="O337" s="17">
        <f>+Tabla22[[#This Row],[TMK 2026]]</f>
        <v>0</v>
      </c>
      <c r="P337" s="17">
        <v>2708</v>
      </c>
      <c r="Q337" s="17">
        <f>+Tabla22[[#This Row],[WA 2026]]</f>
        <v>0</v>
      </c>
      <c r="R337" s="17">
        <v>131176</v>
      </c>
      <c r="S337" s="17">
        <f>+Tabla22[[#This Row],[Ent. en Tienda 2026]]</f>
        <v>0</v>
      </c>
      <c r="T337" s="17">
        <v>1425540</v>
      </c>
      <c r="U337" s="17">
        <f>+Tabla22[[#This Row],[Meli Drop 2026]]</f>
        <v>0</v>
      </c>
      <c r="V337" s="17">
        <v>251615</v>
      </c>
      <c r="W337" s="17">
        <f>+Tabla22[[#This Row],[Meli Full 2026]]</f>
        <v>0</v>
      </c>
      <c r="X337" s="17">
        <v>71926</v>
      </c>
      <c r="Y337" s="17">
        <f>+Tabla22[[#This Row],[Amazon Drop 2026]]</f>
        <v>0</v>
      </c>
      <c r="Z337" s="17">
        <v>87429</v>
      </c>
      <c r="AA337" s="17">
        <f>+Tabla22[[#This Row],[Amazon Full 2026]]</f>
        <v>0</v>
      </c>
      <c r="AB337" s="17">
        <v>17280.931034482801</v>
      </c>
      <c r="AC337" s="17">
        <f>+Tabla22[[#This Row],[TikTok 2026]]</f>
        <v>0</v>
      </c>
      <c r="AD337" s="17">
        <v>1463.7931034482799</v>
      </c>
      <c r="AE337" s="17">
        <f>+Tabla22[[#This Row],[Shein 2026]]</f>
        <v>0</v>
      </c>
      <c r="AF337" s="17">
        <f t="shared" si="119"/>
        <v>0</v>
      </c>
      <c r="AG337" s="18">
        <f t="shared" si="120"/>
        <v>0</v>
      </c>
      <c r="AH337" s="17">
        <f t="shared" si="121"/>
        <v>-7227302.4975645505</v>
      </c>
      <c r="AI337" s="20">
        <f t="shared" si="122"/>
        <v>-1</v>
      </c>
      <c r="AJ337" s="20">
        <f t="shared" si="115"/>
        <v>0.15851760098190079</v>
      </c>
      <c r="AK337" s="21" t="e">
        <f t="shared" si="123"/>
        <v>#DIV/0!</v>
      </c>
      <c r="AL337" s="21">
        <f t="shared" si="116"/>
        <v>-1</v>
      </c>
    </row>
    <row r="338" spans="1:38" ht="14.25" customHeight="1" x14ac:dyDescent="0.35">
      <c r="A338" s="16">
        <v>45993</v>
      </c>
      <c r="B338" s="17">
        <v>48777721</v>
      </c>
      <c r="C338" s="17">
        <f t="shared" si="117"/>
        <v>7691066.6724137934</v>
      </c>
      <c r="D338" s="18">
        <f>+Tabla22[[#This Row],[Share diario]]</f>
        <v>3.718505903657026E-2</v>
      </c>
      <c r="E338" s="17">
        <f>+Tabla22[[#This Row],[Global 2026]]</f>
        <v>0</v>
      </c>
      <c r="F338" s="19">
        <v>46357</v>
      </c>
      <c r="G338" s="17">
        <f t="shared" si="118"/>
        <v>9106665.4773930795</v>
      </c>
      <c r="H338" s="17">
        <v>6659548.1180451997</v>
      </c>
      <c r="I338" s="17">
        <v>2447117.3593478799</v>
      </c>
      <c r="J338" s="17">
        <v>5378786</v>
      </c>
      <c r="K338" s="17">
        <f>+Tabla22[[#This Row],[Web + APP 2026]]</f>
        <v>0</v>
      </c>
      <c r="L338" s="17">
        <v>44301.724137931</v>
      </c>
      <c r="M338" s="17">
        <f>+Tabla22[[#This Row],[Afiliados 2026]]</f>
        <v>0</v>
      </c>
      <c r="N338" s="17">
        <v>199752</v>
      </c>
      <c r="O338" s="17">
        <f>+Tabla22[[#This Row],[TMK 2026]]</f>
        <v>0</v>
      </c>
      <c r="P338" s="17">
        <v>8853</v>
      </c>
      <c r="Q338" s="17">
        <f>+Tabla22[[#This Row],[WA 2026]]</f>
        <v>0</v>
      </c>
      <c r="R338" s="17">
        <v>141161</v>
      </c>
      <c r="S338" s="17">
        <f>+Tabla22[[#This Row],[Ent. en Tienda 2026]]</f>
        <v>0</v>
      </c>
      <c r="T338" s="17">
        <v>1473812</v>
      </c>
      <c r="U338" s="17">
        <f>+Tabla22[[#This Row],[Meli Drop 2026]]</f>
        <v>0</v>
      </c>
      <c r="V338" s="17">
        <v>201559</v>
      </c>
      <c r="W338" s="17">
        <f>+Tabla22[[#This Row],[Meli Full 2026]]</f>
        <v>0</v>
      </c>
      <c r="X338" s="17">
        <v>90442</v>
      </c>
      <c r="Y338" s="17">
        <f>+Tabla22[[#This Row],[Amazon Drop 2026]]</f>
        <v>0</v>
      </c>
      <c r="Z338" s="17">
        <v>143542</v>
      </c>
      <c r="AA338" s="17">
        <f>+Tabla22[[#This Row],[Amazon Full 2026]]</f>
        <v>0</v>
      </c>
      <c r="AB338" s="17">
        <v>7307.9482758620697</v>
      </c>
      <c r="AC338" s="17">
        <f>+Tabla22[[#This Row],[TikTok 2026]]</f>
        <v>0</v>
      </c>
      <c r="AD338" s="17">
        <v>1550</v>
      </c>
      <c r="AE338" s="17">
        <f>+Tabla22[[#This Row],[Shein 2026]]</f>
        <v>0</v>
      </c>
      <c r="AF338" s="17">
        <f t="shared" si="119"/>
        <v>0</v>
      </c>
      <c r="AG338" s="18">
        <f t="shared" si="120"/>
        <v>0</v>
      </c>
      <c r="AH338" s="17">
        <f t="shared" si="121"/>
        <v>-9106665.4773930795</v>
      </c>
      <c r="AI338" s="20">
        <f t="shared" si="122"/>
        <v>-1</v>
      </c>
      <c r="AJ338" s="20">
        <f t="shared" si="115"/>
        <v>0.15767581007759246</v>
      </c>
      <c r="AK338" s="21" t="e">
        <f t="shared" si="123"/>
        <v>#DIV/0!</v>
      </c>
      <c r="AL338" s="21">
        <f t="shared" si="116"/>
        <v>-1</v>
      </c>
    </row>
    <row r="339" spans="1:38" ht="14.25" customHeight="1" x14ac:dyDescent="0.35">
      <c r="A339" s="19">
        <v>45994</v>
      </c>
      <c r="B339" s="17">
        <v>53214752</v>
      </c>
      <c r="C339" s="17">
        <f t="shared" si="117"/>
        <v>6583308.387931034</v>
      </c>
      <c r="D339" s="18">
        <f>+Tabla22[[#This Row],[Share diario]]</f>
        <v>4.0932410992848389E-2</v>
      </c>
      <c r="E339" s="17">
        <f>+Tabla22[[#This Row],[Global 2026]]</f>
        <v>0</v>
      </c>
      <c r="F339" s="19">
        <v>46358</v>
      </c>
      <c r="G339" s="17">
        <f t="shared" si="118"/>
        <v>10021756.19968288</v>
      </c>
      <c r="H339" s="17">
        <v>7491595.7081994703</v>
      </c>
      <c r="I339" s="17">
        <v>2530160.4914834099</v>
      </c>
      <c r="J339" s="17">
        <v>4538987</v>
      </c>
      <c r="K339" s="17">
        <f>+Tabla22[[#This Row],[Web + APP 2026]]</f>
        <v>0</v>
      </c>
      <c r="L339" s="17">
        <v>41768.103448275899</v>
      </c>
      <c r="M339" s="17">
        <f>+Tabla22[[#This Row],[Afiliados 2026]]</f>
        <v>0</v>
      </c>
      <c r="N339" s="17">
        <v>-1295</v>
      </c>
      <c r="O339" s="17">
        <f>+Tabla22[[#This Row],[TMK 2026]]</f>
        <v>0</v>
      </c>
      <c r="P339" s="17">
        <v>7445</v>
      </c>
      <c r="Q339" s="17">
        <f>+Tabla22[[#This Row],[WA 2026]]</f>
        <v>0</v>
      </c>
      <c r="R339" s="17">
        <v>198198</v>
      </c>
      <c r="S339" s="17">
        <f>+Tabla22[[#This Row],[Ent. en Tienda 2026]]</f>
        <v>0</v>
      </c>
      <c r="T339" s="17">
        <v>1463021</v>
      </c>
      <c r="U339" s="17">
        <f>+Tabla22[[#This Row],[Meli Drop 2026]]</f>
        <v>0</v>
      </c>
      <c r="V339" s="17">
        <v>179885</v>
      </c>
      <c r="W339" s="17">
        <f>+Tabla22[[#This Row],[Meli Full 2026]]</f>
        <v>0</v>
      </c>
      <c r="X339" s="17">
        <v>54687</v>
      </c>
      <c r="Y339" s="17">
        <f>+Tabla22[[#This Row],[Amazon Drop 2026]]</f>
        <v>0</v>
      </c>
      <c r="Z339" s="17">
        <v>79303</v>
      </c>
      <c r="AA339" s="17">
        <f>+Tabla22[[#This Row],[Amazon Full 2026]]</f>
        <v>0</v>
      </c>
      <c r="AB339" s="17">
        <v>19759.284482758601</v>
      </c>
      <c r="AC339" s="17">
        <f>+Tabla22[[#This Row],[TikTok 2026]]</f>
        <v>0</v>
      </c>
      <c r="AD339" s="17">
        <v>1550</v>
      </c>
      <c r="AE339" s="17">
        <f>+Tabla22[[#This Row],[Shein 2026]]</f>
        <v>0</v>
      </c>
      <c r="AF339" s="17">
        <f t="shared" si="119"/>
        <v>0</v>
      </c>
      <c r="AG339" s="18">
        <f t="shared" si="120"/>
        <v>0</v>
      </c>
      <c r="AH339" s="17">
        <f t="shared" si="121"/>
        <v>-10021756.19968288</v>
      </c>
      <c r="AI339" s="20">
        <f t="shared" si="122"/>
        <v>-1</v>
      </c>
      <c r="AJ339" s="20">
        <f t="shared" si="115"/>
        <v>0.12371209374293493</v>
      </c>
      <c r="AK339" s="21" t="e">
        <f t="shared" si="123"/>
        <v>#DIV/0!</v>
      </c>
      <c r="AL339" s="21">
        <f t="shared" si="116"/>
        <v>-1</v>
      </c>
    </row>
    <row r="340" spans="1:38" ht="14.25" customHeight="1" x14ac:dyDescent="0.35">
      <c r="A340" s="16">
        <v>45995</v>
      </c>
      <c r="B340" s="17">
        <v>60436653</v>
      </c>
      <c r="C340" s="17">
        <f t="shared" si="117"/>
        <v>6681693.3591954028</v>
      </c>
      <c r="D340" s="18">
        <f>+Tabla22[[#This Row],[Share diario]]</f>
        <v>3.5036841585835268E-2</v>
      </c>
      <c r="E340" s="17">
        <f>+Tabla22[[#This Row],[Global 2026]]</f>
        <v>0</v>
      </c>
      <c r="F340" s="19">
        <v>46359</v>
      </c>
      <c r="G340" s="17">
        <f t="shared" si="118"/>
        <v>8581631.7941627502</v>
      </c>
      <c r="H340" s="17">
        <v>6209763.7643569903</v>
      </c>
      <c r="I340" s="17">
        <v>2371868.0298057599</v>
      </c>
      <c r="J340" s="17">
        <v>3922857</v>
      </c>
      <c r="K340" s="17">
        <f>+Tabla22[[#This Row],[Web + APP 2026]]</f>
        <v>0</v>
      </c>
      <c r="L340" s="17">
        <v>43610.057471264401</v>
      </c>
      <c r="M340" s="17">
        <f>+Tabla22[[#This Row],[Afiliados 2026]]</f>
        <v>0</v>
      </c>
      <c r="N340" s="17">
        <v>173906</v>
      </c>
      <c r="O340" s="17">
        <f>+Tabla22[[#This Row],[TMK 2026]]</f>
        <v>0</v>
      </c>
      <c r="P340" s="17">
        <v>5606</v>
      </c>
      <c r="Q340" s="17">
        <f>+Tabla22[[#This Row],[WA 2026]]</f>
        <v>0</v>
      </c>
      <c r="R340" s="17">
        <v>210399</v>
      </c>
      <c r="S340" s="17">
        <f>+Tabla22[[#This Row],[Ent. en Tienda 2026]]</f>
        <v>0</v>
      </c>
      <c r="T340" s="17">
        <v>1926958</v>
      </c>
      <c r="U340" s="17">
        <f>+Tabla22[[#This Row],[Meli Drop 2026]]</f>
        <v>0</v>
      </c>
      <c r="V340" s="17">
        <v>174968</v>
      </c>
      <c r="W340" s="17">
        <f>+Tabla22[[#This Row],[Meli Full 2026]]</f>
        <v>0</v>
      </c>
      <c r="X340" s="17">
        <v>92776</v>
      </c>
      <c r="Y340" s="17">
        <f>+Tabla22[[#This Row],[Amazon Drop 2026]]</f>
        <v>0</v>
      </c>
      <c r="Z340" s="17">
        <v>116168</v>
      </c>
      <c r="AA340" s="17">
        <f>+Tabla22[[#This Row],[Amazon Full 2026]]</f>
        <v>0</v>
      </c>
      <c r="AB340" s="17">
        <v>13497.8879310345</v>
      </c>
      <c r="AC340" s="17">
        <f>+Tabla22[[#This Row],[TikTok 2026]]</f>
        <v>0</v>
      </c>
      <c r="AD340" s="17">
        <v>947.41379310344803</v>
      </c>
      <c r="AE340" s="17">
        <f>+Tabla22[[#This Row],[Shein 2026]]</f>
        <v>0</v>
      </c>
      <c r="AF340" s="17">
        <f t="shared" si="119"/>
        <v>0</v>
      </c>
      <c r="AG340" s="18">
        <f t="shared" si="120"/>
        <v>0</v>
      </c>
      <c r="AH340" s="17">
        <f t="shared" si="121"/>
        <v>-8581631.7941627502</v>
      </c>
      <c r="AI340" s="20">
        <f t="shared" si="122"/>
        <v>-1</v>
      </c>
      <c r="AJ340" s="20">
        <f t="shared" si="115"/>
        <v>0.110556972094325</v>
      </c>
      <c r="AK340" s="21" t="e">
        <f t="shared" si="123"/>
        <v>#DIV/0!</v>
      </c>
      <c r="AL340" s="21">
        <f t="shared" si="116"/>
        <v>-1</v>
      </c>
    </row>
    <row r="341" spans="1:38" ht="14.25" customHeight="1" x14ac:dyDescent="0.35">
      <c r="A341" s="19">
        <v>45996</v>
      </c>
      <c r="B341" s="17">
        <v>60693345</v>
      </c>
      <c r="C341" s="17">
        <f t="shared" si="117"/>
        <v>5547011.2139208177</v>
      </c>
      <c r="D341" s="18">
        <f>+Tabla22[[#This Row],[Share diario]]</f>
        <v>3.5560453491808884E-2</v>
      </c>
      <c r="E341" s="17">
        <f>+Tabla22[[#This Row],[Global 2026]]</f>
        <v>0</v>
      </c>
      <c r="F341" s="19">
        <v>46360</v>
      </c>
      <c r="G341" s="17">
        <f t="shared" si="118"/>
        <v>8720531.61314697</v>
      </c>
      <c r="H341" s="17">
        <v>5653395.1349199796</v>
      </c>
      <c r="I341" s="17">
        <v>3067136.47822699</v>
      </c>
      <c r="J341" s="17">
        <v>3411915</v>
      </c>
      <c r="K341" s="17">
        <f>+Tabla22[[#This Row],[Web + APP 2026]]</f>
        <v>0</v>
      </c>
      <c r="L341" s="17">
        <v>50703.575989782898</v>
      </c>
      <c r="M341" s="17">
        <f>+Tabla22[[#This Row],[Afiliados 2026]]</f>
        <v>0</v>
      </c>
      <c r="N341" s="17">
        <v>-24113</v>
      </c>
      <c r="O341" s="17">
        <f>+Tabla22[[#This Row],[TMK 2026]]</f>
        <v>0</v>
      </c>
      <c r="P341" s="17">
        <v>-438</v>
      </c>
      <c r="Q341" s="17">
        <f>+Tabla22[[#This Row],[WA 2026]]</f>
        <v>0</v>
      </c>
      <c r="R341" s="17">
        <v>159911</v>
      </c>
      <c r="S341" s="17">
        <f>+Tabla22[[#This Row],[Ent. en Tienda 2026]]</f>
        <v>0</v>
      </c>
      <c r="T341" s="17">
        <v>1631283</v>
      </c>
      <c r="U341" s="17">
        <f>+Tabla22[[#This Row],[Meli Drop 2026]]</f>
        <v>0</v>
      </c>
      <c r="V341" s="17">
        <v>157380</v>
      </c>
      <c r="W341" s="17">
        <f>+Tabla22[[#This Row],[Meli Full 2026]]</f>
        <v>0</v>
      </c>
      <c r="X341" s="17">
        <v>62080</v>
      </c>
      <c r="Y341" s="17">
        <f>+Tabla22[[#This Row],[Amazon Drop 2026]]</f>
        <v>0</v>
      </c>
      <c r="Z341" s="17">
        <v>82359</v>
      </c>
      <c r="AA341" s="17">
        <f>+Tabla22[[#This Row],[Amazon Full 2026]]</f>
        <v>0</v>
      </c>
      <c r="AB341" s="17">
        <v>14983.224137931</v>
      </c>
      <c r="AC341" s="17">
        <f>+Tabla22[[#This Row],[TikTok 2026]]</f>
        <v>0</v>
      </c>
      <c r="AD341" s="17">
        <v>947.41379310344803</v>
      </c>
      <c r="AE341" s="17">
        <f>+Tabla22[[#This Row],[Shein 2026]]</f>
        <v>0</v>
      </c>
      <c r="AF341" s="17">
        <f t="shared" si="119"/>
        <v>0</v>
      </c>
      <c r="AG341" s="18">
        <f t="shared" si="120"/>
        <v>0</v>
      </c>
      <c r="AH341" s="17">
        <f t="shared" si="121"/>
        <v>-8720531.61314697</v>
      </c>
      <c r="AI341" s="20">
        <f t="shared" si="122"/>
        <v>-1</v>
      </c>
      <c r="AJ341" s="20">
        <f t="shared" si="115"/>
        <v>9.1394059989951412E-2</v>
      </c>
      <c r="AK341" s="21" t="e">
        <f t="shared" si="123"/>
        <v>#DIV/0!</v>
      </c>
      <c r="AL341" s="21">
        <f t="shared" si="116"/>
        <v>-1</v>
      </c>
    </row>
    <row r="342" spans="1:38" ht="14.25" customHeight="1" x14ac:dyDescent="0.35">
      <c r="A342" s="16">
        <v>45997</v>
      </c>
      <c r="B342" s="17">
        <v>79744108</v>
      </c>
      <c r="C342" s="17">
        <f t="shared" si="117"/>
        <v>5261798.5242656451</v>
      </c>
      <c r="D342" s="18">
        <f>+Tabla22[[#This Row],[Share diario]]</f>
        <v>2.95215933577243E-2</v>
      </c>
      <c r="E342" s="17">
        <f>+Tabla22[[#This Row],[Global 2026]]</f>
        <v>0</v>
      </c>
      <c r="F342" s="19">
        <v>46361</v>
      </c>
      <c r="G342" s="17">
        <f t="shared" si="118"/>
        <v>7240010.9238516204</v>
      </c>
      <c r="H342" s="17">
        <v>4669198.65739433</v>
      </c>
      <c r="I342" s="17">
        <v>2570812.2664572899</v>
      </c>
      <c r="J342" s="17">
        <v>3024346</v>
      </c>
      <c r="K342" s="17">
        <f>+Tabla22[[#This Row],[Web + APP 2026]]</f>
        <v>0</v>
      </c>
      <c r="L342" s="17">
        <v>56625.127713920803</v>
      </c>
      <c r="M342" s="17">
        <f>+Tabla22[[#This Row],[Afiliados 2026]]</f>
        <v>0</v>
      </c>
      <c r="N342" s="17">
        <v>72012</v>
      </c>
      <c r="O342" s="17">
        <f>+Tabla22[[#This Row],[TMK 2026]]</f>
        <v>0</v>
      </c>
      <c r="P342" s="17">
        <v>2160</v>
      </c>
      <c r="Q342" s="17">
        <f>+Tabla22[[#This Row],[WA 2026]]</f>
        <v>0</v>
      </c>
      <c r="R342" s="17">
        <v>96469</v>
      </c>
      <c r="S342" s="17">
        <f>+Tabla22[[#This Row],[Ent. en Tienda 2026]]</f>
        <v>0</v>
      </c>
      <c r="T342" s="17">
        <v>1700937</v>
      </c>
      <c r="U342" s="17">
        <f>+Tabla22[[#This Row],[Meli Drop 2026]]</f>
        <v>0</v>
      </c>
      <c r="V342" s="17">
        <v>135278</v>
      </c>
      <c r="W342" s="17">
        <f>+Tabla22[[#This Row],[Meli Full 2026]]</f>
        <v>0</v>
      </c>
      <c r="X342" s="17">
        <v>74970</v>
      </c>
      <c r="Y342" s="17">
        <f>+Tabla22[[#This Row],[Amazon Drop 2026]]</f>
        <v>0</v>
      </c>
      <c r="Z342" s="17">
        <v>95661</v>
      </c>
      <c r="AA342" s="17">
        <f>+Tabla22[[#This Row],[Amazon Full 2026]]</f>
        <v>0</v>
      </c>
      <c r="AB342" s="17">
        <v>3340.39655172414</v>
      </c>
      <c r="AC342" s="17">
        <f>+Tabla22[[#This Row],[TikTok 2026]]</f>
        <v>0</v>
      </c>
      <c r="AD342" s="17">
        <v>0</v>
      </c>
      <c r="AE342" s="17">
        <f>+Tabla22[[#This Row],[Shein 2026]]</f>
        <v>0</v>
      </c>
      <c r="AF342" s="17">
        <f t="shared" si="119"/>
        <v>0</v>
      </c>
      <c r="AG342" s="18">
        <f t="shared" si="120"/>
        <v>0</v>
      </c>
      <c r="AH342" s="17">
        <f t="shared" si="121"/>
        <v>-7240010.9238516204</v>
      </c>
      <c r="AI342" s="20">
        <f t="shared" si="122"/>
        <v>-1</v>
      </c>
      <c r="AJ342" s="20">
        <f t="shared" si="115"/>
        <v>6.5983539802911148E-2</v>
      </c>
      <c r="AK342" s="21" t="e">
        <f t="shared" si="123"/>
        <v>#DIV/0!</v>
      </c>
      <c r="AL342" s="21">
        <f t="shared" si="116"/>
        <v>-1</v>
      </c>
    </row>
    <row r="343" spans="1:38" ht="14.25" customHeight="1" x14ac:dyDescent="0.35">
      <c r="A343" s="19">
        <v>45998</v>
      </c>
      <c r="B343" s="17">
        <v>90362378</v>
      </c>
      <c r="C343" s="17">
        <f t="shared" si="117"/>
        <v>6326126.180076628</v>
      </c>
      <c r="D343" s="18">
        <f>+Tabla22[[#This Row],[Share diario]]</f>
        <v>2.800367087302982E-2</v>
      </c>
      <c r="E343" s="17">
        <f>+Tabla22[[#This Row],[Global 2026]]</f>
        <v>0</v>
      </c>
      <c r="F343" s="19">
        <v>46362</v>
      </c>
      <c r="G343" s="17">
        <f t="shared" si="118"/>
        <v>6871184.3849720396</v>
      </c>
      <c r="H343" s="17">
        <v>4219709.1117787901</v>
      </c>
      <c r="I343" s="17">
        <v>2651475.2731932499</v>
      </c>
      <c r="J343" s="17">
        <v>3620613</v>
      </c>
      <c r="K343" s="17">
        <f>+Tabla22[[#This Row],[Web + APP 2026]]</f>
        <v>0</v>
      </c>
      <c r="L343" s="17">
        <v>54843.007662835204</v>
      </c>
      <c r="M343" s="17">
        <f>+Tabla22[[#This Row],[Afiliados 2026]]</f>
        <v>0</v>
      </c>
      <c r="N343" s="17">
        <v>85835</v>
      </c>
      <c r="O343" s="17">
        <f>+Tabla22[[#This Row],[TMK 2026]]</f>
        <v>0</v>
      </c>
      <c r="P343" s="17">
        <v>2936</v>
      </c>
      <c r="Q343" s="17">
        <f>+Tabla22[[#This Row],[WA 2026]]</f>
        <v>0</v>
      </c>
      <c r="R343" s="17">
        <v>185798</v>
      </c>
      <c r="S343" s="17">
        <f>+Tabla22[[#This Row],[Ent. en Tienda 2026]]</f>
        <v>0</v>
      </c>
      <c r="T343" s="17">
        <v>1934319</v>
      </c>
      <c r="U343" s="17">
        <f>+Tabla22[[#This Row],[Meli Drop 2026]]</f>
        <v>0</v>
      </c>
      <c r="V343" s="17">
        <v>233864</v>
      </c>
      <c r="W343" s="17">
        <f>+Tabla22[[#This Row],[Meli Full 2026]]</f>
        <v>0</v>
      </c>
      <c r="X343" s="17">
        <v>92460</v>
      </c>
      <c r="Y343" s="17">
        <f>+Tabla22[[#This Row],[Amazon Drop 2026]]</f>
        <v>0</v>
      </c>
      <c r="Z343" s="17">
        <v>115028</v>
      </c>
      <c r="AA343" s="17">
        <f>+Tabla22[[#This Row],[Amazon Full 2026]]</f>
        <v>0</v>
      </c>
      <c r="AB343" s="17">
        <v>430.172413793104</v>
      </c>
      <c r="AC343" s="17">
        <f>+Tabla22[[#This Row],[TikTok 2026]]</f>
        <v>0</v>
      </c>
      <c r="AD343" s="17">
        <v>0</v>
      </c>
      <c r="AE343" s="17">
        <f>+Tabla22[[#This Row],[Shein 2026]]</f>
        <v>0</v>
      </c>
      <c r="AF343" s="17">
        <f t="shared" si="119"/>
        <v>0</v>
      </c>
      <c r="AG343" s="18">
        <f t="shared" si="120"/>
        <v>0</v>
      </c>
      <c r="AH343" s="17">
        <f t="shared" si="121"/>
        <v>-6871184.3849720396</v>
      </c>
      <c r="AI343" s="20">
        <f t="shared" si="122"/>
        <v>-1</v>
      </c>
      <c r="AJ343" s="20">
        <f t="shared" si="115"/>
        <v>7.0008407482111942E-2</v>
      </c>
      <c r="AK343" s="21" t="e">
        <f t="shared" si="123"/>
        <v>#DIV/0!</v>
      </c>
      <c r="AL343" s="21">
        <f t="shared" si="116"/>
        <v>-1</v>
      </c>
    </row>
    <row r="344" spans="1:38" ht="14.25" customHeight="1" x14ac:dyDescent="0.35">
      <c r="A344" s="16">
        <v>45999</v>
      </c>
      <c r="B344" s="17">
        <v>51770672</v>
      </c>
      <c r="C344" s="17">
        <f t="shared" si="117"/>
        <v>8476254.6551724151</v>
      </c>
      <c r="D344" s="18">
        <f>+Tabla22[[#This Row],[Share diario]]</f>
        <v>3.3668099344956882E-2</v>
      </c>
      <c r="E344" s="17">
        <f>+Tabla22[[#This Row],[Global 2026]]</f>
        <v>0</v>
      </c>
      <c r="F344" s="19">
        <v>46363</v>
      </c>
      <c r="G344" s="17">
        <f t="shared" si="118"/>
        <v>8260183.3157518897</v>
      </c>
      <c r="H344" s="17">
        <v>5126059.2782656197</v>
      </c>
      <c r="I344" s="17">
        <v>3134124.0374862701</v>
      </c>
      <c r="J344" s="17">
        <v>5946618</v>
      </c>
      <c r="K344" s="17">
        <f>+Tabla22[[#This Row],[Web + APP 2026]]</f>
        <v>0</v>
      </c>
      <c r="L344" s="17">
        <v>48381.896551724101</v>
      </c>
      <c r="M344" s="17">
        <f>+Tabla22[[#This Row],[Afiliados 2026]]</f>
        <v>0</v>
      </c>
      <c r="N344" s="17">
        <v>16084</v>
      </c>
      <c r="O344" s="17">
        <f>+Tabla22[[#This Row],[TMK 2026]]</f>
        <v>0</v>
      </c>
      <c r="P344" s="17">
        <v>8369</v>
      </c>
      <c r="Q344" s="17">
        <f>+Tabla22[[#This Row],[WA 2026]]</f>
        <v>0</v>
      </c>
      <c r="R344" s="17">
        <v>168071</v>
      </c>
      <c r="S344" s="17">
        <f>+Tabla22[[#This Row],[Ent. en Tienda 2026]]</f>
        <v>0</v>
      </c>
      <c r="T344" s="17">
        <v>1704520</v>
      </c>
      <c r="U344" s="17">
        <f>+Tabla22[[#This Row],[Meli Drop 2026]]</f>
        <v>0</v>
      </c>
      <c r="V344" s="17">
        <v>319874</v>
      </c>
      <c r="W344" s="17">
        <f>+Tabla22[[#This Row],[Meli Full 2026]]</f>
        <v>0</v>
      </c>
      <c r="X344" s="17">
        <v>110203</v>
      </c>
      <c r="Y344" s="17">
        <f>+Tabla22[[#This Row],[Amazon Drop 2026]]</f>
        <v>0</v>
      </c>
      <c r="Z344" s="17">
        <v>125518</v>
      </c>
      <c r="AA344" s="17">
        <f>+Tabla22[[#This Row],[Amazon Full 2026]]</f>
        <v>0</v>
      </c>
      <c r="AB344" s="17">
        <v>27668.344827586199</v>
      </c>
      <c r="AC344" s="17">
        <f>+Tabla22[[#This Row],[TikTok 2026]]</f>
        <v>0</v>
      </c>
      <c r="AD344" s="17">
        <v>947.41379310344803</v>
      </c>
      <c r="AE344" s="17">
        <f>+Tabla22[[#This Row],[Shein 2026]]</f>
        <v>0</v>
      </c>
      <c r="AF344" s="17">
        <f t="shared" si="119"/>
        <v>0</v>
      </c>
      <c r="AG344" s="18">
        <f t="shared" si="120"/>
        <v>0</v>
      </c>
      <c r="AH344" s="17">
        <f t="shared" si="121"/>
        <v>-8260183.3157518897</v>
      </c>
      <c r="AI344" s="20">
        <f t="shared" si="122"/>
        <v>-1</v>
      </c>
      <c r="AJ344" s="20">
        <f t="shared" si="115"/>
        <v>0.1637269582896744</v>
      </c>
      <c r="AK344" s="21" t="e">
        <f t="shared" si="123"/>
        <v>#DIV/0!</v>
      </c>
      <c r="AL344" s="21">
        <f t="shared" si="116"/>
        <v>-1</v>
      </c>
    </row>
    <row r="345" spans="1:38" ht="14.25" customHeight="1" x14ac:dyDescent="0.35">
      <c r="A345" s="19">
        <v>46000</v>
      </c>
      <c r="B345" s="17">
        <v>58970219</v>
      </c>
      <c r="C345" s="17">
        <f t="shared" si="117"/>
        <v>8649664.7327586208</v>
      </c>
      <c r="D345" s="18">
        <f>+Tabla22[[#This Row],[Share diario]]</f>
        <v>4.5111238012018495E-2</v>
      </c>
      <c r="E345" s="17">
        <f>+Tabla22[[#This Row],[Global 2026]]</f>
        <v>0</v>
      </c>
      <c r="F345" s="19">
        <v>46364</v>
      </c>
      <c r="G345" s="17">
        <f t="shared" si="118"/>
        <v>11048605.67883426</v>
      </c>
      <c r="H345" s="17">
        <v>8029724.9303178396</v>
      </c>
      <c r="I345" s="17">
        <v>3018880.7485164199</v>
      </c>
      <c r="J345" s="17">
        <v>6085695</v>
      </c>
      <c r="K345" s="17">
        <f>+Tabla22[[#This Row],[Web + APP 2026]]</f>
        <v>0</v>
      </c>
      <c r="L345" s="17">
        <v>46312.931034482703</v>
      </c>
      <c r="M345" s="17">
        <f>+Tabla22[[#This Row],[Afiliados 2026]]</f>
        <v>0</v>
      </c>
      <c r="N345" s="17">
        <v>50291</v>
      </c>
      <c r="O345" s="17">
        <f>+Tabla22[[#This Row],[TMK 2026]]</f>
        <v>0</v>
      </c>
      <c r="P345" s="17">
        <v>6649</v>
      </c>
      <c r="Q345" s="17">
        <f>+Tabla22[[#This Row],[WA 2026]]</f>
        <v>0</v>
      </c>
      <c r="R345" s="17">
        <v>148217</v>
      </c>
      <c r="S345" s="17">
        <f>+Tabla22[[#This Row],[Ent. en Tienda 2026]]</f>
        <v>0</v>
      </c>
      <c r="T345" s="17">
        <v>1686373</v>
      </c>
      <c r="U345" s="17">
        <f>+Tabla22[[#This Row],[Meli Drop 2026]]</f>
        <v>0</v>
      </c>
      <c r="V345" s="17">
        <v>385223</v>
      </c>
      <c r="W345" s="17">
        <f>+Tabla22[[#This Row],[Meli Full 2026]]</f>
        <v>0</v>
      </c>
      <c r="X345" s="17">
        <v>96804</v>
      </c>
      <c r="Y345" s="17">
        <f>+Tabla22[[#This Row],[Amazon Drop 2026]]</f>
        <v>0</v>
      </c>
      <c r="Z345" s="17">
        <v>119084</v>
      </c>
      <c r="AA345" s="17">
        <f>+Tabla22[[#This Row],[Amazon Full 2026]]</f>
        <v>0</v>
      </c>
      <c r="AB345" s="17">
        <v>25015.801724137898</v>
      </c>
      <c r="AC345" s="17">
        <f>+Tabla22[[#This Row],[TikTok 2026]]</f>
        <v>0</v>
      </c>
      <c r="AD345" s="17">
        <v>0</v>
      </c>
      <c r="AE345" s="17">
        <f>+Tabla22[[#This Row],[Shein 2026]]</f>
        <v>0</v>
      </c>
      <c r="AF345" s="17">
        <f t="shared" si="119"/>
        <v>0</v>
      </c>
      <c r="AG345" s="18">
        <f t="shared" si="120"/>
        <v>0</v>
      </c>
      <c r="AH345" s="17">
        <f t="shared" si="121"/>
        <v>-11048605.67883426</v>
      </c>
      <c r="AI345" s="20">
        <f t="shared" si="122"/>
        <v>-1</v>
      </c>
      <c r="AJ345" s="20">
        <f t="shared" si="115"/>
        <v>0.14667852484588231</v>
      </c>
      <c r="AK345" s="21" t="e">
        <f t="shared" si="123"/>
        <v>#DIV/0!</v>
      </c>
      <c r="AL345" s="21">
        <f t="shared" si="116"/>
        <v>-1</v>
      </c>
    </row>
    <row r="346" spans="1:38" ht="14.25" customHeight="1" x14ac:dyDescent="0.35">
      <c r="A346" s="16">
        <v>46001</v>
      </c>
      <c r="B346" s="17">
        <v>66302976</v>
      </c>
      <c r="C346" s="17">
        <f t="shared" si="117"/>
        <v>8095145.4137931028</v>
      </c>
      <c r="D346" s="18">
        <f>+Tabla22[[#This Row],[Share diario]]</f>
        <v>4.6034138939599796E-2</v>
      </c>
      <c r="E346" s="17">
        <f>+Tabla22[[#This Row],[Global 2026]]</f>
        <v>0</v>
      </c>
      <c r="F346" s="19">
        <v>46365</v>
      </c>
      <c r="G346" s="17">
        <f t="shared" si="118"/>
        <v>11274150.919565121</v>
      </c>
      <c r="H346" s="17">
        <v>8223918.3371270504</v>
      </c>
      <c r="I346" s="17">
        <v>3050232.5824380699</v>
      </c>
      <c r="J346" s="17">
        <v>5484191</v>
      </c>
      <c r="K346" s="17">
        <f>+Tabla22[[#This Row],[Web + APP 2026]]</f>
        <v>0</v>
      </c>
      <c r="L346" s="17">
        <v>52041.379310344797</v>
      </c>
      <c r="M346" s="17">
        <f>+Tabla22[[#This Row],[Afiliados 2026]]</f>
        <v>0</v>
      </c>
      <c r="N346" s="17">
        <v>112954</v>
      </c>
      <c r="O346" s="17">
        <f>+Tabla22[[#This Row],[TMK 2026]]</f>
        <v>0</v>
      </c>
      <c r="P346" s="17">
        <v>4560</v>
      </c>
      <c r="Q346" s="17">
        <f>+Tabla22[[#This Row],[WA 2026]]</f>
        <v>0</v>
      </c>
      <c r="R346" s="17">
        <v>107965</v>
      </c>
      <c r="S346" s="17">
        <f>+Tabla22[[#This Row],[Ent. en Tienda 2026]]</f>
        <v>0</v>
      </c>
      <c r="T346" s="17">
        <v>1680477</v>
      </c>
      <c r="U346" s="17">
        <f>+Tabla22[[#This Row],[Meli Drop 2026]]</f>
        <v>0</v>
      </c>
      <c r="V346" s="17">
        <v>410059</v>
      </c>
      <c r="W346" s="17">
        <f>+Tabla22[[#This Row],[Meli Full 2026]]</f>
        <v>0</v>
      </c>
      <c r="X346" s="17">
        <v>100505</v>
      </c>
      <c r="Y346" s="17">
        <f>+Tabla22[[#This Row],[Amazon Drop 2026]]</f>
        <v>0</v>
      </c>
      <c r="Z346" s="17">
        <v>119493</v>
      </c>
      <c r="AA346" s="17">
        <f>+Tabla22[[#This Row],[Amazon Full 2026]]</f>
        <v>0</v>
      </c>
      <c r="AB346" s="17">
        <v>22211.241379310399</v>
      </c>
      <c r="AC346" s="17">
        <f>+Tabla22[[#This Row],[TikTok 2026]]</f>
        <v>0</v>
      </c>
      <c r="AD346" s="17">
        <v>688.79310344827604</v>
      </c>
      <c r="AE346" s="17">
        <f>+Tabla22[[#This Row],[Shein 2026]]</f>
        <v>0</v>
      </c>
      <c r="AF346" s="17">
        <f t="shared" si="119"/>
        <v>0</v>
      </c>
      <c r="AG346" s="18">
        <f t="shared" si="120"/>
        <v>0</v>
      </c>
      <c r="AH346" s="17">
        <f t="shared" si="121"/>
        <v>-11274150.919565121</v>
      </c>
      <c r="AI346" s="20">
        <f t="shared" si="122"/>
        <v>-1</v>
      </c>
      <c r="AJ346" s="20">
        <f t="shared" si="115"/>
        <v>0.1220932438054229</v>
      </c>
      <c r="AK346" s="21" t="e">
        <f t="shared" si="123"/>
        <v>#DIV/0!</v>
      </c>
      <c r="AL346" s="21">
        <f t="shared" si="116"/>
        <v>-1</v>
      </c>
    </row>
    <row r="347" spans="1:38" ht="14.25" customHeight="1" x14ac:dyDescent="0.35">
      <c r="A347" s="19">
        <v>46002</v>
      </c>
      <c r="B347" s="17">
        <v>68556369</v>
      </c>
      <c r="C347" s="17">
        <f t="shared" si="117"/>
        <v>8794815.8620689642</v>
      </c>
      <c r="D347" s="18">
        <f>+Tabla22[[#This Row],[Share diario]]</f>
        <v>4.3082947169440895E-2</v>
      </c>
      <c r="E347" s="17">
        <f>+Tabla22[[#This Row],[Global 2026]]</f>
        <v>0</v>
      </c>
      <c r="F347" s="19">
        <v>46366</v>
      </c>
      <c r="G347" s="17">
        <f t="shared" si="118"/>
        <v>10554981.21780456</v>
      </c>
      <c r="H347" s="17">
        <v>7477135.9718751898</v>
      </c>
      <c r="I347" s="17">
        <v>3077845.2459293702</v>
      </c>
      <c r="J347" s="17">
        <v>6211860</v>
      </c>
      <c r="K347" s="17">
        <f>+Tabla22[[#This Row],[Web + APP 2026]]</f>
        <v>0</v>
      </c>
      <c r="L347" s="17">
        <v>49136.206896551703</v>
      </c>
      <c r="M347" s="17">
        <f>+Tabla22[[#This Row],[Afiliados 2026]]</f>
        <v>0</v>
      </c>
      <c r="N347" s="17">
        <v>53115</v>
      </c>
      <c r="O347" s="17">
        <f>+Tabla22[[#This Row],[TMK 2026]]</f>
        <v>0</v>
      </c>
      <c r="P347" s="17">
        <v>4450</v>
      </c>
      <c r="Q347" s="17">
        <f>+Tabla22[[#This Row],[WA 2026]]</f>
        <v>0</v>
      </c>
      <c r="R347" s="17">
        <v>207485</v>
      </c>
      <c r="S347" s="17">
        <f>+Tabla22[[#This Row],[Ent. en Tienda 2026]]</f>
        <v>0</v>
      </c>
      <c r="T347" s="17">
        <v>1665235</v>
      </c>
      <c r="U347" s="17">
        <f>+Tabla22[[#This Row],[Meli Drop 2026]]</f>
        <v>0</v>
      </c>
      <c r="V347" s="17">
        <v>400482</v>
      </c>
      <c r="W347" s="17">
        <f>+Tabla22[[#This Row],[Meli Full 2026]]</f>
        <v>0</v>
      </c>
      <c r="X347" s="17">
        <v>84857</v>
      </c>
      <c r="Y347" s="17">
        <f>+Tabla22[[#This Row],[Amazon Drop 2026]]</f>
        <v>0</v>
      </c>
      <c r="Z347" s="17">
        <v>100371</v>
      </c>
      <c r="AA347" s="17">
        <f>+Tabla22[[#This Row],[Amazon Full 2026]]</f>
        <v>0</v>
      </c>
      <c r="AB347" s="17">
        <v>17824.655172413801</v>
      </c>
      <c r="AC347" s="17">
        <f>+Tabla22[[#This Row],[TikTok 2026]]</f>
        <v>0</v>
      </c>
      <c r="AD347" s="17">
        <v>0</v>
      </c>
      <c r="AE347" s="17">
        <f>+Tabla22[[#This Row],[Shein 2026]]</f>
        <v>0</v>
      </c>
      <c r="AF347" s="17">
        <f t="shared" si="119"/>
        <v>0</v>
      </c>
      <c r="AG347" s="18">
        <f t="shared" si="120"/>
        <v>0</v>
      </c>
      <c r="AH347" s="17">
        <f t="shared" si="121"/>
        <v>-10554981.21780456</v>
      </c>
      <c r="AI347" s="20">
        <f t="shared" si="122"/>
        <v>-1</v>
      </c>
      <c r="AJ347" s="20">
        <f t="shared" si="115"/>
        <v>0.12828590531200632</v>
      </c>
      <c r="AK347" s="21" t="e">
        <f t="shared" si="123"/>
        <v>#DIV/0!</v>
      </c>
      <c r="AL347" s="21">
        <f t="shared" si="116"/>
        <v>-1</v>
      </c>
    </row>
    <row r="348" spans="1:38" ht="14.25" customHeight="1" x14ac:dyDescent="0.35">
      <c r="A348" s="16">
        <v>46003</v>
      </c>
      <c r="B348" s="17">
        <v>77482550</v>
      </c>
      <c r="C348" s="17">
        <f t="shared" si="117"/>
        <v>6467029.7758620689</v>
      </c>
      <c r="D348" s="18">
        <f>+Tabla22[[#This Row],[Share diario]]</f>
        <v>4.6806643708322909E-2</v>
      </c>
      <c r="E348" s="17">
        <f>+Tabla22[[#This Row],[Global 2026]]</f>
        <v>0</v>
      </c>
      <c r="F348" s="19">
        <v>46367</v>
      </c>
      <c r="G348" s="17">
        <f t="shared" si="118"/>
        <v>11461586.5777383</v>
      </c>
      <c r="H348" s="17">
        <v>8469034.9160715099</v>
      </c>
      <c r="I348" s="17">
        <v>2992551.66166679</v>
      </c>
      <c r="J348" s="17">
        <v>3784370</v>
      </c>
      <c r="K348" s="17">
        <f>+Tabla22[[#This Row],[Web + APP 2026]]</f>
        <v>0</v>
      </c>
      <c r="L348" s="17">
        <v>54965.517241379297</v>
      </c>
      <c r="M348" s="17">
        <f>+Tabla22[[#This Row],[Afiliados 2026]]</f>
        <v>0</v>
      </c>
      <c r="N348" s="17">
        <v>67282</v>
      </c>
      <c r="O348" s="17">
        <f>+Tabla22[[#This Row],[TMK 2026]]</f>
        <v>0</v>
      </c>
      <c r="P348" s="17">
        <v>3570</v>
      </c>
      <c r="Q348" s="17">
        <f>+Tabla22[[#This Row],[WA 2026]]</f>
        <v>0</v>
      </c>
      <c r="R348" s="17">
        <v>221780</v>
      </c>
      <c r="S348" s="17">
        <f>+Tabla22[[#This Row],[Ent. en Tienda 2026]]</f>
        <v>0</v>
      </c>
      <c r="T348" s="17">
        <v>1763567</v>
      </c>
      <c r="U348" s="17">
        <f>+Tabla22[[#This Row],[Meli Drop 2026]]</f>
        <v>0</v>
      </c>
      <c r="V348" s="17">
        <v>363270</v>
      </c>
      <c r="W348" s="17">
        <f>+Tabla22[[#This Row],[Meli Full 2026]]</f>
        <v>0</v>
      </c>
      <c r="X348" s="17">
        <v>90425</v>
      </c>
      <c r="Y348" s="17">
        <f>+Tabla22[[#This Row],[Amazon Drop 2026]]</f>
        <v>0</v>
      </c>
      <c r="Z348" s="17">
        <v>114050</v>
      </c>
      <c r="AA348" s="17">
        <f>+Tabla22[[#This Row],[Amazon Full 2026]]</f>
        <v>0</v>
      </c>
      <c r="AB348" s="17">
        <v>3750.2586206896599</v>
      </c>
      <c r="AC348" s="17">
        <f>+Tabla22[[#This Row],[TikTok 2026]]</f>
        <v>0</v>
      </c>
      <c r="AD348" s="17">
        <v>0</v>
      </c>
      <c r="AE348" s="17">
        <f>+Tabla22[[#This Row],[Shein 2026]]</f>
        <v>0</v>
      </c>
      <c r="AF348" s="17">
        <f t="shared" si="119"/>
        <v>0</v>
      </c>
      <c r="AG348" s="18">
        <f t="shared" si="120"/>
        <v>0</v>
      </c>
      <c r="AH348" s="17">
        <f t="shared" si="121"/>
        <v>-11461586.5777383</v>
      </c>
      <c r="AI348" s="20">
        <f t="shared" si="122"/>
        <v>-1</v>
      </c>
      <c r="AJ348" s="20">
        <f t="shared" si="115"/>
        <v>8.346433843313196E-2</v>
      </c>
      <c r="AK348" s="21" t="e">
        <f t="shared" si="123"/>
        <v>#DIV/0!</v>
      </c>
      <c r="AL348" s="21">
        <f t="shared" si="116"/>
        <v>-1</v>
      </c>
    </row>
    <row r="349" spans="1:38" ht="14.25" customHeight="1" x14ac:dyDescent="0.35">
      <c r="A349" s="19">
        <v>46004</v>
      </c>
      <c r="B349" s="17">
        <v>92327737</v>
      </c>
      <c r="C349" s="17">
        <f t="shared" si="117"/>
        <v>5138073.1293103453</v>
      </c>
      <c r="D349" s="18">
        <f>+Tabla22[[#This Row],[Share diario]]</f>
        <v>3.4417998434214128E-2</v>
      </c>
      <c r="E349" s="17">
        <f>+Tabla22[[#This Row],[Global 2026]]</f>
        <v>0</v>
      </c>
      <c r="F349" s="19">
        <v>46368</v>
      </c>
      <c r="G349" s="17">
        <f t="shared" si="118"/>
        <v>8442164.1292602494</v>
      </c>
      <c r="H349" s="17">
        <v>5362171.2237663995</v>
      </c>
      <c r="I349" s="17">
        <v>3079992.9054938499</v>
      </c>
      <c r="J349" s="17">
        <v>3236267</v>
      </c>
      <c r="K349" s="17">
        <f>+Tabla22[[#This Row],[Web + APP 2026]]</f>
        <v>0</v>
      </c>
      <c r="L349" s="17">
        <v>59461.206896551703</v>
      </c>
      <c r="M349" s="17">
        <f>+Tabla22[[#This Row],[Afiliados 2026]]</f>
        <v>0</v>
      </c>
      <c r="N349" s="17">
        <v>-5517</v>
      </c>
      <c r="O349" s="17">
        <f>+Tabla22[[#This Row],[TMK 2026]]</f>
        <v>0</v>
      </c>
      <c r="P349" s="17">
        <v>1235</v>
      </c>
      <c r="Q349" s="17">
        <f>+Tabla22[[#This Row],[WA 2026]]</f>
        <v>0</v>
      </c>
      <c r="R349" s="17">
        <v>131578</v>
      </c>
      <c r="S349" s="17">
        <f>+Tabla22[[#This Row],[Ent. en Tienda 2026]]</f>
        <v>0</v>
      </c>
      <c r="T349" s="17">
        <v>1165862</v>
      </c>
      <c r="U349" s="17">
        <f>+Tabla22[[#This Row],[Meli Drop 2026]]</f>
        <v>0</v>
      </c>
      <c r="V349" s="17">
        <v>332613</v>
      </c>
      <c r="W349" s="17">
        <f>+Tabla22[[#This Row],[Meli Full 2026]]</f>
        <v>0</v>
      </c>
      <c r="X349" s="17">
        <v>91573</v>
      </c>
      <c r="Y349" s="17">
        <f>+Tabla22[[#This Row],[Amazon Drop 2026]]</f>
        <v>0</v>
      </c>
      <c r="Z349" s="17">
        <v>125582</v>
      </c>
      <c r="AA349" s="17">
        <f>+Tabla22[[#This Row],[Amazon Full 2026]]</f>
        <v>0</v>
      </c>
      <c r="AB349" s="17">
        <v>-581.07758620689697</v>
      </c>
      <c r="AC349" s="17">
        <f>+Tabla22[[#This Row],[TikTok 2026]]</f>
        <v>0</v>
      </c>
      <c r="AD349" s="17">
        <v>0</v>
      </c>
      <c r="AE349" s="17">
        <f>+Tabla22[[#This Row],[Shein 2026]]</f>
        <v>0</v>
      </c>
      <c r="AF349" s="17">
        <f t="shared" si="119"/>
        <v>0</v>
      </c>
      <c r="AG349" s="18">
        <f t="shared" si="120"/>
        <v>0</v>
      </c>
      <c r="AH349" s="17">
        <f t="shared" si="121"/>
        <v>-8442164.1292602494</v>
      </c>
      <c r="AI349" s="20">
        <f t="shared" si="122"/>
        <v>-1</v>
      </c>
      <c r="AJ349" s="20">
        <f t="shared" si="115"/>
        <v>5.5650374375691078E-2</v>
      </c>
      <c r="AK349" s="21" t="e">
        <f t="shared" si="123"/>
        <v>#DIV/0!</v>
      </c>
      <c r="AL349" s="21">
        <f t="shared" si="116"/>
        <v>-1</v>
      </c>
    </row>
    <row r="350" spans="1:38" ht="14.25" customHeight="1" x14ac:dyDescent="0.35">
      <c r="A350" s="16">
        <v>46005</v>
      </c>
      <c r="B350" s="17">
        <v>104292228</v>
      </c>
      <c r="C350" s="17">
        <f t="shared" si="117"/>
        <v>5068053.5603448274</v>
      </c>
      <c r="D350" s="18">
        <f>+Tabla22[[#This Row],[Share diario]]</f>
        <v>2.7345195406326656E-2</v>
      </c>
      <c r="E350" s="17">
        <f>+Tabla22[[#This Row],[Global 2026]]</f>
        <v>0</v>
      </c>
      <c r="F350" s="19">
        <v>46369</v>
      </c>
      <c r="G350" s="17">
        <f t="shared" si="118"/>
        <v>6704338.5773267001</v>
      </c>
      <c r="H350" s="17">
        <v>4442155.4196366798</v>
      </c>
      <c r="I350" s="17">
        <v>2262183.1576900198</v>
      </c>
      <c r="J350" s="17">
        <v>4186498</v>
      </c>
      <c r="K350" s="17">
        <f>+Tabla22[[#This Row],[Web + APP 2026]]</f>
        <v>0</v>
      </c>
      <c r="L350" s="17">
        <v>63377.5862068965</v>
      </c>
      <c r="M350" s="17">
        <f>+Tabla22[[#This Row],[Afiliados 2026]]</f>
        <v>0</v>
      </c>
      <c r="N350" s="17">
        <v>-2176</v>
      </c>
      <c r="O350" s="17">
        <f>+Tabla22[[#This Row],[TMK 2026]]</f>
        <v>0</v>
      </c>
      <c r="P350" s="17">
        <v>4620</v>
      </c>
      <c r="Q350" s="17">
        <f>+Tabla22[[#This Row],[WA 2026]]</f>
        <v>0</v>
      </c>
      <c r="R350" s="17">
        <v>163689</v>
      </c>
      <c r="S350" s="17">
        <f>+Tabla22[[#This Row],[Ent. en Tienda 2026]]</f>
        <v>0</v>
      </c>
      <c r="T350" s="17">
        <v>3655</v>
      </c>
      <c r="U350" s="17">
        <f>+Tabla22[[#This Row],[Meli Drop 2026]]</f>
        <v>0</v>
      </c>
      <c r="V350" s="17">
        <v>400332</v>
      </c>
      <c r="W350" s="17">
        <f>+Tabla22[[#This Row],[Meli Full 2026]]</f>
        <v>0</v>
      </c>
      <c r="X350" s="17">
        <v>101596</v>
      </c>
      <c r="Y350" s="17">
        <f>+Tabla22[[#This Row],[Amazon Drop 2026]]</f>
        <v>0</v>
      </c>
      <c r="Z350" s="17">
        <v>147093</v>
      </c>
      <c r="AA350" s="17">
        <f>+Tabla22[[#This Row],[Amazon Full 2026]]</f>
        <v>0</v>
      </c>
      <c r="AB350" s="17">
        <v>-631.02586206896603</v>
      </c>
      <c r="AC350" s="17">
        <f>+Tabla22[[#This Row],[TikTok 2026]]</f>
        <v>0</v>
      </c>
      <c r="AD350" s="17">
        <v>0</v>
      </c>
      <c r="AE350" s="17">
        <f>+Tabla22[[#This Row],[Shein 2026]]</f>
        <v>0</v>
      </c>
      <c r="AF350" s="17">
        <f t="shared" si="119"/>
        <v>0</v>
      </c>
      <c r="AG350" s="18">
        <f t="shared" si="120"/>
        <v>0</v>
      </c>
      <c r="AH350" s="17">
        <f t="shared" si="121"/>
        <v>-6704338.5773267001</v>
      </c>
      <c r="AI350" s="20">
        <f t="shared" si="122"/>
        <v>-1</v>
      </c>
      <c r="AJ350" s="20">
        <f t="shared" si="115"/>
        <v>4.8594738625632079E-2</v>
      </c>
      <c r="AK350" s="21" t="e">
        <f t="shared" si="123"/>
        <v>#DIV/0!</v>
      </c>
      <c r="AL350" s="21">
        <f t="shared" si="116"/>
        <v>-1</v>
      </c>
    </row>
    <row r="351" spans="1:38" ht="14.25" customHeight="1" x14ac:dyDescent="0.35">
      <c r="A351" s="19">
        <v>46006</v>
      </c>
      <c r="B351" s="17">
        <v>65616616</v>
      </c>
      <c r="C351" s="17">
        <f t="shared" si="117"/>
        <v>9475136.7758620698</v>
      </c>
      <c r="D351" s="18">
        <f>+Tabla22[[#This Row],[Share diario]]</f>
        <v>2.6972546215191875E-2</v>
      </c>
      <c r="E351" s="17">
        <f>+Tabla22[[#This Row],[Global 2026]]</f>
        <v>0</v>
      </c>
      <c r="F351" s="19">
        <v>46370</v>
      </c>
      <c r="G351" s="17">
        <f t="shared" si="118"/>
        <v>6590839.4665274341</v>
      </c>
      <c r="H351" s="17">
        <v>5730779.3602097398</v>
      </c>
      <c r="I351" s="17">
        <v>860060.10631769395</v>
      </c>
      <c r="J351" s="17">
        <v>5911164</v>
      </c>
      <c r="K351" s="17">
        <f>+Tabla22[[#This Row],[Web + APP 2026]]</f>
        <v>0</v>
      </c>
      <c r="L351" s="17">
        <v>55170.689655172398</v>
      </c>
      <c r="M351" s="17">
        <f>+Tabla22[[#This Row],[Afiliados 2026]]</f>
        <v>0</v>
      </c>
      <c r="N351" s="17">
        <v>96597</v>
      </c>
      <c r="O351" s="17">
        <f>+Tabla22[[#This Row],[TMK 2026]]</f>
        <v>0</v>
      </c>
      <c r="P351" s="17">
        <v>5578</v>
      </c>
      <c r="Q351" s="17">
        <f>+Tabla22[[#This Row],[WA 2026]]</f>
        <v>0</v>
      </c>
      <c r="R351" s="17">
        <v>174915</v>
      </c>
      <c r="S351" s="17">
        <f>+Tabla22[[#This Row],[Ent. en Tienda 2026]]</f>
        <v>0</v>
      </c>
      <c r="T351" s="17">
        <v>2393939</v>
      </c>
      <c r="U351" s="17">
        <f>+Tabla22[[#This Row],[Meli Drop 2026]]</f>
        <v>0</v>
      </c>
      <c r="V351" s="17">
        <v>492432</v>
      </c>
      <c r="W351" s="17">
        <f>+Tabla22[[#This Row],[Meli Full 2026]]</f>
        <v>0</v>
      </c>
      <c r="X351" s="17">
        <v>136733</v>
      </c>
      <c r="Y351" s="17">
        <f>+Tabla22[[#This Row],[Amazon Drop 2026]]</f>
        <v>0</v>
      </c>
      <c r="Z351" s="17">
        <v>186165</v>
      </c>
      <c r="AA351" s="17">
        <f>+Tabla22[[#This Row],[Amazon Full 2026]]</f>
        <v>0</v>
      </c>
      <c r="AB351" s="17">
        <v>22443.086206896602</v>
      </c>
      <c r="AC351" s="17">
        <f>+Tabla22[[#This Row],[TikTok 2026]]</f>
        <v>0</v>
      </c>
      <c r="AD351" s="17">
        <v>0</v>
      </c>
      <c r="AE351" s="17">
        <f>+Tabla22[[#This Row],[Shein 2026]]</f>
        <v>0</v>
      </c>
      <c r="AF351" s="17">
        <f t="shared" si="119"/>
        <v>0</v>
      </c>
      <c r="AG351" s="18">
        <f t="shared" si="120"/>
        <v>0</v>
      </c>
      <c r="AH351" s="17">
        <f t="shared" si="121"/>
        <v>-6590839.4665274341</v>
      </c>
      <c r="AI351" s="20">
        <f t="shared" si="122"/>
        <v>-1</v>
      </c>
      <c r="AJ351" s="20">
        <f t="shared" si="115"/>
        <v>0.14440148476815795</v>
      </c>
      <c r="AK351" s="21" t="e">
        <f t="shared" si="123"/>
        <v>#DIV/0!</v>
      </c>
      <c r="AL351" s="21">
        <f t="shared" si="116"/>
        <v>-1</v>
      </c>
    </row>
    <row r="352" spans="1:38" ht="14.25" customHeight="1" x14ac:dyDescent="0.35">
      <c r="A352" s="16">
        <v>46007</v>
      </c>
      <c r="B352" s="17">
        <v>77580854</v>
      </c>
      <c r="C352" s="17">
        <f t="shared" si="117"/>
        <v>12618273.603448274</v>
      </c>
      <c r="D352" s="18">
        <f>+Tabla22[[#This Row],[Share diario]]</f>
        <v>5.0427360630501128E-2</v>
      </c>
      <c r="E352" s="17">
        <f>+Tabla22[[#This Row],[Global 2026]]</f>
        <v>0</v>
      </c>
      <c r="F352" s="19">
        <v>46371</v>
      </c>
      <c r="G352" s="17">
        <f t="shared" si="118"/>
        <v>12364960.58185959</v>
      </c>
      <c r="H352" s="17">
        <v>8102268.9720883202</v>
      </c>
      <c r="I352" s="17">
        <v>4262691.6097712703</v>
      </c>
      <c r="J352" s="17">
        <v>6852617</v>
      </c>
      <c r="K352" s="17">
        <f>+Tabla22[[#This Row],[Web + APP 2026]]</f>
        <v>0</v>
      </c>
      <c r="L352" s="17">
        <v>56310.344827586203</v>
      </c>
      <c r="M352" s="17">
        <f>+Tabla22[[#This Row],[Afiliados 2026]]</f>
        <v>0</v>
      </c>
      <c r="N352" s="17">
        <v>109047</v>
      </c>
      <c r="O352" s="17">
        <f>+Tabla22[[#This Row],[TMK 2026]]</f>
        <v>0</v>
      </c>
      <c r="P352" s="17">
        <v>2019</v>
      </c>
      <c r="Q352" s="17">
        <f>+Tabla22[[#This Row],[WA 2026]]</f>
        <v>0</v>
      </c>
      <c r="R352" s="17">
        <v>138436</v>
      </c>
      <c r="S352" s="17">
        <f>+Tabla22[[#This Row],[Ent. en Tienda 2026]]</f>
        <v>0</v>
      </c>
      <c r="T352" s="17">
        <v>4615472</v>
      </c>
      <c r="U352" s="17">
        <f>+Tabla22[[#This Row],[Meli Drop 2026]]</f>
        <v>0</v>
      </c>
      <c r="V352" s="17">
        <v>570628</v>
      </c>
      <c r="W352" s="17">
        <f>+Tabla22[[#This Row],[Meli Full 2026]]</f>
        <v>0</v>
      </c>
      <c r="X352" s="17">
        <v>102615</v>
      </c>
      <c r="Y352" s="17">
        <f>+Tabla22[[#This Row],[Amazon Drop 2026]]</f>
        <v>0</v>
      </c>
      <c r="Z352" s="17">
        <v>148024</v>
      </c>
      <c r="AA352" s="17">
        <f>+Tabla22[[#This Row],[Amazon Full 2026]]</f>
        <v>0</v>
      </c>
      <c r="AB352" s="17">
        <v>22071.6379310345</v>
      </c>
      <c r="AC352" s="17">
        <f>+Tabla22[[#This Row],[TikTok 2026]]</f>
        <v>0</v>
      </c>
      <c r="AD352" s="17">
        <v>1033.6206896551701</v>
      </c>
      <c r="AE352" s="17">
        <f>+Tabla22[[#This Row],[Shein 2026]]</f>
        <v>0</v>
      </c>
      <c r="AF352" s="17">
        <f t="shared" si="119"/>
        <v>0</v>
      </c>
      <c r="AG352" s="18">
        <f t="shared" si="120"/>
        <v>0</v>
      </c>
      <c r="AH352" s="17">
        <f t="shared" si="121"/>
        <v>-12364960.58185959</v>
      </c>
      <c r="AI352" s="20">
        <f t="shared" si="122"/>
        <v>-1</v>
      </c>
      <c r="AJ352" s="20">
        <f t="shared" si="115"/>
        <v>0.16264674791345135</v>
      </c>
      <c r="AK352" s="21" t="e">
        <f t="shared" si="123"/>
        <v>#DIV/0!</v>
      </c>
      <c r="AL352" s="21">
        <f t="shared" si="116"/>
        <v>-1</v>
      </c>
    </row>
    <row r="353" spans="1:38" ht="14.25" customHeight="1" x14ac:dyDescent="0.35">
      <c r="A353" s="19">
        <v>46008</v>
      </c>
      <c r="B353" s="17">
        <v>80887423</v>
      </c>
      <c r="C353" s="17">
        <f t="shared" si="117"/>
        <v>9298281.6896551717</v>
      </c>
      <c r="D353" s="18">
        <f>+Tabla22[[#This Row],[Share diario]]</f>
        <v>6.7155361298468066E-2</v>
      </c>
      <c r="E353" s="17">
        <f>+Tabla22[[#This Row],[Global 2026]]</f>
        <v>0</v>
      </c>
      <c r="F353" s="19">
        <v>46372</v>
      </c>
      <c r="G353" s="17">
        <f t="shared" si="118"/>
        <v>16491338.05188093</v>
      </c>
      <c r="H353" s="17">
        <v>9289696.4170294795</v>
      </c>
      <c r="I353" s="17">
        <v>7201641.6348514501</v>
      </c>
      <c r="J353" s="17">
        <v>5512521</v>
      </c>
      <c r="K353" s="17">
        <f>+Tabla22[[#This Row],[Web + APP 2026]]</f>
        <v>0</v>
      </c>
      <c r="L353" s="17">
        <v>51579.310344827602</v>
      </c>
      <c r="M353" s="17">
        <f>+Tabla22[[#This Row],[Afiliados 2026]]</f>
        <v>0</v>
      </c>
      <c r="N353" s="17">
        <v>78025</v>
      </c>
      <c r="O353" s="17">
        <f>+Tabla22[[#This Row],[TMK 2026]]</f>
        <v>0</v>
      </c>
      <c r="P353" s="17">
        <v>134</v>
      </c>
      <c r="Q353" s="17">
        <f>+Tabla22[[#This Row],[WA 2026]]</f>
        <v>0</v>
      </c>
      <c r="R353" s="17">
        <v>184118</v>
      </c>
      <c r="S353" s="17">
        <f>+Tabla22[[#This Row],[Ent. en Tienda 2026]]</f>
        <v>0</v>
      </c>
      <c r="T353" s="17">
        <v>2496155</v>
      </c>
      <c r="U353" s="17">
        <f>+Tabla22[[#This Row],[Meli Drop 2026]]</f>
        <v>0</v>
      </c>
      <c r="V353" s="17">
        <v>626379</v>
      </c>
      <c r="W353" s="17">
        <f>+Tabla22[[#This Row],[Meli Full 2026]]</f>
        <v>0</v>
      </c>
      <c r="X353" s="17">
        <v>144053</v>
      </c>
      <c r="Y353" s="17">
        <f>+Tabla22[[#This Row],[Amazon Drop 2026]]</f>
        <v>0</v>
      </c>
      <c r="Z353" s="17">
        <v>183327</v>
      </c>
      <c r="AA353" s="17">
        <f>+Tabla22[[#This Row],[Amazon Full 2026]]</f>
        <v>0</v>
      </c>
      <c r="AB353" s="17">
        <v>21990.379310344801</v>
      </c>
      <c r="AC353" s="17">
        <f>+Tabla22[[#This Row],[TikTok 2026]]</f>
        <v>0</v>
      </c>
      <c r="AD353" s="17">
        <v>0</v>
      </c>
      <c r="AE353" s="17">
        <f>+Tabla22[[#This Row],[Shein 2026]]</f>
        <v>0</v>
      </c>
      <c r="AF353" s="17">
        <f t="shared" si="119"/>
        <v>0</v>
      </c>
      <c r="AG353" s="18">
        <f t="shared" si="120"/>
        <v>0</v>
      </c>
      <c r="AH353" s="17">
        <f t="shared" si="121"/>
        <v>-16491338.05188093</v>
      </c>
      <c r="AI353" s="20">
        <f t="shared" si="122"/>
        <v>-1</v>
      </c>
      <c r="AJ353" s="20">
        <f t="shared" si="115"/>
        <v>0.11495336783884401</v>
      </c>
      <c r="AK353" s="21" t="e">
        <f t="shared" si="123"/>
        <v>#DIV/0!</v>
      </c>
      <c r="AL353" s="21">
        <f t="shared" si="116"/>
        <v>-1</v>
      </c>
    </row>
    <row r="354" spans="1:38" ht="14.25" customHeight="1" x14ac:dyDescent="0.35">
      <c r="A354" s="16">
        <v>46009</v>
      </c>
      <c r="B354" s="17">
        <v>89154537</v>
      </c>
      <c r="C354" s="17">
        <f t="shared" si="117"/>
        <v>7470799.1551724132</v>
      </c>
      <c r="D354" s="18">
        <f>+Tabla22[[#This Row],[Share diario]]</f>
        <v>4.9486125118818267E-2</v>
      </c>
      <c r="E354" s="17">
        <f>+Tabla22[[#This Row],[Global 2026]]</f>
        <v>0</v>
      </c>
      <c r="F354" s="19">
        <v>46373</v>
      </c>
      <c r="G354" s="17">
        <f t="shared" si="118"/>
        <v>12140564.735394981</v>
      </c>
      <c r="H354" s="17">
        <v>7561054.78128119</v>
      </c>
      <c r="I354" s="17">
        <v>4579509.9541137898</v>
      </c>
      <c r="J354" s="17">
        <v>4907692</v>
      </c>
      <c r="K354" s="17">
        <f>+Tabla22[[#This Row],[Web + APP 2026]]</f>
        <v>0</v>
      </c>
      <c r="L354" s="17">
        <v>57534.482758620703</v>
      </c>
      <c r="M354" s="17">
        <f>+Tabla22[[#This Row],[Afiliados 2026]]</f>
        <v>0</v>
      </c>
      <c r="N354" s="17">
        <v>25079</v>
      </c>
      <c r="O354" s="17">
        <f>+Tabla22[[#This Row],[TMK 2026]]</f>
        <v>0</v>
      </c>
      <c r="P354" s="17">
        <v>0</v>
      </c>
      <c r="Q354" s="17">
        <f>+Tabla22[[#This Row],[WA 2026]]</f>
        <v>0</v>
      </c>
      <c r="R354" s="17">
        <v>195871</v>
      </c>
      <c r="S354" s="17">
        <f>+Tabla22[[#This Row],[Ent. en Tienda 2026]]</f>
        <v>0</v>
      </c>
      <c r="T354" s="17">
        <v>1595724</v>
      </c>
      <c r="U354" s="17">
        <f>+Tabla22[[#This Row],[Meli Drop 2026]]</f>
        <v>0</v>
      </c>
      <c r="V354" s="17">
        <v>465815</v>
      </c>
      <c r="W354" s="17">
        <f>+Tabla22[[#This Row],[Meli Full 2026]]</f>
        <v>0</v>
      </c>
      <c r="X354" s="17">
        <v>88159</v>
      </c>
      <c r="Y354" s="17">
        <f>+Tabla22[[#This Row],[Amazon Drop 2026]]</f>
        <v>0</v>
      </c>
      <c r="Z354" s="17">
        <v>123030</v>
      </c>
      <c r="AA354" s="17">
        <f>+Tabla22[[#This Row],[Amazon Full 2026]]</f>
        <v>0</v>
      </c>
      <c r="AB354" s="17">
        <v>12842.0862068966</v>
      </c>
      <c r="AC354" s="17">
        <f>+Tabla22[[#This Row],[TikTok 2026]]</f>
        <v>0</v>
      </c>
      <c r="AD354" s="17">
        <v>-947.41379310344803</v>
      </c>
      <c r="AE354" s="17">
        <f>+Tabla22[[#This Row],[Shein 2026]]</f>
        <v>0</v>
      </c>
      <c r="AF354" s="17">
        <f t="shared" si="119"/>
        <v>0</v>
      </c>
      <c r="AG354" s="18">
        <f t="shared" si="120"/>
        <v>0</v>
      </c>
      <c r="AH354" s="17">
        <f t="shared" si="121"/>
        <v>-12140564.735394981</v>
      </c>
      <c r="AI354" s="20">
        <f t="shared" si="122"/>
        <v>-1</v>
      </c>
      <c r="AJ354" s="20">
        <f t="shared" si="115"/>
        <v>8.3796062506301991E-2</v>
      </c>
      <c r="AK354" s="21" t="e">
        <f t="shared" si="123"/>
        <v>#DIV/0!</v>
      </c>
      <c r="AL354" s="21">
        <f t="shared" si="116"/>
        <v>-1</v>
      </c>
    </row>
    <row r="355" spans="1:38" ht="14.25" customHeight="1" x14ac:dyDescent="0.35">
      <c r="A355" s="19">
        <v>46010</v>
      </c>
      <c r="B355" s="17">
        <v>93901132</v>
      </c>
      <c r="C355" s="17">
        <f t="shared" si="117"/>
        <v>6049900.5086206896</v>
      </c>
      <c r="D355" s="18">
        <f>+Tabla22[[#This Row],[Share diario]]</f>
        <v>3.9760131395216343E-2</v>
      </c>
      <c r="E355" s="17">
        <f>+Tabla22[[#This Row],[Global 2026]]</f>
        <v>0</v>
      </c>
      <c r="F355" s="19">
        <v>46374</v>
      </c>
      <c r="G355" s="17">
        <f t="shared" si="118"/>
        <v>9743710.1453950405</v>
      </c>
      <c r="H355" s="17">
        <v>6730248.0431377003</v>
      </c>
      <c r="I355" s="17">
        <v>3013462.1022573402</v>
      </c>
      <c r="J355" s="17">
        <v>4233630</v>
      </c>
      <c r="K355" s="17">
        <f>+Tabla22[[#This Row],[Web + APP 2026]]</f>
        <v>0</v>
      </c>
      <c r="L355" s="17">
        <v>55192.241379310297</v>
      </c>
      <c r="M355" s="17">
        <f>+Tabla22[[#This Row],[Afiliados 2026]]</f>
        <v>0</v>
      </c>
      <c r="N355" s="17">
        <v>61571</v>
      </c>
      <c r="O355" s="17">
        <f>+Tabla22[[#This Row],[TMK 2026]]</f>
        <v>0</v>
      </c>
      <c r="P355" s="17">
        <v>1807</v>
      </c>
      <c r="Q355" s="17">
        <f>+Tabla22[[#This Row],[WA 2026]]</f>
        <v>0</v>
      </c>
      <c r="R355" s="17">
        <v>260142</v>
      </c>
      <c r="S355" s="17">
        <f>+Tabla22[[#This Row],[Ent. en Tienda 2026]]</f>
        <v>0</v>
      </c>
      <c r="T355" s="17">
        <v>910724</v>
      </c>
      <c r="U355" s="17">
        <f>+Tabla22[[#This Row],[Meli Drop 2026]]</f>
        <v>0</v>
      </c>
      <c r="V355" s="17">
        <v>311790</v>
      </c>
      <c r="W355" s="17">
        <f>+Tabla22[[#This Row],[Meli Full 2026]]</f>
        <v>0</v>
      </c>
      <c r="X355" s="17">
        <v>88213</v>
      </c>
      <c r="Y355" s="17">
        <f>+Tabla22[[#This Row],[Amazon Drop 2026]]</f>
        <v>0</v>
      </c>
      <c r="Z355" s="17">
        <v>121448</v>
      </c>
      <c r="AA355" s="17">
        <f>+Tabla22[[#This Row],[Amazon Full 2026]]</f>
        <v>0</v>
      </c>
      <c r="AB355" s="17">
        <v>5383.2672413793098</v>
      </c>
      <c r="AC355" s="17">
        <f>+Tabla22[[#This Row],[TikTok 2026]]</f>
        <v>0</v>
      </c>
      <c r="AD355" s="17">
        <v>0</v>
      </c>
      <c r="AE355" s="17">
        <f>+Tabla22[[#This Row],[Shein 2026]]</f>
        <v>0</v>
      </c>
      <c r="AF355" s="17">
        <f t="shared" si="119"/>
        <v>0</v>
      </c>
      <c r="AG355" s="18">
        <f t="shared" si="120"/>
        <v>0</v>
      </c>
      <c r="AH355" s="17">
        <f t="shared" si="121"/>
        <v>-9743710.1453950405</v>
      </c>
      <c r="AI355" s="20">
        <f t="shared" si="122"/>
        <v>-1</v>
      </c>
      <c r="AJ355" s="20">
        <f t="shared" si="115"/>
        <v>6.442840868649688E-2</v>
      </c>
      <c r="AK355" s="21" t="e">
        <f t="shared" si="123"/>
        <v>#DIV/0!</v>
      </c>
      <c r="AL355" s="21">
        <f t="shared" si="116"/>
        <v>-1</v>
      </c>
    </row>
    <row r="356" spans="1:38" ht="14.25" customHeight="1" x14ac:dyDescent="0.35">
      <c r="A356" s="16">
        <v>46011</v>
      </c>
      <c r="B356" s="17">
        <v>109415421</v>
      </c>
      <c r="C356" s="17">
        <f t="shared" si="117"/>
        <v>5251245.3103448274</v>
      </c>
      <c r="D356" s="18">
        <f>+Tabla22[[#This Row],[Share diario]]</f>
        <v>3.2198006418657825E-2</v>
      </c>
      <c r="E356" s="17">
        <f>+Tabla22[[#This Row],[Global 2026]]</f>
        <v>0</v>
      </c>
      <c r="F356" s="19">
        <v>46375</v>
      </c>
      <c r="G356" s="17">
        <f t="shared" si="118"/>
        <v>7881734.6451879498</v>
      </c>
      <c r="H356" s="17">
        <v>5985567.1027632495</v>
      </c>
      <c r="I356" s="17">
        <v>1896167.5424247</v>
      </c>
      <c r="J356" s="17">
        <v>3162185</v>
      </c>
      <c r="K356" s="17">
        <f>+Tabla22[[#This Row],[Web + APP 2026]]</f>
        <v>0</v>
      </c>
      <c r="L356" s="17">
        <v>56364.655172413797</v>
      </c>
      <c r="M356" s="17">
        <f>+Tabla22[[#This Row],[Afiliados 2026]]</f>
        <v>0</v>
      </c>
      <c r="N356" s="17">
        <v>11112</v>
      </c>
      <c r="O356" s="17">
        <f>+Tabla22[[#This Row],[TMK 2026]]</f>
        <v>0</v>
      </c>
      <c r="P356" s="17">
        <v>6379</v>
      </c>
      <c r="Q356" s="17">
        <f>+Tabla22[[#This Row],[WA 2026]]</f>
        <v>0</v>
      </c>
      <c r="R356" s="17">
        <v>167453</v>
      </c>
      <c r="S356" s="17">
        <f>+Tabla22[[#This Row],[Ent. en Tienda 2026]]</f>
        <v>0</v>
      </c>
      <c r="T356" s="17">
        <v>1460290</v>
      </c>
      <c r="U356" s="17">
        <f>+Tabla22[[#This Row],[Meli Drop 2026]]</f>
        <v>0</v>
      </c>
      <c r="V356" s="17">
        <v>236261</v>
      </c>
      <c r="W356" s="17">
        <f>+Tabla22[[#This Row],[Meli Full 2026]]</f>
        <v>0</v>
      </c>
      <c r="X356" s="17">
        <v>60838</v>
      </c>
      <c r="Y356" s="17">
        <f>+Tabla22[[#This Row],[Amazon Drop 2026]]</f>
        <v>0</v>
      </c>
      <c r="Z356" s="17">
        <v>88123</v>
      </c>
      <c r="AA356" s="17">
        <f>+Tabla22[[#This Row],[Amazon Full 2026]]</f>
        <v>0</v>
      </c>
      <c r="AB356" s="17">
        <v>2239.6551724137898</v>
      </c>
      <c r="AC356" s="17">
        <f>+Tabla22[[#This Row],[TikTok 2026]]</f>
        <v>0</v>
      </c>
      <c r="AD356" s="17">
        <v>0</v>
      </c>
      <c r="AE356" s="17">
        <f>+Tabla22[[#This Row],[Shein 2026]]</f>
        <v>0</v>
      </c>
      <c r="AF356" s="17">
        <f t="shared" si="119"/>
        <v>0</v>
      </c>
      <c r="AG356" s="18">
        <f t="shared" si="120"/>
        <v>0</v>
      </c>
      <c r="AH356" s="17">
        <f t="shared" si="121"/>
        <v>-7881734.6451879498</v>
      </c>
      <c r="AI356" s="20">
        <f t="shared" si="122"/>
        <v>-1</v>
      </c>
      <c r="AJ356" s="20">
        <f t="shared" si="115"/>
        <v>4.7993648997108257E-2</v>
      </c>
      <c r="AK356" s="21" t="e">
        <f t="shared" si="123"/>
        <v>#DIV/0!</v>
      </c>
      <c r="AL356" s="21">
        <f t="shared" si="116"/>
        <v>-1</v>
      </c>
    </row>
    <row r="357" spans="1:38" ht="14.25" customHeight="1" x14ac:dyDescent="0.35">
      <c r="A357" s="19">
        <v>46012</v>
      </c>
      <c r="B357" s="17">
        <v>127581576</v>
      </c>
      <c r="C357" s="17">
        <f t="shared" si="117"/>
        <v>4687263.7499999991</v>
      </c>
      <c r="D357" s="18">
        <f>+Tabla22[[#This Row],[Share diario]]</f>
        <v>2.7947505908155475E-2</v>
      </c>
      <c r="E357" s="17">
        <f>+Tabla22[[#This Row],[Global 2026]]</f>
        <v>0</v>
      </c>
      <c r="F357" s="19">
        <v>46376</v>
      </c>
      <c r="G357" s="17">
        <f t="shared" si="118"/>
        <v>6854030.7340119798</v>
      </c>
      <c r="H357" s="17">
        <v>4416810.0697513102</v>
      </c>
      <c r="I357" s="17">
        <v>2437220.6642606701</v>
      </c>
      <c r="J357" s="17">
        <v>3267153</v>
      </c>
      <c r="K357" s="17">
        <f>+Tabla22[[#This Row],[Web + APP 2026]]</f>
        <v>0</v>
      </c>
      <c r="L357" s="17">
        <v>67824.137931034493</v>
      </c>
      <c r="M357" s="17">
        <f>+Tabla22[[#This Row],[Afiliados 2026]]</f>
        <v>0</v>
      </c>
      <c r="N357" s="17">
        <v>8034</v>
      </c>
      <c r="O357" s="17">
        <f>+Tabla22[[#This Row],[TMK 2026]]</f>
        <v>0</v>
      </c>
      <c r="P357" s="17">
        <v>4687</v>
      </c>
      <c r="Q357" s="17">
        <f>+Tabla22[[#This Row],[WA 2026]]</f>
        <v>0</v>
      </c>
      <c r="R357" s="17">
        <v>221631</v>
      </c>
      <c r="S357" s="17">
        <f>+Tabla22[[#This Row],[Ent. en Tienda 2026]]</f>
        <v>0</v>
      </c>
      <c r="T357" s="17">
        <v>682525</v>
      </c>
      <c r="U357" s="17">
        <f>+Tabla22[[#This Row],[Meli Drop 2026]]</f>
        <v>0</v>
      </c>
      <c r="V357" s="17">
        <v>246073</v>
      </c>
      <c r="W357" s="17">
        <f>+Tabla22[[#This Row],[Meli Full 2026]]</f>
        <v>0</v>
      </c>
      <c r="X357" s="17">
        <v>84110</v>
      </c>
      <c r="Y357" s="17">
        <f>+Tabla22[[#This Row],[Amazon Drop 2026]]</f>
        <v>0</v>
      </c>
      <c r="Z357" s="17">
        <v>101881</v>
      </c>
      <c r="AA357" s="17">
        <f>+Tabla22[[#This Row],[Amazon Full 2026]]</f>
        <v>0</v>
      </c>
      <c r="AB357" s="17">
        <v>2570.6120689655199</v>
      </c>
      <c r="AC357" s="17">
        <f>+Tabla22[[#This Row],[TikTok 2026]]</f>
        <v>0</v>
      </c>
      <c r="AD357" s="17">
        <v>775</v>
      </c>
      <c r="AE357" s="17">
        <f>+Tabla22[[#This Row],[Shein 2026]]</f>
        <v>0</v>
      </c>
      <c r="AF357" s="17">
        <f t="shared" si="119"/>
        <v>0</v>
      </c>
      <c r="AG357" s="18">
        <f t="shared" si="120"/>
        <v>0</v>
      </c>
      <c r="AH357" s="17">
        <f t="shared" si="121"/>
        <v>-6854030.7340119798</v>
      </c>
      <c r="AI357" s="20">
        <f t="shared" si="122"/>
        <v>-1</v>
      </c>
      <c r="AJ357" s="20">
        <f t="shared" si="115"/>
        <v>3.6739346674946223E-2</v>
      </c>
      <c r="AK357" s="21" t="e">
        <f t="shared" si="123"/>
        <v>#DIV/0!</v>
      </c>
      <c r="AL357" s="21">
        <f t="shared" si="116"/>
        <v>-1</v>
      </c>
    </row>
    <row r="358" spans="1:38" ht="14.25" customHeight="1" x14ac:dyDescent="0.35">
      <c r="A358" s="16">
        <v>46013</v>
      </c>
      <c r="B358" s="17">
        <v>111476439</v>
      </c>
      <c r="C358" s="17">
        <f t="shared" si="117"/>
        <v>6561160.5</v>
      </c>
      <c r="D358" s="18">
        <f>+Tabla22[[#This Row],[Share diario]]</f>
        <v>2.4945955407595675E-2</v>
      </c>
      <c r="E358" s="17">
        <f>+Tabla22[[#This Row],[Global 2026]]</f>
        <v>0</v>
      </c>
      <c r="F358" s="19">
        <v>46377</v>
      </c>
      <c r="G358" s="17">
        <f t="shared" si="118"/>
        <v>6106597.1445624493</v>
      </c>
      <c r="H358" s="17">
        <v>4632019.4705554498</v>
      </c>
      <c r="I358" s="17">
        <v>1474577.6740069999</v>
      </c>
      <c r="J358" s="17">
        <v>3485137</v>
      </c>
      <c r="K358" s="17">
        <f>+Tabla22[[#This Row],[Web + APP 2026]]</f>
        <v>0</v>
      </c>
      <c r="L358" s="17">
        <v>49748.275862069</v>
      </c>
      <c r="M358" s="17">
        <f>+Tabla22[[#This Row],[Afiliados 2026]]</f>
        <v>0</v>
      </c>
      <c r="N358" s="17">
        <v>47955</v>
      </c>
      <c r="O358" s="17">
        <f>+Tabla22[[#This Row],[TMK 2026]]</f>
        <v>0</v>
      </c>
      <c r="P358" s="17">
        <v>5639</v>
      </c>
      <c r="Q358" s="17">
        <f>+Tabla22[[#This Row],[WA 2026]]</f>
        <v>0</v>
      </c>
      <c r="R358" s="17">
        <v>157781</v>
      </c>
      <c r="S358" s="17">
        <f>+Tabla22[[#This Row],[Ent. en Tienda 2026]]</f>
        <v>0</v>
      </c>
      <c r="T358" s="17">
        <v>2394236</v>
      </c>
      <c r="U358" s="17">
        <f>+Tabla22[[#This Row],[Meli Drop 2026]]</f>
        <v>0</v>
      </c>
      <c r="V358" s="17">
        <v>262249</v>
      </c>
      <c r="W358" s="17">
        <f>+Tabla22[[#This Row],[Meli Full 2026]]</f>
        <v>0</v>
      </c>
      <c r="X358" s="17">
        <v>63093</v>
      </c>
      <c r="Y358" s="17">
        <f>+Tabla22[[#This Row],[Amazon Drop 2026]]</f>
        <v>0</v>
      </c>
      <c r="Z358" s="17">
        <v>90524</v>
      </c>
      <c r="AA358" s="17">
        <f>+Tabla22[[#This Row],[Amazon Full 2026]]</f>
        <v>0</v>
      </c>
      <c r="AB358" s="17">
        <v>4798.2241379310399</v>
      </c>
      <c r="AC358" s="17">
        <f>+Tabla22[[#This Row],[TikTok 2026]]</f>
        <v>0</v>
      </c>
      <c r="AD358" s="17">
        <v>0</v>
      </c>
      <c r="AE358" s="17">
        <f>+Tabla22[[#This Row],[Shein 2026]]</f>
        <v>0</v>
      </c>
      <c r="AF358" s="17">
        <f t="shared" si="119"/>
        <v>0</v>
      </c>
      <c r="AG358" s="18">
        <f t="shared" si="120"/>
        <v>0</v>
      </c>
      <c r="AH358" s="17">
        <f t="shared" si="121"/>
        <v>-6106597.1445624493</v>
      </c>
      <c r="AI358" s="20">
        <f t="shared" si="122"/>
        <v>-1</v>
      </c>
      <c r="AJ358" s="20">
        <f t="shared" si="115"/>
        <v>5.8856925811919772E-2</v>
      </c>
      <c r="AK358" s="21" t="e">
        <f t="shared" si="123"/>
        <v>#DIV/0!</v>
      </c>
      <c r="AL358" s="21">
        <f t="shared" si="116"/>
        <v>-1</v>
      </c>
    </row>
    <row r="359" spans="1:38" ht="14.25" customHeight="1" x14ac:dyDescent="0.35">
      <c r="A359" s="19">
        <v>46014</v>
      </c>
      <c r="B359" s="17">
        <v>111875362</v>
      </c>
      <c r="C359" s="17">
        <f t="shared" si="117"/>
        <v>4108429.8362068967</v>
      </c>
      <c r="D359" s="18">
        <f>+Tabla22[[#This Row],[Share diario]]</f>
        <v>3.4918968930450774E-2</v>
      </c>
      <c r="E359" s="17">
        <f>+Tabla22[[#This Row],[Global 2026]]</f>
        <v>0</v>
      </c>
      <c r="F359" s="19">
        <v>46378</v>
      </c>
      <c r="G359" s="17">
        <f t="shared" si="118"/>
        <v>8574536.6079675406</v>
      </c>
      <c r="H359" s="17">
        <v>4861628.01719655</v>
      </c>
      <c r="I359" s="17">
        <v>3712908.5907709901</v>
      </c>
      <c r="J359" s="17">
        <v>3161304</v>
      </c>
      <c r="K359" s="17">
        <f>+Tabla22[[#This Row],[Web + APP 2026]]</f>
        <v>0</v>
      </c>
      <c r="L359" s="17">
        <v>49668.965517241399</v>
      </c>
      <c r="M359" s="17">
        <f>+Tabla22[[#This Row],[Afiliados 2026]]</f>
        <v>0</v>
      </c>
      <c r="N359" s="17">
        <v>40624</v>
      </c>
      <c r="O359" s="17">
        <f>+Tabla22[[#This Row],[TMK 2026]]</f>
        <v>0</v>
      </c>
      <c r="P359" s="17">
        <v>2572</v>
      </c>
      <c r="Q359" s="17">
        <f>+Tabla22[[#This Row],[WA 2026]]</f>
        <v>0</v>
      </c>
      <c r="R359" s="17">
        <v>106256</v>
      </c>
      <c r="S359" s="17">
        <f>+Tabla22[[#This Row],[Ent. en Tienda 2026]]</f>
        <v>0</v>
      </c>
      <c r="T359" s="17">
        <v>434393</v>
      </c>
      <c r="U359" s="17">
        <f>+Tabla22[[#This Row],[Meli Drop 2026]]</f>
        <v>0</v>
      </c>
      <c r="V359" s="17">
        <v>198282</v>
      </c>
      <c r="W359" s="17">
        <f>+Tabla22[[#This Row],[Meli Full 2026]]</f>
        <v>0</v>
      </c>
      <c r="X359" s="17">
        <v>42615</v>
      </c>
      <c r="Y359" s="17">
        <f>+Tabla22[[#This Row],[Amazon Drop 2026]]</f>
        <v>0</v>
      </c>
      <c r="Z359" s="17">
        <v>57674</v>
      </c>
      <c r="AA359" s="17">
        <f>+Tabla22[[#This Row],[Amazon Full 2026]]</f>
        <v>0</v>
      </c>
      <c r="AB359" s="17">
        <v>15040.870689655199</v>
      </c>
      <c r="AC359" s="17">
        <f>+Tabla22[[#This Row],[TikTok 2026]]</f>
        <v>0</v>
      </c>
      <c r="AD359" s="17">
        <v>0</v>
      </c>
      <c r="AE359" s="17">
        <f>+Tabla22[[#This Row],[Shein 2026]]</f>
        <v>0</v>
      </c>
      <c r="AF359" s="17">
        <f t="shared" si="119"/>
        <v>0</v>
      </c>
      <c r="AG359" s="18">
        <f t="shared" si="120"/>
        <v>0</v>
      </c>
      <c r="AH359" s="17">
        <f t="shared" si="121"/>
        <v>-8574536.6079675406</v>
      </c>
      <c r="AI359" s="20">
        <f t="shared" si="122"/>
        <v>-1</v>
      </c>
      <c r="AJ359" s="20">
        <f t="shared" si="115"/>
        <v>3.6723276356476924E-2</v>
      </c>
      <c r="AK359" s="21" t="e">
        <f t="shared" si="123"/>
        <v>#DIV/0!</v>
      </c>
      <c r="AL359" s="21">
        <f t="shared" si="116"/>
        <v>-1</v>
      </c>
    </row>
    <row r="360" spans="1:38" ht="14.25" customHeight="1" x14ac:dyDescent="0.35">
      <c r="A360" s="16">
        <v>46015</v>
      </c>
      <c r="B360" s="17">
        <v>53918132</v>
      </c>
      <c r="C360" s="17">
        <f t="shared" si="117"/>
        <v>2237073.1465517241</v>
      </c>
      <c r="D360" s="18">
        <f>+Tabla22[[#This Row],[Share diario]]</f>
        <v>2.1865359611831715E-2</v>
      </c>
      <c r="E360" s="17">
        <f>+Tabla22[[#This Row],[Global 2026]]</f>
        <v>0</v>
      </c>
      <c r="F360" s="19">
        <v>46379</v>
      </c>
      <c r="G360" s="17">
        <f t="shared" si="118"/>
        <v>5347551.7033749828</v>
      </c>
      <c r="H360" s="17">
        <v>4360918.6119045001</v>
      </c>
      <c r="I360" s="17">
        <v>986633.09147048299</v>
      </c>
      <c r="J360" s="17">
        <v>1627852</v>
      </c>
      <c r="K360" s="17">
        <f>+Tabla22[[#This Row],[Web + APP 2026]]</f>
        <v>0</v>
      </c>
      <c r="L360" s="17">
        <v>28223.275862069</v>
      </c>
      <c r="M360" s="17">
        <f>+Tabla22[[#This Row],[Afiliados 2026]]</f>
        <v>0</v>
      </c>
      <c r="N360" s="17">
        <v>5195</v>
      </c>
      <c r="O360" s="17">
        <f>+Tabla22[[#This Row],[TMK 2026]]</f>
        <v>0</v>
      </c>
      <c r="P360" s="17">
        <v>3081</v>
      </c>
      <c r="Q360" s="17">
        <f>+Tabla22[[#This Row],[WA 2026]]</f>
        <v>0</v>
      </c>
      <c r="R360" s="17">
        <v>156813</v>
      </c>
      <c r="S360" s="17">
        <f>+Tabla22[[#This Row],[Ent. en Tienda 2026]]</f>
        <v>0</v>
      </c>
      <c r="T360" s="17">
        <v>160817</v>
      </c>
      <c r="U360" s="17">
        <f>+Tabla22[[#This Row],[Meli Drop 2026]]</f>
        <v>0</v>
      </c>
      <c r="V360" s="17">
        <v>185477</v>
      </c>
      <c r="W360" s="17">
        <f>+Tabla22[[#This Row],[Meli Full 2026]]</f>
        <v>0</v>
      </c>
      <c r="X360" s="17">
        <v>29110</v>
      </c>
      <c r="Y360" s="17">
        <f>+Tabla22[[#This Row],[Amazon Drop 2026]]</f>
        <v>0</v>
      </c>
      <c r="Z360" s="17">
        <v>38376</v>
      </c>
      <c r="AA360" s="17">
        <f>+Tabla22[[#This Row],[Amazon Full 2026]]</f>
        <v>0</v>
      </c>
      <c r="AB360" s="17">
        <v>2128.8706896551698</v>
      </c>
      <c r="AC360" s="17">
        <f>+Tabla22[[#This Row],[TikTok 2026]]</f>
        <v>0</v>
      </c>
      <c r="AD360" s="17">
        <v>0</v>
      </c>
      <c r="AE360" s="17">
        <f>+Tabla22[[#This Row],[Shein 2026]]</f>
        <v>0</v>
      </c>
      <c r="AF360" s="17">
        <f t="shared" si="119"/>
        <v>0</v>
      </c>
      <c r="AG360" s="18">
        <f t="shared" si="120"/>
        <v>0</v>
      </c>
      <c r="AH360" s="17">
        <f t="shared" si="121"/>
        <v>-5347551.7033749828</v>
      </c>
      <c r="AI360" s="20">
        <f t="shared" si="122"/>
        <v>-1</v>
      </c>
      <c r="AJ360" s="20">
        <f t="shared" si="115"/>
        <v>4.149018268199136E-2</v>
      </c>
      <c r="AK360" s="21" t="e">
        <f t="shared" si="123"/>
        <v>#DIV/0!</v>
      </c>
      <c r="AL360" s="21">
        <f t="shared" si="116"/>
        <v>-1</v>
      </c>
    </row>
    <row r="361" spans="1:38" ht="14.25" customHeight="1" x14ac:dyDescent="0.35">
      <c r="A361" s="19">
        <v>46016</v>
      </c>
      <c r="B361" s="17">
        <v>2799799</v>
      </c>
      <c r="C361" s="17">
        <f t="shared" si="117"/>
        <v>2842941.5862068967</v>
      </c>
      <c r="D361" s="18">
        <f>+Tabla22[[#This Row],[Share diario]]</f>
        <v>1.1905864473150047E-2</v>
      </c>
      <c r="E361" s="17">
        <f>+Tabla22[[#This Row],[Global 2026]]</f>
        <v>0</v>
      </c>
      <c r="F361" s="19">
        <v>46380</v>
      </c>
      <c r="G361" s="17">
        <f t="shared" si="118"/>
        <v>2911968.3938946808</v>
      </c>
      <c r="H361" s="17">
        <v>2363376.4382297499</v>
      </c>
      <c r="I361" s="17">
        <v>548591.95566493098</v>
      </c>
      <c r="J361" s="17">
        <v>1583968</v>
      </c>
      <c r="K361" s="17">
        <f>+Tabla22[[#This Row],[Web + APP 2026]]</f>
        <v>0</v>
      </c>
      <c r="L361" s="17">
        <v>20177.586206896602</v>
      </c>
      <c r="M361" s="17">
        <f>+Tabla22[[#This Row],[Afiliados 2026]]</f>
        <v>0</v>
      </c>
      <c r="N361" s="17">
        <v>-301</v>
      </c>
      <c r="O361" s="17">
        <f>+Tabla22[[#This Row],[TMK 2026]]</f>
        <v>0</v>
      </c>
      <c r="P361" s="17">
        <v>875</v>
      </c>
      <c r="Q361" s="17">
        <f>+Tabla22[[#This Row],[WA 2026]]</f>
        <v>0</v>
      </c>
      <c r="R361" s="17">
        <v>875</v>
      </c>
      <c r="S361" s="17">
        <f>+Tabla22[[#This Row],[Ent. en Tienda 2026]]</f>
        <v>0</v>
      </c>
      <c r="T361" s="17">
        <v>937342</v>
      </c>
      <c r="U361" s="17">
        <f>+Tabla22[[#This Row],[Meli Drop 2026]]</f>
        <v>0</v>
      </c>
      <c r="V361" s="17">
        <v>208467</v>
      </c>
      <c r="W361" s="17">
        <f>+Tabla22[[#This Row],[Meli Full 2026]]</f>
        <v>0</v>
      </c>
      <c r="X361" s="17">
        <v>42593</v>
      </c>
      <c r="Y361" s="17">
        <f>+Tabla22[[#This Row],[Amazon Drop 2026]]</f>
        <v>0</v>
      </c>
      <c r="Z361" s="17">
        <v>48945</v>
      </c>
      <c r="AA361" s="17">
        <f>+Tabla22[[#This Row],[Amazon Full 2026]]</f>
        <v>0</v>
      </c>
      <c r="AB361" s="17">
        <v>0</v>
      </c>
      <c r="AC361" s="17">
        <f>+Tabla22[[#This Row],[TikTok 2026]]</f>
        <v>0</v>
      </c>
      <c r="AD361" s="17">
        <v>0</v>
      </c>
      <c r="AE361" s="17">
        <f>+Tabla22[[#This Row],[Shein 2026]]</f>
        <v>0</v>
      </c>
      <c r="AF361" s="17">
        <f t="shared" si="119"/>
        <v>0</v>
      </c>
      <c r="AG361" s="18">
        <f t="shared" si="120"/>
        <v>0</v>
      </c>
      <c r="AH361" s="17">
        <f t="shared" si="121"/>
        <v>-2911968.3938946808</v>
      </c>
      <c r="AI361" s="20">
        <f t="shared" si="122"/>
        <v>-1</v>
      </c>
      <c r="AJ361" s="20">
        <f t="shared" si="115"/>
        <v>1.0154091726609291</v>
      </c>
      <c r="AK361" s="21" t="e">
        <f t="shared" si="123"/>
        <v>#DIV/0!</v>
      </c>
      <c r="AL361" s="21">
        <f t="shared" si="116"/>
        <v>-1</v>
      </c>
    </row>
    <row r="362" spans="1:38" ht="14.25" customHeight="1" x14ac:dyDescent="0.35">
      <c r="A362" s="16">
        <v>46017</v>
      </c>
      <c r="B362" s="17">
        <v>53118932</v>
      </c>
      <c r="C362" s="17">
        <f t="shared" si="117"/>
        <v>4128285.5862068967</v>
      </c>
      <c r="D362" s="18">
        <f>+Tabla22[[#This Row],[Share diario]]</f>
        <v>1.5130339963463028E-2</v>
      </c>
      <c r="E362" s="17">
        <f>+Tabla22[[#This Row],[Global 2026]]</f>
        <v>0</v>
      </c>
      <c r="F362" s="19">
        <v>46381</v>
      </c>
      <c r="G362" s="17">
        <f t="shared" si="118"/>
        <v>3715710.5043031201</v>
      </c>
      <c r="H362" s="17">
        <v>2083625.5491528299</v>
      </c>
      <c r="I362" s="17">
        <v>1632084.9551502899</v>
      </c>
      <c r="J362" s="17">
        <v>2721769</v>
      </c>
      <c r="K362" s="17">
        <f>+Tabla22[[#This Row],[Web + APP 2026]]</f>
        <v>0</v>
      </c>
      <c r="L362" s="17">
        <v>46586.206896551703</v>
      </c>
      <c r="M362" s="17">
        <f>+Tabla22[[#This Row],[Afiliados 2026]]</f>
        <v>0</v>
      </c>
      <c r="N362" s="17">
        <v>3089</v>
      </c>
      <c r="O362" s="17">
        <f>+Tabla22[[#This Row],[TMK 2026]]</f>
        <v>0</v>
      </c>
      <c r="P362" s="17">
        <v>3108</v>
      </c>
      <c r="Q362" s="17">
        <f>+Tabla22[[#This Row],[WA 2026]]</f>
        <v>0</v>
      </c>
      <c r="R362" s="17">
        <v>141923</v>
      </c>
      <c r="S362" s="17">
        <f>+Tabla22[[#This Row],[Ent. en Tienda 2026]]</f>
        <v>0</v>
      </c>
      <c r="T362" s="17">
        <v>871637</v>
      </c>
      <c r="U362" s="17">
        <f>+Tabla22[[#This Row],[Meli Drop 2026]]</f>
        <v>0</v>
      </c>
      <c r="V362" s="17">
        <v>261080</v>
      </c>
      <c r="W362" s="17">
        <f>+Tabla22[[#This Row],[Meli Full 2026]]</f>
        <v>0</v>
      </c>
      <c r="X362" s="17">
        <v>31394</v>
      </c>
      <c r="Y362" s="17">
        <f>+Tabla22[[#This Row],[Amazon Drop 2026]]</f>
        <v>0</v>
      </c>
      <c r="Z362" s="17">
        <v>47183</v>
      </c>
      <c r="AA362" s="17">
        <f>+Tabla22[[#This Row],[Amazon Full 2026]]</f>
        <v>0</v>
      </c>
      <c r="AB362" s="17">
        <v>516.37931034482801</v>
      </c>
      <c r="AC362" s="17">
        <f>+Tabla22[[#This Row],[TikTok 2026]]</f>
        <v>0</v>
      </c>
      <c r="AD362" s="17">
        <v>0</v>
      </c>
      <c r="AE362" s="17">
        <f>+Tabla22[[#This Row],[Shein 2026]]</f>
        <v>0</v>
      </c>
      <c r="AF362" s="17">
        <f t="shared" si="119"/>
        <v>0</v>
      </c>
      <c r="AG362" s="18">
        <f t="shared" si="120"/>
        <v>0</v>
      </c>
      <c r="AH362" s="17">
        <f t="shared" si="121"/>
        <v>-3715710.5043031201</v>
      </c>
      <c r="AI362" s="20">
        <f t="shared" si="122"/>
        <v>-1</v>
      </c>
      <c r="AJ362" s="20">
        <f t="shared" si="115"/>
        <v>7.7717782168641808E-2</v>
      </c>
      <c r="AK362" s="21" t="e">
        <f t="shared" si="123"/>
        <v>#DIV/0!</v>
      </c>
      <c r="AL362" s="21">
        <f t="shared" si="116"/>
        <v>-1</v>
      </c>
    </row>
    <row r="363" spans="1:38" ht="14.25" customHeight="1" x14ac:dyDescent="0.35">
      <c r="A363" s="19">
        <v>46018</v>
      </c>
      <c r="B363" s="17">
        <v>58987154</v>
      </c>
      <c r="C363" s="17">
        <f t="shared" si="117"/>
        <v>3405226.3448275863</v>
      </c>
      <c r="D363" s="18">
        <f>+Tabla22[[#This Row],[Share diario]]</f>
        <v>2.1971033343992481E-2</v>
      </c>
      <c r="E363" s="17">
        <f>+Tabla22[[#This Row],[Global 2026]]</f>
        <v>0</v>
      </c>
      <c r="F363" s="19">
        <v>46382</v>
      </c>
      <c r="G363" s="17">
        <f t="shared" si="118"/>
        <v>5383194.09358921</v>
      </c>
      <c r="H363" s="17">
        <v>3784792.4418557999</v>
      </c>
      <c r="I363" s="17">
        <v>1598401.6517334101</v>
      </c>
      <c r="J363" s="17">
        <v>2337835</v>
      </c>
      <c r="K363" s="17">
        <f>+Tabla22[[#This Row],[Web + APP 2026]]</f>
        <v>0</v>
      </c>
      <c r="L363" s="17">
        <v>29682.758620689699</v>
      </c>
      <c r="M363" s="17">
        <f>+Tabla22[[#This Row],[Afiliados 2026]]</f>
        <v>0</v>
      </c>
      <c r="N363" s="17">
        <v>28710</v>
      </c>
      <c r="O363" s="17">
        <f>+Tabla22[[#This Row],[TMK 2026]]</f>
        <v>0</v>
      </c>
      <c r="P363" s="17">
        <v>1996</v>
      </c>
      <c r="Q363" s="17">
        <f>+Tabla22[[#This Row],[WA 2026]]</f>
        <v>0</v>
      </c>
      <c r="R363" s="17">
        <v>81564</v>
      </c>
      <c r="S363" s="17">
        <f>+Tabla22[[#This Row],[Ent. en Tienda 2026]]</f>
        <v>0</v>
      </c>
      <c r="T363" s="17">
        <v>580797</v>
      </c>
      <c r="U363" s="17">
        <f>+Tabla22[[#This Row],[Meli Drop 2026]]</f>
        <v>0</v>
      </c>
      <c r="V363" s="17">
        <v>266643</v>
      </c>
      <c r="W363" s="17">
        <f>+Tabla22[[#This Row],[Meli Full 2026]]</f>
        <v>0</v>
      </c>
      <c r="X363" s="17">
        <v>33335</v>
      </c>
      <c r="Y363" s="17">
        <f>+Tabla22[[#This Row],[Amazon Drop 2026]]</f>
        <v>0</v>
      </c>
      <c r="Z363" s="17">
        <v>43286</v>
      </c>
      <c r="AA363" s="17">
        <f>+Tabla22[[#This Row],[Amazon Full 2026]]</f>
        <v>0</v>
      </c>
      <c r="AB363" s="17">
        <v>1377.58620689655</v>
      </c>
      <c r="AC363" s="17">
        <f>+Tabla22[[#This Row],[TikTok 2026]]</f>
        <v>0</v>
      </c>
      <c r="AD363" s="17">
        <v>0</v>
      </c>
      <c r="AE363" s="17">
        <f>+Tabla22[[#This Row],[Shein 2026]]</f>
        <v>0</v>
      </c>
      <c r="AF363" s="17">
        <f t="shared" si="119"/>
        <v>0</v>
      </c>
      <c r="AG363" s="18">
        <f t="shared" si="120"/>
        <v>0</v>
      </c>
      <c r="AH363" s="17">
        <f t="shared" si="121"/>
        <v>-5383194.09358921</v>
      </c>
      <c r="AI363" s="20">
        <f t="shared" si="122"/>
        <v>-1</v>
      </c>
      <c r="AJ363" s="20">
        <f t="shared" si="115"/>
        <v>5.7728269867496684E-2</v>
      </c>
      <c r="AK363" s="21" t="e">
        <f t="shared" si="123"/>
        <v>#DIV/0!</v>
      </c>
      <c r="AL363" s="21">
        <f t="shared" si="116"/>
        <v>-1</v>
      </c>
    </row>
    <row r="364" spans="1:38" ht="14.25" customHeight="1" x14ac:dyDescent="0.35">
      <c r="A364" s="16">
        <v>46019</v>
      </c>
      <c r="B364" s="17">
        <v>66407159</v>
      </c>
      <c r="C364" s="17">
        <f t="shared" si="117"/>
        <v>3439686.8965517241</v>
      </c>
      <c r="D364" s="18">
        <f>+Tabla22[[#This Row],[Share diario]]</f>
        <v>1.8122859962987788E-2</v>
      </c>
      <c r="E364" s="17">
        <f>+Tabla22[[#This Row],[Global 2026]]</f>
        <v>0</v>
      </c>
      <c r="F364" s="19">
        <v>46383</v>
      </c>
      <c r="G364" s="17">
        <f t="shared" si="118"/>
        <v>4438762.4189326297</v>
      </c>
      <c r="H364" s="17">
        <v>3218090.7775387201</v>
      </c>
      <c r="I364" s="17">
        <v>1220671.6413939099</v>
      </c>
      <c r="J364" s="17">
        <v>2361733</v>
      </c>
      <c r="K364" s="17">
        <f>+Tabla22[[#This Row],[Web + APP 2026]]</f>
        <v>0</v>
      </c>
      <c r="L364" s="17">
        <v>46006.896551724101</v>
      </c>
      <c r="M364" s="17">
        <f>+Tabla22[[#This Row],[Afiliados 2026]]</f>
        <v>0</v>
      </c>
      <c r="N364" s="17">
        <v>-1939</v>
      </c>
      <c r="O364" s="17">
        <f>+Tabla22[[#This Row],[TMK 2026]]</f>
        <v>0</v>
      </c>
      <c r="P364" s="17">
        <v>5572</v>
      </c>
      <c r="Q364" s="17">
        <f>+Tabla22[[#This Row],[WA 2026]]</f>
        <v>0</v>
      </c>
      <c r="R364" s="17">
        <v>66956</v>
      </c>
      <c r="S364" s="17">
        <f>+Tabla22[[#This Row],[Ent. en Tienda 2026]]</f>
        <v>0</v>
      </c>
      <c r="T364" s="17">
        <v>557576</v>
      </c>
      <c r="U364" s="17">
        <f>+Tabla22[[#This Row],[Meli Drop 2026]]</f>
        <v>0</v>
      </c>
      <c r="V364" s="17">
        <v>290065</v>
      </c>
      <c r="W364" s="17">
        <f>+Tabla22[[#This Row],[Meli Full 2026]]</f>
        <v>0</v>
      </c>
      <c r="X364" s="17">
        <v>51047</v>
      </c>
      <c r="Y364" s="17">
        <f>+Tabla22[[#This Row],[Amazon Drop 2026]]</f>
        <v>0</v>
      </c>
      <c r="Z364" s="17">
        <v>62670</v>
      </c>
      <c r="AA364" s="17">
        <f>+Tabla22[[#This Row],[Amazon Full 2026]]</f>
        <v>0</v>
      </c>
      <c r="AB364" s="17">
        <v>0</v>
      </c>
      <c r="AC364" s="17">
        <f>+Tabla22[[#This Row],[TikTok 2026]]</f>
        <v>0</v>
      </c>
      <c r="AD364" s="17">
        <v>0</v>
      </c>
      <c r="AE364" s="17">
        <f>+Tabla22[[#This Row],[Shein 2026]]</f>
        <v>0</v>
      </c>
      <c r="AF364" s="17">
        <f t="shared" si="119"/>
        <v>0</v>
      </c>
      <c r="AG364" s="18">
        <f t="shared" si="120"/>
        <v>0</v>
      </c>
      <c r="AH364" s="17">
        <f t="shared" si="121"/>
        <v>-4438762.4189326297</v>
      </c>
      <c r="AI364" s="20">
        <f t="shared" si="122"/>
        <v>-1</v>
      </c>
      <c r="AJ364" s="20">
        <f t="shared" si="115"/>
        <v>5.1796928950863928E-2</v>
      </c>
      <c r="AK364" s="21" t="e">
        <f t="shared" si="123"/>
        <v>#DIV/0!</v>
      </c>
      <c r="AL364" s="21">
        <f t="shared" si="116"/>
        <v>-1</v>
      </c>
    </row>
    <row r="365" spans="1:38" ht="14.25" customHeight="1" x14ac:dyDescent="0.35">
      <c r="A365" s="19">
        <v>46020</v>
      </c>
      <c r="B365" s="17">
        <v>64104194</v>
      </c>
      <c r="C365" s="17">
        <f t="shared" si="117"/>
        <v>5049674.8275862075</v>
      </c>
      <c r="D365" s="18">
        <f>+Tabla22[[#This Row],[Share diario]]</f>
        <v>1.8306261502240084E-2</v>
      </c>
      <c r="E365" s="17">
        <f>+Tabla22[[#This Row],[Global 2026]]</f>
        <v>0</v>
      </c>
      <c r="F365" s="19">
        <v>46384</v>
      </c>
      <c r="G365" s="17">
        <f t="shared" si="118"/>
        <v>4484247.6234333599</v>
      </c>
      <c r="H365" s="17">
        <v>3216197.5709312102</v>
      </c>
      <c r="I365" s="17">
        <v>1268050.0525021499</v>
      </c>
      <c r="J365" s="17">
        <v>3160262</v>
      </c>
      <c r="K365" s="17">
        <f>+Tabla22[[#This Row],[Web + APP 2026]]</f>
        <v>0</v>
      </c>
      <c r="L365" s="17">
        <v>41125.8620689655</v>
      </c>
      <c r="M365" s="17">
        <f>+Tabla22[[#This Row],[Afiliados 2026]]</f>
        <v>0</v>
      </c>
      <c r="N365" s="17">
        <v>-878</v>
      </c>
      <c r="O365" s="17">
        <f>+Tabla22[[#This Row],[TMK 2026]]</f>
        <v>0</v>
      </c>
      <c r="P365" s="17">
        <v>808</v>
      </c>
      <c r="Q365" s="17">
        <f>+Tabla22[[#This Row],[WA 2026]]</f>
        <v>0</v>
      </c>
      <c r="R365" s="17">
        <v>79809</v>
      </c>
      <c r="S365" s="17">
        <f>+Tabla22[[#This Row],[Ent. en Tienda 2026]]</f>
        <v>0</v>
      </c>
      <c r="T365" s="17">
        <v>1453361</v>
      </c>
      <c r="U365" s="17">
        <f>+Tabla22[[#This Row],[Meli Drop 2026]]</f>
        <v>0</v>
      </c>
      <c r="V365" s="17">
        <v>198633</v>
      </c>
      <c r="W365" s="17">
        <f>+Tabla22[[#This Row],[Meli Full 2026]]</f>
        <v>0</v>
      </c>
      <c r="X365" s="17">
        <v>31565</v>
      </c>
      <c r="Y365" s="17">
        <f>+Tabla22[[#This Row],[Amazon Drop 2026]]</f>
        <v>0</v>
      </c>
      <c r="Z365" s="17">
        <v>46263</v>
      </c>
      <c r="AA365" s="17">
        <f>+Tabla22[[#This Row],[Amazon Full 2026]]</f>
        <v>0</v>
      </c>
      <c r="AB365" s="17">
        <v>38725.965517241399</v>
      </c>
      <c r="AC365" s="17">
        <f>+Tabla22[[#This Row],[TikTok 2026]]</f>
        <v>0</v>
      </c>
      <c r="AD365" s="17">
        <v>0</v>
      </c>
      <c r="AE365" s="17">
        <f>+Tabla22[[#This Row],[Shein 2026]]</f>
        <v>0</v>
      </c>
      <c r="AF365" s="17">
        <f t="shared" si="119"/>
        <v>0</v>
      </c>
      <c r="AG365" s="18">
        <f t="shared" si="120"/>
        <v>0</v>
      </c>
      <c r="AH365" s="17">
        <f t="shared" si="121"/>
        <v>-4484247.6234333599</v>
      </c>
      <c r="AI365" s="20">
        <f t="shared" si="122"/>
        <v>-1</v>
      </c>
      <c r="AJ365" s="20">
        <f t="shared" si="115"/>
        <v>7.8772924398459912E-2</v>
      </c>
      <c r="AK365" s="21" t="e">
        <f t="shared" si="123"/>
        <v>#DIV/0!</v>
      </c>
      <c r="AL365" s="21">
        <f t="shared" si="116"/>
        <v>-1</v>
      </c>
    </row>
    <row r="366" spans="1:38" ht="14.25" customHeight="1" x14ac:dyDescent="0.35">
      <c r="A366" s="16">
        <v>46021</v>
      </c>
      <c r="B366" s="17">
        <v>68127355</v>
      </c>
      <c r="C366" s="17">
        <f t="shared" si="117"/>
        <v>3705326.9482758618</v>
      </c>
      <c r="D366" s="18">
        <f>+Tabla22[[#This Row],[Share diario]]</f>
        <v>2.6874733275212843E-2</v>
      </c>
      <c r="E366" s="17">
        <f>+Tabla22[[#This Row],[Global 2026]]</f>
        <v>0</v>
      </c>
      <c r="F366" s="19">
        <v>46385</v>
      </c>
      <c r="G366" s="17">
        <f t="shared" si="118"/>
        <v>6590760.6626815703</v>
      </c>
      <c r="H366" s="17">
        <v>4258011.2181180399</v>
      </c>
      <c r="I366" s="17">
        <v>2332749.4445635299</v>
      </c>
      <c r="J366" s="17">
        <v>2661283</v>
      </c>
      <c r="K366" s="17">
        <f>+Tabla22[[#This Row],[Web + APP 2026]]</f>
        <v>0</v>
      </c>
      <c r="L366" s="17">
        <v>34689.655172413797</v>
      </c>
      <c r="M366" s="17">
        <f>+Tabla22[[#This Row],[Afiliados 2026]]</f>
        <v>0</v>
      </c>
      <c r="N366" s="17">
        <v>41930</v>
      </c>
      <c r="O366" s="17">
        <f>+Tabla22[[#This Row],[TMK 2026]]</f>
        <v>0</v>
      </c>
      <c r="P366" s="17">
        <v>1066</v>
      </c>
      <c r="Q366" s="17">
        <f>+Tabla22[[#This Row],[WA 2026]]</f>
        <v>0</v>
      </c>
      <c r="R366" s="17">
        <v>144544</v>
      </c>
      <c r="S366" s="17">
        <f>+Tabla22[[#This Row],[Ent. en Tienda 2026]]</f>
        <v>0</v>
      </c>
      <c r="T366" s="17">
        <v>638572</v>
      </c>
      <c r="U366" s="17">
        <f>+Tabla22[[#This Row],[Meli Drop 2026]]</f>
        <v>0</v>
      </c>
      <c r="V366" s="17">
        <v>76225</v>
      </c>
      <c r="W366" s="17">
        <f>+Tabla22[[#This Row],[Meli Full 2026]]</f>
        <v>0</v>
      </c>
      <c r="X366" s="17">
        <v>34881</v>
      </c>
      <c r="Y366" s="17">
        <f>+Tabla22[[#This Row],[Amazon Drop 2026]]</f>
        <v>0</v>
      </c>
      <c r="Z366" s="17">
        <v>48503</v>
      </c>
      <c r="AA366" s="17">
        <f>+Tabla22[[#This Row],[Amazon Full 2026]]</f>
        <v>0</v>
      </c>
      <c r="AB366" s="17">
        <v>23633.293103448301</v>
      </c>
      <c r="AC366" s="17">
        <f>+Tabla22[[#This Row],[TikTok 2026]]</f>
        <v>0</v>
      </c>
      <c r="AD366" s="17">
        <v>0</v>
      </c>
      <c r="AE366" s="17">
        <f>+Tabla22[[#This Row],[Shein 2026]]</f>
        <v>0</v>
      </c>
      <c r="AF366" s="17">
        <f t="shared" si="119"/>
        <v>0</v>
      </c>
      <c r="AG366" s="18">
        <f t="shared" si="120"/>
        <v>0</v>
      </c>
      <c r="AH366" s="17">
        <f t="shared" si="121"/>
        <v>-6590760.6626815703</v>
      </c>
      <c r="AI366" s="20">
        <f t="shared" si="122"/>
        <v>-1</v>
      </c>
      <c r="AJ366" s="20">
        <f t="shared" si="115"/>
        <v>5.4388240205066843E-2</v>
      </c>
      <c r="AK366" s="21" t="e">
        <f t="shared" si="123"/>
        <v>#DIV/0!</v>
      </c>
      <c r="AL366" s="21">
        <f t="shared" si="116"/>
        <v>-1</v>
      </c>
    </row>
    <row r="367" spans="1:38" ht="14.25" customHeight="1" x14ac:dyDescent="0.35">
      <c r="A367" s="19">
        <v>46022</v>
      </c>
      <c r="B367" s="17">
        <v>34102697</v>
      </c>
      <c r="C367" s="17">
        <f t="shared" si="117"/>
        <v>1801042.7327586208</v>
      </c>
      <c r="D367" s="18">
        <f>+Tabla22[[#This Row],[Share diario]]</f>
        <v>1.9720016997603822E-2</v>
      </c>
      <c r="E367" s="17">
        <f>+Tabla22[[#This Row],[Global 2026]]</f>
        <v>0</v>
      </c>
      <c r="F367" s="19">
        <v>46386</v>
      </c>
      <c r="G367" s="17">
        <f t="shared" si="118"/>
        <v>4826005.1722127907</v>
      </c>
      <c r="H367" s="17">
        <v>3742016.0053084302</v>
      </c>
      <c r="I367" s="17">
        <v>1083989.1669043601</v>
      </c>
      <c r="J367" s="17">
        <v>1199966</v>
      </c>
      <c r="K367" s="17">
        <f>+Tabla22[[#This Row],[Web + APP 2026]]</f>
        <v>0</v>
      </c>
      <c r="L367" s="17">
        <v>21188.793103448301</v>
      </c>
      <c r="M367" s="17">
        <f>+Tabla22[[#This Row],[Afiliados 2026]]</f>
        <v>0</v>
      </c>
      <c r="N367" s="17">
        <v>9722</v>
      </c>
      <c r="O367" s="17">
        <f>+Tabla22[[#This Row],[TMK 2026]]</f>
        <v>0</v>
      </c>
      <c r="P367" s="17">
        <v>473</v>
      </c>
      <c r="Q367" s="17">
        <f>+Tabla22[[#This Row],[WA 2026]]</f>
        <v>0</v>
      </c>
      <c r="R367" s="17">
        <v>87359</v>
      </c>
      <c r="S367" s="17">
        <f>+Tabla22[[#This Row],[Ent. en Tienda 2026]]</f>
        <v>0</v>
      </c>
      <c r="T367" s="17">
        <v>353464</v>
      </c>
      <c r="U367" s="17">
        <f>+Tabla22[[#This Row],[Meli Drop 2026]]</f>
        <v>0</v>
      </c>
      <c r="V367" s="17">
        <v>73566</v>
      </c>
      <c r="W367" s="17">
        <f>+Tabla22[[#This Row],[Meli Full 2026]]</f>
        <v>0</v>
      </c>
      <c r="X367" s="17">
        <v>22861</v>
      </c>
      <c r="Y367" s="17">
        <f>+Tabla22[[#This Row],[Amazon Drop 2026]]</f>
        <v>0</v>
      </c>
      <c r="Z367" s="17">
        <v>29946</v>
      </c>
      <c r="AA367" s="17">
        <f>+Tabla22[[#This Row],[Amazon Full 2026]]</f>
        <v>0</v>
      </c>
      <c r="AB367" s="17">
        <v>2496.9396551724099</v>
      </c>
      <c r="AC367" s="17">
        <f>+Tabla22[[#This Row],[TikTok 2026]]</f>
        <v>0</v>
      </c>
      <c r="AD367" s="17">
        <v>0</v>
      </c>
      <c r="AE367" s="17">
        <f>+Tabla22[[#This Row],[Shein 2026]]</f>
        <v>0</v>
      </c>
      <c r="AF367" s="17">
        <f t="shared" si="119"/>
        <v>0</v>
      </c>
      <c r="AG367" s="18">
        <f t="shared" si="120"/>
        <v>0</v>
      </c>
      <c r="AH367" s="17">
        <f t="shared" si="121"/>
        <v>-4826005.1722127907</v>
      </c>
      <c r="AI367" s="20">
        <f t="shared" si="122"/>
        <v>-1</v>
      </c>
      <c r="AJ367" s="20">
        <f t="shared" si="115"/>
        <v>5.281232545210781E-2</v>
      </c>
      <c r="AK367" s="21" t="e">
        <f t="shared" si="123"/>
        <v>#DIV/0!</v>
      </c>
      <c r="AL367" s="21">
        <f t="shared" si="116"/>
        <v>-1</v>
      </c>
    </row>
    <row r="368" spans="1:38" ht="14.25" customHeight="1" x14ac:dyDescent="0.35">
      <c r="A368" s="16">
        <v>46023</v>
      </c>
      <c r="B368" s="17">
        <f>+E4</f>
        <v>1767787</v>
      </c>
      <c r="C368" s="17">
        <f t="shared" si="117"/>
        <v>1767692</v>
      </c>
      <c r="D368" s="18">
        <f>+Tabla22[[#This Row],[Share diario]]</f>
        <v>9.5852791937664737E-3</v>
      </c>
      <c r="E368" s="17">
        <f>+Tabla22[[#This Row],[Global 2026]]</f>
        <v>0</v>
      </c>
      <c r="F368" s="19">
        <v>46387</v>
      </c>
      <c r="G368" s="17">
        <f t="shared" si="118"/>
        <v>2347533.6577677578</v>
      </c>
      <c r="H368" s="17">
        <v>1711325.7336611201</v>
      </c>
      <c r="I368" s="17">
        <v>636207.92410663795</v>
      </c>
      <c r="J368" s="17">
        <f>+K4</f>
        <v>1117875</v>
      </c>
      <c r="K368" s="17">
        <f>+Tabla22[[#This Row],[Web + APP 2026]]</f>
        <v>0</v>
      </c>
      <c r="L368" s="17">
        <f>+M4</f>
        <v>17319</v>
      </c>
      <c r="M368" s="17">
        <f>+Tabla22[[#This Row],[Afiliados 2026]]</f>
        <v>0</v>
      </c>
      <c r="N368" s="17">
        <f>+O4</f>
        <v>0</v>
      </c>
      <c r="O368" s="17">
        <f>+Tabla22[[#This Row],[TMK 2026]]</f>
        <v>0</v>
      </c>
      <c r="P368" s="17">
        <f>+Q4</f>
        <v>1884</v>
      </c>
      <c r="Q368" s="17">
        <f>+Tabla22[[#This Row],[WA 2026]]</f>
        <v>0</v>
      </c>
      <c r="R368" s="17">
        <f>+S4</f>
        <v>0</v>
      </c>
      <c r="S368" s="17">
        <f>+Tabla22[[#This Row],[Ent. en Tienda 2026]]</f>
        <v>0</v>
      </c>
      <c r="T368" s="17">
        <f>+U4</f>
        <v>511381</v>
      </c>
      <c r="U368" s="17">
        <f>+Tabla22[[#This Row],[Meli Drop 2026]]</f>
        <v>0</v>
      </c>
      <c r="V368" s="17">
        <f>+W4</f>
        <v>78269</v>
      </c>
      <c r="W368" s="17">
        <f>+Tabla22[[#This Row],[Meli Full 2026]]</f>
        <v>0</v>
      </c>
      <c r="X368" s="17">
        <f>+Y4</f>
        <v>31357</v>
      </c>
      <c r="Y368" s="17">
        <f>+Tabla22[[#This Row],[Amazon Drop 2026]]</f>
        <v>0</v>
      </c>
      <c r="Z368" s="17">
        <f>+AA4</f>
        <v>7591</v>
      </c>
      <c r="AA368" s="17">
        <f>+Tabla22[[#This Row],[Amazon Full 2026]]</f>
        <v>0</v>
      </c>
      <c r="AB368" s="17">
        <f>+AC4</f>
        <v>2016</v>
      </c>
      <c r="AC368" s="17">
        <f>+Tabla22[[#This Row],[TikTok 2026]]</f>
        <v>0</v>
      </c>
      <c r="AD368" s="17">
        <v>0</v>
      </c>
      <c r="AE368" s="17">
        <f>+Tabla22[[#This Row],[Shein 2026]]</f>
        <v>0</v>
      </c>
      <c r="AF368" s="17">
        <f t="shared" si="119"/>
        <v>0</v>
      </c>
      <c r="AG368" s="18">
        <f t="shared" si="120"/>
        <v>0</v>
      </c>
      <c r="AH368" s="17">
        <f t="shared" si="121"/>
        <v>-2347533.6577677578</v>
      </c>
      <c r="AI368" s="20">
        <f t="shared" si="122"/>
        <v>-1</v>
      </c>
      <c r="AJ368" s="20">
        <f t="shared" si="115"/>
        <v>0.99994626049405277</v>
      </c>
      <c r="AK368" s="21" t="e">
        <f t="shared" si="123"/>
        <v>#DIV/0!</v>
      </c>
      <c r="AL368" s="21">
        <f t="shared" si="116"/>
        <v>-1</v>
      </c>
    </row>
    <row r="371" spans="6:45" ht="14.25" customHeight="1" x14ac:dyDescent="0.35">
      <c r="H371" s="6"/>
      <c r="I371" s="7"/>
      <c r="M371" s="475"/>
      <c r="AP371" s="6">
        <f>SUM(AP243:AP245)</f>
        <v>9628107.0344827585</v>
      </c>
      <c r="AR371" s="6">
        <f>SUM(AR243:AR245)</f>
        <v>8620255</v>
      </c>
      <c r="AS371" s="475">
        <f>AR371/AP371-1</f>
        <v>-0.10467810867423566</v>
      </c>
    </row>
    <row r="372" spans="6:45" x14ac:dyDescent="0.35">
      <c r="AR372" s="475"/>
      <c r="AS372" s="475"/>
    </row>
    <row r="373" spans="6:45" x14ac:dyDescent="0.35">
      <c r="AP373" s="503">
        <f>SUM(AP216:AP245)</f>
        <v>112796578.17241378</v>
      </c>
      <c r="AQ373" s="50"/>
      <c r="AR373" s="503">
        <f>SUM(AR216:AR245)</f>
        <v>127024709</v>
      </c>
      <c r="AS373" s="475">
        <f>AR373/AP373-1</f>
        <v>0.12613973808529888</v>
      </c>
    </row>
    <row r="374" spans="6:45" x14ac:dyDescent="0.35">
      <c r="AP374" s="504">
        <v>115769491</v>
      </c>
      <c r="AR374" s="50">
        <f>AR373+4000000</f>
        <v>131024709</v>
      </c>
      <c r="AS374" s="472">
        <f>AR374/AP374-1</f>
        <v>0.13177235097284834</v>
      </c>
    </row>
    <row r="375" spans="6:45" ht="14.25" customHeight="1" x14ac:dyDescent="0.35">
      <c r="F375" s="23">
        <v>46113</v>
      </c>
      <c r="H375">
        <v>3275692.2881558202</v>
      </c>
      <c r="I375">
        <v>674149.47781539697</v>
      </c>
    </row>
    <row r="376" spans="6:45" ht="14.25" customHeight="1" x14ac:dyDescent="0.35">
      <c r="F376" s="23">
        <v>46114</v>
      </c>
      <c r="H376">
        <v>2618097.9118737602</v>
      </c>
      <c r="I376">
        <v>538814.14519339497</v>
      </c>
    </row>
    <row r="377" spans="6:45" ht="14.25" customHeight="1" x14ac:dyDescent="0.35">
      <c r="F377" s="23">
        <v>46115</v>
      </c>
      <c r="H377">
        <v>2032213.5297702099</v>
      </c>
      <c r="I377">
        <v>418236.99217952997</v>
      </c>
    </row>
    <row r="378" spans="6:45" ht="14.25" customHeight="1" x14ac:dyDescent="0.35">
      <c r="F378" s="23">
        <v>46116</v>
      </c>
      <c r="H378">
        <v>1640564.2355865701</v>
      </c>
      <c r="I378">
        <v>337634.13210157101</v>
      </c>
    </row>
    <row r="379" spans="6:45" ht="14.25" customHeight="1" x14ac:dyDescent="0.35">
      <c r="F379" s="23">
        <v>46117</v>
      </c>
      <c r="H379">
        <v>1473956.5717029399</v>
      </c>
      <c r="I379">
        <v>303345.66428262799</v>
      </c>
    </row>
    <row r="380" spans="6:45" ht="14.25" customHeight="1" x14ac:dyDescent="0.35">
      <c r="F380" s="23">
        <v>46118</v>
      </c>
      <c r="H380">
        <v>1972421.6745517999</v>
      </c>
      <c r="I380">
        <v>405931.609247546</v>
      </c>
    </row>
    <row r="381" spans="6:45" ht="14.25" customHeight="1" x14ac:dyDescent="0.35">
      <c r="F381" s="23">
        <v>46119</v>
      </c>
      <c r="H381">
        <v>3175827.22504539</v>
      </c>
      <c r="I381">
        <v>653596.88183703599</v>
      </c>
    </row>
    <row r="382" spans="6:45" ht="14.25" customHeight="1" x14ac:dyDescent="0.35">
      <c r="F382" s="23">
        <v>46120</v>
      </c>
      <c r="H382">
        <v>3387778.5370896198</v>
      </c>
      <c r="I382">
        <v>697217.23862498999</v>
      </c>
    </row>
    <row r="383" spans="6:45" ht="14.25" customHeight="1" x14ac:dyDescent="0.35">
      <c r="F383" s="23">
        <v>46121</v>
      </c>
      <c r="H383">
        <v>3660355.6057207799</v>
      </c>
      <c r="I383">
        <v>753314.59830269101</v>
      </c>
    </row>
    <row r="384" spans="6:45" ht="14.25" customHeight="1" x14ac:dyDescent="0.35">
      <c r="F384" s="23">
        <v>46122</v>
      </c>
      <c r="H384">
        <v>2796521.6416668799</v>
      </c>
      <c r="I384">
        <v>575534.40268059296</v>
      </c>
    </row>
    <row r="385" spans="6:9" ht="14.25" customHeight="1" x14ac:dyDescent="0.35">
      <c r="F385" s="23">
        <v>46123</v>
      </c>
      <c r="H385">
        <v>2747545.1259305002</v>
      </c>
      <c r="I385">
        <v>565454.85625058005</v>
      </c>
    </row>
    <row r="386" spans="6:9" ht="14.25" customHeight="1" x14ac:dyDescent="0.35">
      <c r="F386" s="23">
        <v>46124</v>
      </c>
      <c r="H386">
        <v>2416489.1190270102</v>
      </c>
      <c r="I386">
        <v>497322.31676003902</v>
      </c>
    </row>
    <row r="387" spans="6:9" ht="14.25" customHeight="1" x14ac:dyDescent="0.35">
      <c r="F387" s="23">
        <v>46125</v>
      </c>
      <c r="H387">
        <v>2639495.93146028</v>
      </c>
      <c r="I387">
        <v>543217.93604478205</v>
      </c>
    </row>
    <row r="388" spans="6:9" ht="14.25" customHeight="1" x14ac:dyDescent="0.35">
      <c r="F388" s="23">
        <v>46126</v>
      </c>
      <c r="H388">
        <v>3464565.0514010801</v>
      </c>
      <c r="I388">
        <v>713020.18468115805</v>
      </c>
    </row>
    <row r="389" spans="6:9" ht="14.25" customHeight="1" x14ac:dyDescent="0.35">
      <c r="F389" s="23">
        <v>46127</v>
      </c>
      <c r="H389">
        <v>3826066.4449586198</v>
      </c>
      <c r="I389">
        <v>787418.49632280495</v>
      </c>
    </row>
    <row r="390" spans="6:9" ht="14.25" customHeight="1" x14ac:dyDescent="0.35">
      <c r="F390" s="23">
        <v>46128</v>
      </c>
      <c r="H390">
        <v>3548733.0707372101</v>
      </c>
      <c r="I390">
        <v>730342.27152349602</v>
      </c>
    </row>
    <row r="391" spans="6:9" ht="14.25" customHeight="1" x14ac:dyDescent="0.35">
      <c r="F391" s="23">
        <v>46129</v>
      </c>
      <c r="H391">
        <v>4260873.5684990901</v>
      </c>
      <c r="I391">
        <v>876903.39584926597</v>
      </c>
    </row>
    <row r="392" spans="6:9" ht="14.25" customHeight="1" x14ac:dyDescent="0.35">
      <c r="F392" s="23">
        <v>46130</v>
      </c>
      <c r="H392">
        <v>4389096.8389745299</v>
      </c>
      <c r="I392">
        <v>903292.214831852</v>
      </c>
    </row>
    <row r="393" spans="6:9" ht="14.25" customHeight="1" x14ac:dyDescent="0.35">
      <c r="F393" s="23">
        <v>46131</v>
      </c>
      <c r="H393">
        <v>3303868.1822293298</v>
      </c>
      <c r="I393">
        <v>679948.18007608096</v>
      </c>
    </row>
    <row r="394" spans="6:9" ht="14.25" customHeight="1" x14ac:dyDescent="0.35">
      <c r="F394" s="23">
        <v>46132</v>
      </c>
      <c r="H394">
        <v>2700189.1271706</v>
      </c>
      <c r="I394">
        <v>555708.81815327494</v>
      </c>
    </row>
    <row r="395" spans="6:9" ht="14.25" customHeight="1" x14ac:dyDescent="0.35">
      <c r="F395" s="23">
        <v>46133</v>
      </c>
      <c r="H395">
        <v>2320436.6616319302</v>
      </c>
      <c r="I395">
        <v>477554.36901051598</v>
      </c>
    </row>
    <row r="396" spans="6:9" ht="14.25" customHeight="1" x14ac:dyDescent="0.35">
      <c r="F396" s="23">
        <v>46134</v>
      </c>
      <c r="H396">
        <v>2775170.2733832002</v>
      </c>
      <c r="I396">
        <v>571140.21283830004</v>
      </c>
    </row>
    <row r="397" spans="6:9" ht="14.25" customHeight="1" x14ac:dyDescent="0.35">
      <c r="F397" s="23">
        <v>46135</v>
      </c>
      <c r="H397">
        <v>3984150.7665292602</v>
      </c>
      <c r="I397">
        <v>819952.82905698405</v>
      </c>
    </row>
    <row r="398" spans="6:9" ht="14.25" customHeight="1" x14ac:dyDescent="0.35">
      <c r="F398" s="23">
        <v>46136</v>
      </c>
      <c r="H398">
        <v>4279633.8487809803</v>
      </c>
      <c r="I398">
        <v>880764.33028484497</v>
      </c>
    </row>
    <row r="399" spans="6:9" ht="14.25" customHeight="1" x14ac:dyDescent="0.35">
      <c r="F399" s="23">
        <v>46137</v>
      </c>
      <c r="H399">
        <v>3618484.2700121002</v>
      </c>
      <c r="I399">
        <v>744697.32396178099</v>
      </c>
    </row>
    <row r="400" spans="6:9" ht="14.25" customHeight="1" x14ac:dyDescent="0.35">
      <c r="F400" s="23">
        <v>46138</v>
      </c>
      <c r="H400">
        <v>3090638.9976977101</v>
      </c>
      <c r="I400">
        <v>636064.83244701498</v>
      </c>
    </row>
    <row r="401" spans="6:9" ht="14.25" customHeight="1" x14ac:dyDescent="0.35">
      <c r="F401" s="23">
        <v>46139</v>
      </c>
      <c r="H401">
        <v>2411881.9110006401</v>
      </c>
      <c r="I401">
        <v>496374.13646349701</v>
      </c>
    </row>
    <row r="402" spans="6:9" ht="14.25" customHeight="1" x14ac:dyDescent="0.35">
      <c r="F402" s="23">
        <v>46140</v>
      </c>
      <c r="H402">
        <v>2103900.6461498202</v>
      </c>
      <c r="I402">
        <v>432990.46345280699</v>
      </c>
    </row>
    <row r="403" spans="6:9" ht="14.25" customHeight="1" x14ac:dyDescent="0.35">
      <c r="F403" s="23">
        <v>46141</v>
      </c>
      <c r="H403">
        <v>2306463.1035897401</v>
      </c>
      <c r="I403">
        <v>474678.55955447297</v>
      </c>
    </row>
    <row r="404" spans="6:9" ht="14.25" customHeight="1" x14ac:dyDescent="0.35">
      <c r="F404" s="23">
        <v>46142</v>
      </c>
      <c r="H404">
        <v>3670387.1659940602</v>
      </c>
      <c r="I404">
        <v>755379.13017106999</v>
      </c>
    </row>
  </sheetData>
  <autoFilter ref="A3:A368" xr:uid="{00000000-0009-0000-0000-000000000000}"/>
  <conditionalFormatting sqref="AH4:AH368">
    <cfRule type="cellIs" dxfId="205" priority="38" operator="lessThan">
      <formula>0</formula>
    </cfRule>
    <cfRule type="cellIs" dxfId="204" priority="39" operator="greaterThan">
      <formula>0</formula>
    </cfRule>
  </conditionalFormatting>
  <conditionalFormatting sqref="AX4:AZ276">
    <cfRule type="cellIs" dxfId="203" priority="3" operator="lessThan">
      <formula>1</formula>
    </cfRule>
    <cfRule type="cellIs" dxfId="202" priority="4" operator="greaterThan">
      <formula>1</formula>
    </cfRule>
    <cfRule type="cellIs" dxfId="201" priority="5" operator="greaterThan">
      <formula>100</formula>
    </cfRule>
    <cfRule type="cellIs" dxfId="200" priority="6" operator="lessThan">
      <formula>0</formula>
    </cfRule>
    <cfRule type="cellIs" dxfId="199" priority="7" operator="greaterThan">
      <formula>0</formula>
    </cfRule>
  </conditionalFormatting>
  <conditionalFormatting sqref="BC4:BD276">
    <cfRule type="cellIs" dxfId="198" priority="8" operator="greaterThan">
      <formula>0</formula>
    </cfRule>
    <cfRule type="cellIs" dxfId="197" priority="9" operator="lessThan">
      <formula>0</formula>
    </cfRule>
  </conditionalFormatting>
  <conditionalFormatting sqref="BE185:BF276">
    <cfRule type="cellIs" dxfId="196" priority="1" operator="greaterThan">
      <formula>0</formula>
    </cfRule>
    <cfRule type="cellIs" dxfId="195" priority="2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7893A-81DA-47BF-A316-7A91AD5D8F50}">
  <sheetPr>
    <tabColor rgb="FF0E2841"/>
  </sheetPr>
  <dimension ref="A5:T19"/>
  <sheetViews>
    <sheetView topLeftCell="I1" workbookViewId="0">
      <selection activeCell="S15" sqref="S15:T15"/>
    </sheetView>
  </sheetViews>
  <sheetFormatPr baseColWidth="10" defaultRowHeight="14.5" x14ac:dyDescent="0.35"/>
  <cols>
    <col min="1" max="1" width="16.54296875" bestFit="1" customWidth="1"/>
    <col min="2" max="2" width="15.54296875" bestFit="1" customWidth="1"/>
    <col min="7" max="7" width="16.54296875" bestFit="1" customWidth="1"/>
    <col min="8" max="8" width="21.7265625" bestFit="1" customWidth="1"/>
    <col min="9" max="9" width="20.26953125" bestFit="1" customWidth="1"/>
    <col min="10" max="10" width="16.36328125" bestFit="1" customWidth="1"/>
    <col min="11" max="11" width="15.54296875" bestFit="1" customWidth="1"/>
    <col min="12" max="12" width="24.7265625" bestFit="1" customWidth="1"/>
    <col min="13" max="13" width="20.81640625" bestFit="1" customWidth="1"/>
    <col min="14" max="14" width="20" bestFit="1" customWidth="1"/>
    <col min="15" max="15" width="24" bestFit="1" customWidth="1"/>
    <col min="16" max="16" width="23.1796875" bestFit="1" customWidth="1"/>
    <col min="17" max="17" width="18.26953125" bestFit="1" customWidth="1"/>
    <col min="18" max="18" width="17.7265625" bestFit="1" customWidth="1"/>
    <col min="19" max="20" width="13.1796875" bestFit="1" customWidth="1"/>
  </cols>
  <sheetData>
    <row r="5" spans="1:20" x14ac:dyDescent="0.35">
      <c r="G5" s="473" t="s">
        <v>55</v>
      </c>
      <c r="H5" t="s">
        <v>69</v>
      </c>
      <c r="I5" t="s">
        <v>56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</row>
    <row r="6" spans="1:20" x14ac:dyDescent="0.35">
      <c r="A6" s="473" t="s">
        <v>55</v>
      </c>
      <c r="B6" t="s">
        <v>467</v>
      </c>
      <c r="G6" s="474" t="s">
        <v>58</v>
      </c>
      <c r="H6" s="6">
        <v>64774122</v>
      </c>
      <c r="I6" s="6">
        <v>735903.44827586168</v>
      </c>
      <c r="J6" s="6">
        <v>1448010</v>
      </c>
      <c r="K6" s="6">
        <v>110309</v>
      </c>
      <c r="L6" s="6">
        <v>1740843</v>
      </c>
      <c r="M6" s="6">
        <v>12634416</v>
      </c>
      <c r="N6" s="6">
        <v>2796767</v>
      </c>
      <c r="O6" s="6">
        <v>1549978</v>
      </c>
      <c r="P6" s="6">
        <v>337627</v>
      </c>
      <c r="Q6" s="517">
        <v>0</v>
      </c>
      <c r="R6" s="6">
        <v>0</v>
      </c>
    </row>
    <row r="7" spans="1:20" x14ac:dyDescent="0.35">
      <c r="A7" s="474" t="s">
        <v>58</v>
      </c>
      <c r="B7" s="50">
        <v>76679</v>
      </c>
      <c r="G7" s="474" t="s">
        <v>59</v>
      </c>
      <c r="H7" s="6">
        <v>62779662</v>
      </c>
      <c r="I7" s="6">
        <v>577281.03448275849</v>
      </c>
      <c r="J7" s="6">
        <v>1441236</v>
      </c>
      <c r="K7" s="6">
        <v>110248</v>
      </c>
      <c r="L7" s="6">
        <v>1727351</v>
      </c>
      <c r="M7" s="6">
        <v>8028750</v>
      </c>
      <c r="N7" s="6">
        <v>1592434</v>
      </c>
      <c r="O7" s="6">
        <v>784689</v>
      </c>
      <c r="P7" s="6">
        <v>145354</v>
      </c>
      <c r="Q7" s="517">
        <v>0</v>
      </c>
      <c r="R7" s="6">
        <v>0</v>
      </c>
    </row>
    <row r="8" spans="1:20" x14ac:dyDescent="0.35">
      <c r="A8" s="474" t="s">
        <v>59</v>
      </c>
      <c r="B8" s="50">
        <v>72850</v>
      </c>
      <c r="G8" s="474" t="s">
        <v>60</v>
      </c>
      <c r="H8" s="6">
        <v>70846957</v>
      </c>
      <c r="I8" s="6">
        <v>628597.4137931033</v>
      </c>
      <c r="J8" s="6">
        <v>1430022</v>
      </c>
      <c r="K8" s="6">
        <v>105504</v>
      </c>
      <c r="L8" s="6">
        <v>1895057</v>
      </c>
      <c r="M8" s="6">
        <v>12534250</v>
      </c>
      <c r="N8" s="6">
        <v>3477562</v>
      </c>
      <c r="O8" s="6">
        <v>516151</v>
      </c>
      <c r="P8" s="6">
        <v>262286</v>
      </c>
      <c r="Q8" s="517">
        <v>0</v>
      </c>
      <c r="R8" s="6">
        <v>0</v>
      </c>
    </row>
    <row r="9" spans="1:20" x14ac:dyDescent="0.35">
      <c r="A9" s="474" t="s">
        <v>60</v>
      </c>
      <c r="B9" s="50">
        <v>73259</v>
      </c>
      <c r="G9" s="474" t="s">
        <v>61</v>
      </c>
      <c r="H9" s="6">
        <v>64872371</v>
      </c>
      <c r="I9" s="6">
        <v>537415.5172413796</v>
      </c>
      <c r="J9" s="6">
        <v>1319157</v>
      </c>
      <c r="K9" s="6">
        <v>228719</v>
      </c>
      <c r="L9" s="6">
        <v>1991672</v>
      </c>
      <c r="M9" s="6">
        <v>10402707</v>
      </c>
      <c r="N9" s="6">
        <v>2880496</v>
      </c>
      <c r="O9" s="6">
        <v>565896</v>
      </c>
      <c r="P9" s="6">
        <v>256773</v>
      </c>
      <c r="Q9" s="517">
        <v>0</v>
      </c>
      <c r="R9" s="6">
        <v>0</v>
      </c>
    </row>
    <row r="10" spans="1:20" x14ac:dyDescent="0.35">
      <c r="A10" s="474" t="s">
        <v>61</v>
      </c>
      <c r="B10" s="50">
        <v>60436</v>
      </c>
      <c r="G10" s="474" t="s">
        <v>62</v>
      </c>
      <c r="H10" s="6">
        <v>77993633</v>
      </c>
      <c r="I10" s="6">
        <v>690044.82758620672</v>
      </c>
      <c r="J10" s="6">
        <v>1186894</v>
      </c>
      <c r="K10" s="6">
        <v>193949</v>
      </c>
      <c r="L10" s="6">
        <v>2807631</v>
      </c>
      <c r="M10" s="6">
        <v>17783854</v>
      </c>
      <c r="N10" s="6">
        <v>4277531</v>
      </c>
      <c r="O10" s="6">
        <v>740101</v>
      </c>
      <c r="P10" s="6">
        <v>340898</v>
      </c>
      <c r="Q10" s="517">
        <v>0</v>
      </c>
      <c r="R10" s="6">
        <v>0</v>
      </c>
    </row>
    <row r="11" spans="1:20" x14ac:dyDescent="0.35">
      <c r="A11" s="474" t="s">
        <v>62</v>
      </c>
      <c r="B11" s="50">
        <v>86712</v>
      </c>
      <c r="G11" s="474" t="s">
        <v>63</v>
      </c>
      <c r="H11" s="6">
        <v>81146441</v>
      </c>
      <c r="I11" s="6">
        <v>1043100.8620689649</v>
      </c>
      <c r="J11" s="6">
        <v>1075608</v>
      </c>
      <c r="K11" s="6">
        <v>224382</v>
      </c>
      <c r="L11" s="6">
        <v>3214064</v>
      </c>
      <c r="M11" s="6">
        <v>21666219</v>
      </c>
      <c r="N11" s="6">
        <v>4885568</v>
      </c>
      <c r="O11" s="6">
        <v>1068283</v>
      </c>
      <c r="P11" s="6">
        <v>357640</v>
      </c>
      <c r="Q11" s="517">
        <v>0</v>
      </c>
      <c r="R11" s="6">
        <v>0</v>
      </c>
    </row>
    <row r="12" spans="1:20" x14ac:dyDescent="0.35">
      <c r="A12" s="474" t="s">
        <v>63</v>
      </c>
      <c r="B12" s="50">
        <v>104106</v>
      </c>
      <c r="G12" s="474" t="s">
        <v>64</v>
      </c>
      <c r="H12" s="6">
        <v>85926647</v>
      </c>
      <c r="I12" s="6">
        <v>1288231.8965517238</v>
      </c>
      <c r="J12" s="6">
        <v>993236</v>
      </c>
      <c r="K12" s="6">
        <v>183021</v>
      </c>
      <c r="L12" s="6">
        <v>3267791</v>
      </c>
      <c r="M12" s="6">
        <v>18674810</v>
      </c>
      <c r="N12" s="6">
        <v>3524088</v>
      </c>
      <c r="O12" s="6">
        <v>1034594</v>
      </c>
      <c r="P12" s="6">
        <v>335023</v>
      </c>
      <c r="Q12" s="517">
        <v>0</v>
      </c>
      <c r="R12" s="6">
        <v>0</v>
      </c>
    </row>
    <row r="13" spans="1:20" x14ac:dyDescent="0.35">
      <c r="A13" s="474" t="s">
        <v>64</v>
      </c>
      <c r="B13" s="50">
        <v>141802</v>
      </c>
      <c r="G13" s="474" t="s">
        <v>65</v>
      </c>
      <c r="H13" s="6">
        <v>108478992</v>
      </c>
      <c r="I13" s="6">
        <v>1233300</v>
      </c>
      <c r="J13" s="6">
        <v>1181596</v>
      </c>
      <c r="K13" s="6">
        <v>171602</v>
      </c>
      <c r="L13" s="6">
        <v>4704001</v>
      </c>
      <c r="M13" s="6">
        <v>21315555</v>
      </c>
      <c r="N13" s="6">
        <v>6687463</v>
      </c>
      <c r="O13" s="6">
        <v>1121624</v>
      </c>
      <c r="P13" s="6">
        <v>277354</v>
      </c>
      <c r="Q13" s="517">
        <v>14518.137931034466</v>
      </c>
      <c r="R13" s="6">
        <v>1292.2413793103422</v>
      </c>
    </row>
    <row r="14" spans="1:20" x14ac:dyDescent="0.35">
      <c r="A14" s="474" t="s">
        <v>65</v>
      </c>
      <c r="B14" s="50">
        <v>251509</v>
      </c>
      <c r="G14" s="474" t="s">
        <v>66</v>
      </c>
      <c r="H14" s="6">
        <v>87878561</v>
      </c>
      <c r="I14" s="6">
        <v>903373.27586206899</v>
      </c>
      <c r="J14" s="6">
        <v>968361</v>
      </c>
      <c r="K14" s="6">
        <v>119486</v>
      </c>
      <c r="L14" s="6">
        <v>2988851</v>
      </c>
      <c r="M14" s="6">
        <v>15767135</v>
      </c>
      <c r="N14" s="6">
        <v>5457540</v>
      </c>
      <c r="O14" s="6">
        <v>948229</v>
      </c>
      <c r="P14" s="6">
        <v>215658</v>
      </c>
      <c r="Q14" s="517">
        <v>38105.844827586203</v>
      </c>
      <c r="R14" s="6">
        <v>5684.4827586206893</v>
      </c>
    </row>
    <row r="15" spans="1:20" x14ac:dyDescent="0.35">
      <c r="A15" s="474" t="s">
        <v>66</v>
      </c>
      <c r="B15" s="50">
        <v>203711</v>
      </c>
      <c r="G15" s="474" t="s">
        <v>80</v>
      </c>
      <c r="H15" s="6">
        <v>103771731</v>
      </c>
      <c r="I15" s="6">
        <v>988666.37931034411</v>
      </c>
      <c r="J15" s="6">
        <v>1262970</v>
      </c>
      <c r="K15" s="6">
        <v>103398</v>
      </c>
      <c r="L15" s="6">
        <v>4707733</v>
      </c>
      <c r="M15" s="6">
        <v>17529528</v>
      </c>
      <c r="N15" s="6">
        <v>4813818</v>
      </c>
      <c r="O15" s="6">
        <v>1206578</v>
      </c>
      <c r="P15" s="6">
        <v>274614</v>
      </c>
      <c r="Q15" s="517">
        <v>159945.12068965536</v>
      </c>
      <c r="R15" s="6">
        <v>17652.586206896543</v>
      </c>
      <c r="S15" s="6"/>
      <c r="T15" s="6"/>
    </row>
    <row r="16" spans="1:20" x14ac:dyDescent="0.35">
      <c r="A16" s="474" t="s">
        <v>80</v>
      </c>
      <c r="B16" s="50"/>
      <c r="G16" s="474" t="s">
        <v>81</v>
      </c>
      <c r="H16" s="6">
        <v>121922567</v>
      </c>
      <c r="I16" s="6">
        <v>1538004.3103448269</v>
      </c>
      <c r="J16" s="6">
        <v>1422628</v>
      </c>
      <c r="K16" s="6">
        <v>115811</v>
      </c>
      <c r="L16" s="6">
        <v>4688825</v>
      </c>
      <c r="M16" s="6">
        <v>28802133</v>
      </c>
      <c r="N16" s="6">
        <v>7493286</v>
      </c>
      <c r="O16" s="6">
        <v>1364853</v>
      </c>
      <c r="P16" s="6">
        <v>832825</v>
      </c>
      <c r="Q16" s="517">
        <v>236535.44827586229</v>
      </c>
      <c r="R16" s="6">
        <v>38752.586206896565</v>
      </c>
    </row>
    <row r="17" spans="1:18" x14ac:dyDescent="0.35">
      <c r="A17" s="474" t="s">
        <v>81</v>
      </c>
      <c r="B17" s="50"/>
      <c r="G17" s="474" t="s">
        <v>82</v>
      </c>
      <c r="H17" s="6">
        <v>121938684</v>
      </c>
      <c r="I17" s="6">
        <v>1470629.182630907</v>
      </c>
      <c r="J17" s="6">
        <v>1363878</v>
      </c>
      <c r="K17" s="6">
        <v>108517</v>
      </c>
      <c r="L17" s="6">
        <v>4638343</v>
      </c>
      <c r="M17" s="6">
        <v>43762583</v>
      </c>
      <c r="N17" s="6">
        <v>8916467</v>
      </c>
      <c r="O17" s="6">
        <v>2302519</v>
      </c>
      <c r="P17" s="6">
        <v>3036049</v>
      </c>
      <c r="Q17" s="517">
        <v>350116.89655172429</v>
      </c>
      <c r="R17" s="6">
        <v>8956.0344827586232</v>
      </c>
    </row>
    <row r="18" spans="1:18" x14ac:dyDescent="0.35">
      <c r="A18" s="474" t="s">
        <v>82</v>
      </c>
      <c r="B18" s="50"/>
      <c r="G18" s="474" t="s">
        <v>67</v>
      </c>
      <c r="H18" s="6">
        <v>1052330368</v>
      </c>
      <c r="I18" s="6">
        <v>11634548.148148146</v>
      </c>
      <c r="J18" s="6">
        <v>15093596</v>
      </c>
      <c r="K18" s="6">
        <v>1774946</v>
      </c>
      <c r="L18" s="6">
        <v>38372162</v>
      </c>
      <c r="M18" s="6">
        <v>228901940</v>
      </c>
      <c r="N18" s="6">
        <v>56803020</v>
      </c>
      <c r="O18" s="6">
        <v>13203495</v>
      </c>
      <c r="P18" s="6">
        <v>6672101</v>
      </c>
      <c r="Q18" s="517">
        <v>799221.44827586261</v>
      </c>
      <c r="R18" s="6">
        <v>72337.931034482768</v>
      </c>
    </row>
    <row r="19" spans="1:18" x14ac:dyDescent="0.35">
      <c r="A19" s="474" t="s">
        <v>67</v>
      </c>
      <c r="B19" s="50">
        <v>1071064</v>
      </c>
    </row>
  </sheetData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tabColor rgb="FF0E2841"/>
  </sheetPr>
  <dimension ref="A1:BN406"/>
  <sheetViews>
    <sheetView tabSelected="1" topLeftCell="E1" zoomScale="60" zoomScaleNormal="60" workbookViewId="0">
      <selection activeCell="M275" sqref="M275"/>
    </sheetView>
  </sheetViews>
  <sheetFormatPr baseColWidth="10" defaultColWidth="11.453125" defaultRowHeight="14.5" x14ac:dyDescent="0.35"/>
  <cols>
    <col min="1" max="1" width="31.453125" customWidth="1"/>
    <col min="2" max="2" width="22" customWidth="1"/>
    <col min="3" max="3" width="21.54296875" customWidth="1"/>
    <col min="4" max="4" width="22" customWidth="1"/>
    <col min="5" max="5" width="23.54296875" customWidth="1"/>
    <col min="6" max="6" width="31.453125" customWidth="1"/>
    <col min="7" max="7" width="29.1796875" customWidth="1"/>
    <col min="8" max="8" width="21.453125" customWidth="1"/>
    <col min="9" max="9" width="19.453125" customWidth="1"/>
    <col min="10" max="10" width="27.453125" customWidth="1"/>
    <col min="11" max="11" width="21.453125" customWidth="1"/>
    <col min="12" max="12" width="19.453125" customWidth="1"/>
    <col min="13" max="13" width="19.453125" style="3" customWidth="1"/>
    <col min="14" max="15" width="15.453125" customWidth="1"/>
    <col min="16" max="17" width="15" customWidth="1"/>
    <col min="18" max="19" width="24.453125" customWidth="1"/>
    <col min="20" max="21" width="20.453125" customWidth="1"/>
    <col min="22" max="23" width="19.453125" customWidth="1"/>
    <col min="24" max="25" width="23.453125" customWidth="1"/>
    <col min="26" max="27" width="22.453125" customWidth="1"/>
    <col min="28" max="31" width="17.453125" customWidth="1"/>
    <col min="32" max="32" width="27.81640625" customWidth="1"/>
    <col min="33" max="33" width="21.453125" customWidth="1"/>
    <col min="34" max="34" width="18.54296875" customWidth="1"/>
    <col min="35" max="35" width="17.453125" customWidth="1"/>
    <col min="36" max="37" width="25.453125" customWidth="1"/>
    <col min="38" max="39" width="16.453125" customWidth="1"/>
    <col min="40" max="40" width="2.453125" customWidth="1"/>
    <col min="41" max="41" width="36.1796875" customWidth="1"/>
    <col min="42" max="42" width="19.453125" customWidth="1"/>
    <col min="43" max="43" width="18.453125" customWidth="1"/>
    <col min="44" max="44" width="21.453125" customWidth="1"/>
    <col min="45" max="45" width="18.81640625" customWidth="1"/>
    <col min="46" max="46" width="14.453125" customWidth="1"/>
    <col min="47" max="47" width="12.453125" customWidth="1"/>
    <col min="48" max="48" width="19.453125" customWidth="1"/>
    <col min="49" max="49" width="18.453125" customWidth="1"/>
    <col min="50" max="50" width="15.453125" customWidth="1"/>
    <col min="51" max="51" width="14" customWidth="1"/>
    <col min="52" max="52" width="14.453125" customWidth="1"/>
    <col min="53" max="53" width="10.453125" customWidth="1"/>
    <col min="54" max="54" width="8.453125" customWidth="1"/>
    <col min="55" max="55" width="18.453125" customWidth="1"/>
    <col min="56" max="56" width="16.453125" customWidth="1"/>
    <col min="57" max="58" width="18.453125" customWidth="1"/>
    <col min="59" max="59" width="13.453125" customWidth="1"/>
    <col min="60" max="60" width="14.453125" customWidth="1"/>
    <col min="61" max="61" width="13.453125" customWidth="1"/>
    <col min="62" max="62" width="14.453125" customWidth="1"/>
    <col min="63" max="63" width="13.453125" customWidth="1"/>
  </cols>
  <sheetData>
    <row r="1" spans="1:63" ht="15" customHeight="1" x14ac:dyDescent="0.35">
      <c r="C1" s="4">
        <f>+SUM(C3:C390)</f>
        <v>1476988084.0878029</v>
      </c>
      <c r="E1" s="5">
        <f>+E2/B2-1</f>
        <v>4.8025691061041043E-2</v>
      </c>
      <c r="F1" s="7"/>
      <c r="G1" s="6">
        <f>+H1-H2</f>
        <v>-16599497.072170973</v>
      </c>
      <c r="H1" s="6">
        <f>+K2+O2+Q2+S2</f>
        <v>95213034</v>
      </c>
      <c r="I1" s="6"/>
      <c r="J1" s="4">
        <f>+SUM(J3:J390)</f>
        <v>1052496677</v>
      </c>
      <c r="K1" s="7"/>
      <c r="L1" s="4">
        <f>+SUM(L3:L390)</f>
        <v>11922208.148148138</v>
      </c>
      <c r="N1" s="4">
        <f>+SUM(N3:N390)</f>
        <v>15095949</v>
      </c>
      <c r="O1" s="472">
        <f>O2/N2-1</f>
        <v>-0.20159547357389518</v>
      </c>
      <c r="P1" s="4">
        <f>+SUM(P3:P390)</f>
        <v>1778047</v>
      </c>
      <c r="Q1" s="472">
        <f>Q2/P2-1</f>
        <v>0.88319577238429892</v>
      </c>
      <c r="R1" s="4">
        <f>+SUM(R3:R390)</f>
        <v>38372162</v>
      </c>
      <c r="T1" s="4">
        <f>+SUM(T3:T390)</f>
        <v>246545972.18103448</v>
      </c>
      <c r="U1" s="6"/>
      <c r="V1" s="4">
        <f>+SUM(V3:V390)</f>
        <v>69887565</v>
      </c>
      <c r="X1" s="4">
        <f>+SUM(X3:X390)</f>
        <v>13621842</v>
      </c>
      <c r="Y1" s="6"/>
      <c r="Z1" s="4">
        <f>+SUM(Z3:Z390)</f>
        <v>6763095</v>
      </c>
      <c r="AB1" s="4">
        <f>+SUM(AB3:AB390)</f>
        <v>812068.5948275869</v>
      </c>
      <c r="AC1">
        <v>27348</v>
      </c>
      <c r="AD1" s="4">
        <f>+SUM(AD3:AD390)</f>
        <v>75093.965517241406</v>
      </c>
      <c r="AE1" s="6">
        <f>+AD1+AB1+Z1+X1+V1+T1</f>
        <v>337705636.74137932</v>
      </c>
      <c r="AF1" s="6">
        <f>+AC2+AA2+Y2+W2+U2</f>
        <v>20841229</v>
      </c>
      <c r="AK1" s="5">
        <f>+AK2-AJ2</f>
        <v>5.8761724524567654E-3</v>
      </c>
      <c r="AO1" s="6">
        <f>+AR2-AP2</f>
        <v>11420766.517241374</v>
      </c>
      <c r="AP1" s="24">
        <f>+AQ2+AP2</f>
        <v>105814915.37068966</v>
      </c>
      <c r="AR1" s="25">
        <f>+AS2+AR2</f>
        <v>117462789</v>
      </c>
      <c r="AS1" s="5">
        <f>1+AT1</f>
        <v>1.1100778050854705</v>
      </c>
      <c r="AT1" s="26">
        <f>+AR1/AP1-1</f>
        <v>0.11007780508547049</v>
      </c>
      <c r="AV1" s="25">
        <f>+AW2+AV2</f>
        <v>141394761.74161661</v>
      </c>
      <c r="AW1" s="26">
        <f>+AR1/AV1-1</f>
        <v>-0.16925643105046317</v>
      </c>
      <c r="AZ1" s="27"/>
      <c r="BA1" s="6"/>
      <c r="BC1" s="25">
        <f>+BD2+BC2</f>
        <v>-23931972.74161664</v>
      </c>
      <c r="BE1" s="28">
        <f>+BF2+BE2</f>
        <v>11647873.62931034</v>
      </c>
    </row>
    <row r="2" spans="1:63" ht="14.25" customHeight="1" x14ac:dyDescent="0.35">
      <c r="B2" s="4">
        <f>+SUBTOTAL(9,B4:B274)</f>
        <v>1066195902</v>
      </c>
      <c r="C2" s="4">
        <f>+SUBTOTAL(9,C4:C274)</f>
        <v>105814915.37068966</v>
      </c>
      <c r="E2" s="4">
        <f>+SUBTOTAL(9,E4:E274)</f>
        <v>1117400697</v>
      </c>
      <c r="F2" s="4"/>
      <c r="G2" s="4">
        <f t="shared" ref="G2:AF2" si="0">+SUBTOTAL(9,G4:G274)</f>
        <v>141394761.7416167</v>
      </c>
      <c r="H2" s="4">
        <f t="shared" si="0"/>
        <v>111812531.07217097</v>
      </c>
      <c r="I2" s="4">
        <f t="shared" si="0"/>
        <v>29582230.669445641</v>
      </c>
      <c r="J2" s="4">
        <f t="shared" si="0"/>
        <v>80460071</v>
      </c>
      <c r="K2" s="4">
        <f t="shared" si="0"/>
        <v>91067813</v>
      </c>
      <c r="L2" s="4">
        <f t="shared" si="0"/>
        <v>836259.48275862064</v>
      </c>
      <c r="M2" s="4">
        <f t="shared" si="0"/>
        <v>1289963</v>
      </c>
      <c r="N2" s="4">
        <f t="shared" si="0"/>
        <v>873095</v>
      </c>
      <c r="O2" s="4">
        <f t="shared" si="0"/>
        <v>697083</v>
      </c>
      <c r="P2" s="4">
        <f t="shared" si="0"/>
        <v>110133</v>
      </c>
      <c r="Q2" s="4">
        <f t="shared" si="0"/>
        <v>207402</v>
      </c>
      <c r="R2" s="4">
        <f t="shared" si="0"/>
        <v>2802672</v>
      </c>
      <c r="S2" s="4">
        <f t="shared" si="0"/>
        <v>3240736</v>
      </c>
      <c r="T2" s="4">
        <f t="shared" si="0"/>
        <v>14393131</v>
      </c>
      <c r="U2" s="4">
        <f t="shared" si="0"/>
        <v>12083776</v>
      </c>
      <c r="V2" s="4">
        <f t="shared" si="0"/>
        <v>5222555</v>
      </c>
      <c r="W2" s="4">
        <f t="shared" si="0"/>
        <v>7003738</v>
      </c>
      <c r="X2" s="4">
        <f t="shared" si="0"/>
        <v>876242</v>
      </c>
      <c r="Y2" s="4">
        <f t="shared" si="0"/>
        <v>998920</v>
      </c>
      <c r="Z2" s="4">
        <f t="shared" si="0"/>
        <v>203616</v>
      </c>
      <c r="AA2" s="4">
        <f t="shared" si="0"/>
        <v>122774</v>
      </c>
      <c r="AB2" s="4">
        <f t="shared" si="0"/>
        <v>31456.405172413793</v>
      </c>
      <c r="AC2" s="4">
        <f t="shared" si="0"/>
        <v>632021</v>
      </c>
      <c r="AD2" s="4">
        <f t="shared" si="0"/>
        <v>5684.4827586206893</v>
      </c>
      <c r="AE2" s="4">
        <f t="shared" si="0"/>
        <v>118563</v>
      </c>
      <c r="AF2" s="4">
        <f t="shared" si="0"/>
        <v>117462789</v>
      </c>
      <c r="AG2" s="8">
        <f>+AF2/G2</f>
        <v>0.83074356894953627</v>
      </c>
      <c r="AH2" s="4">
        <f>+SUBTOTAL(9,AH4:AH274)</f>
        <v>-23931972.74161664</v>
      </c>
      <c r="AI2" s="9">
        <f>+AF2/C2-1</f>
        <v>0.11007780508547049</v>
      </c>
      <c r="AJ2" s="9">
        <f>+C2/B2</f>
        <v>9.9245284259861719E-2</v>
      </c>
      <c r="AK2" s="10">
        <f>+AF2/E2</f>
        <v>0.10512145671231848</v>
      </c>
      <c r="AL2" s="9">
        <f>+E2/B2-1</f>
        <v>4.8025691061041043E-2</v>
      </c>
      <c r="AM2" s="29"/>
      <c r="AO2" s="4"/>
      <c r="AP2" s="4">
        <f t="shared" ref="AP2:AS2" si="1">+SUBTOTAL(9,AP4:AP274)</f>
        <v>85082230.482758626</v>
      </c>
      <c r="AQ2" s="4">
        <f t="shared" si="1"/>
        <v>20732684.887931041</v>
      </c>
      <c r="AR2" s="4">
        <f>+SUBTOTAL(9,AR4:AR274)</f>
        <v>96502997</v>
      </c>
      <c r="AS2" s="4">
        <f t="shared" si="1"/>
        <v>20959792</v>
      </c>
      <c r="AT2" s="30">
        <f>+AR2/AP2-1</f>
        <v>0.1342321005507221</v>
      </c>
      <c r="AU2" s="30">
        <f>+AS2/AQ2-1</f>
        <v>1.0954061825401151E-2</v>
      </c>
      <c r="AV2" s="4">
        <f t="shared" ref="AV2:AW2" si="2">+SUBTOTAL(9,AV4:AV274)</f>
        <v>111812531.07217097</v>
      </c>
      <c r="AW2" s="4">
        <f t="shared" si="2"/>
        <v>29582230.669445641</v>
      </c>
      <c r="AX2" s="31">
        <f>+AR2/AV2</f>
        <v>0.86307854830431108</v>
      </c>
      <c r="AY2" s="31">
        <f>+AS2/AW2</f>
        <v>0.7085264202759588</v>
      </c>
      <c r="AZ2" s="5">
        <f>+(AR2+AS2)/(AV2+AW2)</f>
        <v>0.83074356894953683</v>
      </c>
      <c r="BA2" s="6"/>
      <c r="BC2" s="4">
        <f t="shared" ref="BC2:BF2" si="3">+SUBTOTAL(9,BC4:BC274)</f>
        <v>-15309534.072170999</v>
      </c>
      <c r="BD2" s="4">
        <f t="shared" si="3"/>
        <v>-8622438.6694456413</v>
      </c>
      <c r="BE2" s="4">
        <f t="shared" si="3"/>
        <v>11420766.517241376</v>
      </c>
      <c r="BF2" s="4">
        <f t="shared" si="3"/>
        <v>227107.1120689651</v>
      </c>
      <c r="BH2">
        <v>2026</v>
      </c>
      <c r="BI2">
        <v>2025</v>
      </c>
      <c r="BJ2">
        <v>2026</v>
      </c>
      <c r="BK2">
        <v>2025</v>
      </c>
    </row>
    <row r="3" spans="1:63" ht="14.25" customHeight="1" x14ac:dyDescent="0.35">
      <c r="A3" s="11">
        <v>2025</v>
      </c>
      <c r="B3" s="12" t="s">
        <v>0</v>
      </c>
      <c r="C3" s="13" t="s">
        <v>230</v>
      </c>
      <c r="D3" s="13" t="s">
        <v>231</v>
      </c>
      <c r="E3" s="470" t="s">
        <v>1</v>
      </c>
      <c r="F3" s="470" t="s">
        <v>8</v>
      </c>
      <c r="G3" s="471" t="s">
        <v>9</v>
      </c>
      <c r="H3" s="471" t="s">
        <v>10</v>
      </c>
      <c r="I3" s="471" t="s">
        <v>11</v>
      </c>
      <c r="J3" s="13" t="s">
        <v>12</v>
      </c>
      <c r="K3" s="13" t="s">
        <v>13</v>
      </c>
      <c r="L3" s="13" t="s">
        <v>14</v>
      </c>
      <c r="M3" s="13" t="s">
        <v>15</v>
      </c>
      <c r="N3" s="13" t="s">
        <v>16</v>
      </c>
      <c r="O3" s="13" t="s">
        <v>17</v>
      </c>
      <c r="P3" s="13" t="s">
        <v>18</v>
      </c>
      <c r="Q3" s="13" t="s">
        <v>19</v>
      </c>
      <c r="R3" s="13" t="s">
        <v>20</v>
      </c>
      <c r="S3" s="13" t="s">
        <v>21</v>
      </c>
      <c r="T3" s="13" t="s">
        <v>22</v>
      </c>
      <c r="U3" s="13" t="s">
        <v>23</v>
      </c>
      <c r="V3" s="13" t="s">
        <v>24</v>
      </c>
      <c r="W3" s="13" t="s">
        <v>25</v>
      </c>
      <c r="X3" s="13" t="s">
        <v>26</v>
      </c>
      <c r="Y3" s="13" t="s">
        <v>27</v>
      </c>
      <c r="Z3" s="13" t="s">
        <v>28</v>
      </c>
      <c r="AA3" s="13" t="s">
        <v>29</v>
      </c>
      <c r="AB3" s="13" t="s">
        <v>30</v>
      </c>
      <c r="AC3" s="13" t="s">
        <v>31</v>
      </c>
      <c r="AD3" s="13" t="s">
        <v>32</v>
      </c>
      <c r="AE3" s="13" t="s">
        <v>33</v>
      </c>
      <c r="AF3" s="14" t="s">
        <v>232</v>
      </c>
      <c r="AG3" s="14" t="s">
        <v>233</v>
      </c>
      <c r="AH3" s="14" t="s">
        <v>234</v>
      </c>
      <c r="AI3" s="15" t="s">
        <v>235</v>
      </c>
      <c r="AJ3" s="13" t="s">
        <v>236</v>
      </c>
      <c r="AK3" s="13" t="s">
        <v>237</v>
      </c>
      <c r="AL3" s="13" t="s">
        <v>238</v>
      </c>
      <c r="AM3" s="32"/>
      <c r="AO3" s="33" t="s">
        <v>239</v>
      </c>
      <c r="AP3" s="34" t="s">
        <v>4</v>
      </c>
      <c r="AQ3" s="34" t="s">
        <v>6</v>
      </c>
      <c r="AR3" s="35" t="s">
        <v>240</v>
      </c>
      <c r="AS3" s="35" t="s">
        <v>241</v>
      </c>
      <c r="AT3" s="2" t="s">
        <v>242</v>
      </c>
      <c r="AU3" s="2" t="s">
        <v>243</v>
      </c>
      <c r="AV3" s="2" t="s">
        <v>10</v>
      </c>
      <c r="AW3" s="2" t="s">
        <v>244</v>
      </c>
      <c r="AX3" s="2" t="s">
        <v>245</v>
      </c>
      <c r="AY3" s="2" t="s">
        <v>246</v>
      </c>
      <c r="AZ3" s="2" t="s">
        <v>247</v>
      </c>
      <c r="BA3" s="2" t="s">
        <v>248</v>
      </c>
      <c r="BB3" s="36" t="s">
        <v>249</v>
      </c>
      <c r="BC3" s="2" t="s">
        <v>250</v>
      </c>
      <c r="BD3" s="2" t="s">
        <v>251</v>
      </c>
      <c r="BE3" s="37" t="s">
        <v>252</v>
      </c>
      <c r="BF3" s="4" t="s">
        <v>253</v>
      </c>
      <c r="BH3" t="s">
        <v>261</v>
      </c>
      <c r="BI3" t="s">
        <v>261</v>
      </c>
      <c r="BJ3" s="6" t="s">
        <v>262</v>
      </c>
    </row>
    <row r="4" spans="1:63" ht="14.25" hidden="1" customHeight="1" x14ac:dyDescent="0.35">
      <c r="A4" s="16">
        <v>45658</v>
      </c>
      <c r="B4" s="17">
        <v>-29064</v>
      </c>
      <c r="C4" s="17">
        <f t="shared" ref="C4:C67" si="4">+J4+L4+N4+P4+R4+T4+V4+X4+Z4+AB4+AD4</f>
        <v>-29107</v>
      </c>
      <c r="D4" s="18">
        <f t="shared" ref="D4:D34" si="5">+C4/(SUM($C$4:$C$34))</f>
        <v>-3.3795058862703904E-4</v>
      </c>
      <c r="E4" s="17">
        <v>1767787</v>
      </c>
      <c r="F4" s="19">
        <v>46023</v>
      </c>
      <c r="G4" s="17">
        <f t="shared" ref="G4:G67" si="6">+H4+I4</f>
        <v>-36578.827797188496</v>
      </c>
      <c r="H4" s="17">
        <v>-91461.011238662599</v>
      </c>
      <c r="I4" s="17">
        <v>54882.183441474102</v>
      </c>
      <c r="J4" s="17">
        <v>-70516</v>
      </c>
      <c r="K4" s="17">
        <v>1117875</v>
      </c>
      <c r="L4" s="17">
        <v>0</v>
      </c>
      <c r="M4" s="17">
        <v>17319</v>
      </c>
      <c r="N4" s="17">
        <v>-1214</v>
      </c>
      <c r="O4" s="17">
        <v>0</v>
      </c>
      <c r="P4" s="17">
        <v>0</v>
      </c>
      <c r="Q4" s="17">
        <v>1884</v>
      </c>
      <c r="R4" s="17">
        <v>0</v>
      </c>
      <c r="S4" s="17">
        <v>0</v>
      </c>
      <c r="T4" s="17">
        <v>-35912</v>
      </c>
      <c r="U4" s="17">
        <v>511381</v>
      </c>
      <c r="V4" s="17">
        <v>79921</v>
      </c>
      <c r="W4" s="17">
        <v>78269</v>
      </c>
      <c r="X4" s="17">
        <v>-1386</v>
      </c>
      <c r="Y4" s="17">
        <v>31357</v>
      </c>
      <c r="Z4" s="17">
        <v>0</v>
      </c>
      <c r="AA4" s="17">
        <v>7591</v>
      </c>
      <c r="AB4" s="17"/>
      <c r="AC4" s="17">
        <v>2016</v>
      </c>
      <c r="AD4" s="17">
        <v>0</v>
      </c>
      <c r="AE4" s="17">
        <v>0</v>
      </c>
      <c r="AF4" s="17">
        <f t="shared" ref="AF4:AF67" si="7">+AE4+AC4+AA4+Y4+W4+U4+S4+Q4+O4+M4+K4</f>
        <v>1767692</v>
      </c>
      <c r="AG4" s="18">
        <f t="shared" ref="AG4:AG67" si="8">+AF4/G4</f>
        <v>-48.325550774917602</v>
      </c>
      <c r="AH4" s="17">
        <f t="shared" ref="AH4:AH67" si="9">+AF4-G4</f>
        <v>1804270.8277971884</v>
      </c>
      <c r="AI4" s="20">
        <f t="shared" ref="AI4:AI67" si="10">+AF4/C5-1</f>
        <v>-0.49927091429544146</v>
      </c>
      <c r="AJ4" s="20">
        <f t="shared" ref="AJ4:AJ67" si="11">+C5/B5</f>
        <v>9.9204946942109018E-2</v>
      </c>
      <c r="AK4" s="21">
        <f t="shared" ref="AK4:AK35" si="12">+AF4/E4</f>
        <v>0.99994626049405277</v>
      </c>
      <c r="AL4" s="21">
        <f t="shared" ref="AL4:AL67" si="13">+E4/B5-1</f>
        <v>-0.95032252797750527</v>
      </c>
      <c r="AM4" s="31"/>
      <c r="AO4" s="38">
        <f t="shared" ref="AO4:AO67" si="14">+F4</f>
        <v>46023</v>
      </c>
      <c r="AP4" s="17">
        <f>+Tabla22[[#This Row],[Web + APP 2025]]+Tabla22[[#This Row],[Afiliados 2025]]+Tabla22[[#This Row],[TMK 2025]]+Tabla22[[#This Row],[WA 2025]]+Tabla22[[#This Row],[Ent. en Tienda 2025]]</f>
        <v>-71730</v>
      </c>
      <c r="AQ4" s="17">
        <f>+Tabla22[[#This Row],[Meli Drop 2025]]+Tabla22[[#This Row],[Meli Full 2025]]+Tabla22[[#This Row],[Amazon Drop 2025]]+Tabla22[[#This Row],[Amazon Full 2025]]+Tabla22[[#This Row],[TikTok 2025]]+Tabla22[[#This Row],[Shein 2025]]</f>
        <v>42623</v>
      </c>
      <c r="AR4" s="17">
        <f t="shared" ref="AR4:AR67" si="15">+K4+M4+O4+Q4+S4</f>
        <v>1137078</v>
      </c>
      <c r="AS4" s="17">
        <f t="shared" ref="AS4:AS67" si="16">+U4+W4+Y4+AA4+AC4+AE4</f>
        <v>630614</v>
      </c>
      <c r="AT4" s="18">
        <f t="shared" ref="AT4:AT67" si="17">+AR4/AP4-1</f>
        <v>-16.852195734002507</v>
      </c>
      <c r="AU4" s="18">
        <f t="shared" ref="AU4:AU67" si="18">+AS4/AQ4-1</f>
        <v>13.795157544048987</v>
      </c>
      <c r="AV4" s="17">
        <f t="shared" ref="AV4:AV67" si="19">+H4</f>
        <v>-91461.011238662599</v>
      </c>
      <c r="AW4" s="17">
        <f t="shared" ref="AW4:AW67" si="20">+I4</f>
        <v>54882.183441474102</v>
      </c>
      <c r="AX4" s="39">
        <f t="shared" ref="AX4:AX67" si="21">+AR4/AV4</f>
        <v>-12.432379487176847</v>
      </c>
      <c r="AY4" s="39">
        <f t="shared" ref="AY4:AY67" si="22">+AS4/AW4</f>
        <v>11.490322732376008</v>
      </c>
      <c r="AZ4" s="39">
        <f t="shared" ref="AZ4:AZ67" si="23">+(AR4+AS4)/(AV4+AW4)</f>
        <v>-48.325550774917602</v>
      </c>
      <c r="BA4" s="18">
        <v>2.46108445925893E-3</v>
      </c>
      <c r="BB4" s="20">
        <v>-1.0424480023677001E-3</v>
      </c>
      <c r="BC4" s="17">
        <f t="shared" ref="BC4:BC67" si="24">+AR4-AV4</f>
        <v>1228539.0112386625</v>
      </c>
      <c r="BD4" s="17">
        <f t="shared" ref="BD4:BD67" si="25">+AS4-AW4</f>
        <v>575731.8165585259</v>
      </c>
      <c r="BE4" s="32"/>
      <c r="BF4" s="40"/>
      <c r="BG4" s="40"/>
      <c r="BH4" s="32"/>
    </row>
    <row r="5" spans="1:63" ht="14.25" hidden="1" customHeight="1" x14ac:dyDescent="0.35">
      <c r="A5" s="19">
        <v>45659</v>
      </c>
      <c r="B5" s="17">
        <f>+'BD MD'!B4</f>
        <v>35585285</v>
      </c>
      <c r="C5" s="17">
        <f t="shared" si="4"/>
        <v>3530236.3103448278</v>
      </c>
      <c r="D5" s="18">
        <f t="shared" si="5"/>
        <v>4.0988265333891542E-2</v>
      </c>
      <c r="E5" s="17">
        <v>37878399</v>
      </c>
      <c r="F5" s="19">
        <v>46024</v>
      </c>
      <c r="G5" s="17">
        <f t="shared" si="6"/>
        <v>4512263.3008681601</v>
      </c>
      <c r="H5" s="17">
        <v>3388095.96883546</v>
      </c>
      <c r="I5" s="17">
        <v>1124167.3320327001</v>
      </c>
      <c r="J5" s="17">
        <v>2533552</v>
      </c>
      <c r="K5" s="17">
        <v>1824628</v>
      </c>
      <c r="L5" s="17">
        <v>48254.310344827602</v>
      </c>
      <c r="M5" s="17">
        <f>20000+12072</f>
        <v>32072</v>
      </c>
      <c r="N5" s="17">
        <v>21696</v>
      </c>
      <c r="O5" s="17">
        <v>15461</v>
      </c>
      <c r="P5" s="17">
        <v>5984</v>
      </c>
      <c r="Q5" s="17">
        <v>5339</v>
      </c>
      <c r="R5" s="17">
        <v>47691</v>
      </c>
      <c r="S5" s="17">
        <v>100874</v>
      </c>
      <c r="T5" s="17">
        <v>671816</v>
      </c>
      <c r="U5" s="17">
        <v>906403</v>
      </c>
      <c r="V5" s="17">
        <v>116771</v>
      </c>
      <c r="W5" s="17">
        <v>134485</v>
      </c>
      <c r="X5" s="17">
        <v>84472</v>
      </c>
      <c r="Y5" s="17">
        <v>28403</v>
      </c>
      <c r="Z5" s="17">
        <v>0</v>
      </c>
      <c r="AA5" s="17">
        <v>8334</v>
      </c>
      <c r="AB5" s="17">
        <v>0</v>
      </c>
      <c r="AC5" s="17">
        <v>1412</v>
      </c>
      <c r="AD5" s="17">
        <v>0</v>
      </c>
      <c r="AE5" s="17">
        <v>0</v>
      </c>
      <c r="AF5" s="17">
        <f t="shared" si="7"/>
        <v>3057411</v>
      </c>
      <c r="AG5" s="18">
        <f t="shared" si="8"/>
        <v>0.67757814563076446</v>
      </c>
      <c r="AH5" s="17">
        <f t="shared" si="9"/>
        <v>-1454852.3008681601</v>
      </c>
      <c r="AI5" s="20">
        <f t="shared" si="10"/>
        <v>0.44064509957862086</v>
      </c>
      <c r="AJ5" s="20">
        <f t="shared" si="11"/>
        <v>4.7098927499513062E-2</v>
      </c>
      <c r="AK5" s="21">
        <f t="shared" si="12"/>
        <v>8.0716479067660704E-2</v>
      </c>
      <c r="AL5" s="21">
        <f t="shared" si="13"/>
        <v>-0.15936819988512507</v>
      </c>
      <c r="AM5" s="31"/>
      <c r="AO5" s="38">
        <f t="shared" si="14"/>
        <v>46024</v>
      </c>
      <c r="AP5" s="17">
        <f>+Tabla22[[#This Row],[Web + APP 2025]]+Tabla22[[#This Row],[Afiliados 2025]]+Tabla22[[#This Row],[TMK 2025]]+Tabla22[[#This Row],[WA 2025]]+Tabla22[[#This Row],[Ent. en Tienda 2025]]</f>
        <v>2657177.3103448278</v>
      </c>
      <c r="AQ5" s="17">
        <f>+Tabla22[[#This Row],[Meli Drop 2025]]+Tabla22[[#This Row],[Meli Full 2025]]+Tabla22[[#This Row],[Amazon Drop 2025]]+Tabla22[[#This Row],[Amazon Full 2025]]+Tabla22[[#This Row],[TikTok 2025]]+Tabla22[[#This Row],[Shein 2025]]</f>
        <v>873059</v>
      </c>
      <c r="AR5" s="17">
        <f t="shared" si="15"/>
        <v>1978374</v>
      </c>
      <c r="AS5" s="17">
        <f t="shared" si="16"/>
        <v>1079037</v>
      </c>
      <c r="AT5" s="18">
        <f t="shared" si="17"/>
        <v>-0.25546029905574419</v>
      </c>
      <c r="AU5" s="18">
        <f t="shared" si="18"/>
        <v>0.2359267815806263</v>
      </c>
      <c r="AV5" s="17">
        <f t="shared" si="19"/>
        <v>3388095.96883546</v>
      </c>
      <c r="AW5" s="17">
        <f t="shared" si="20"/>
        <v>1124167.3320327001</v>
      </c>
      <c r="AX5" s="39">
        <f t="shared" si="21"/>
        <v>0.58391911510109828</v>
      </c>
      <c r="AY5" s="39">
        <f t="shared" si="22"/>
        <v>0.95985443559270112</v>
      </c>
      <c r="AZ5" s="39">
        <f t="shared" si="23"/>
        <v>0.67757814563076446</v>
      </c>
      <c r="BA5" s="18">
        <v>5.04110911225428E-2</v>
      </c>
      <c r="BB5" s="20">
        <v>3.86166064283529E-2</v>
      </c>
      <c r="BC5" s="17">
        <f t="shared" si="24"/>
        <v>-1409721.96883546</v>
      </c>
      <c r="BD5" s="17">
        <f t="shared" si="25"/>
        <v>-45130.332032700069</v>
      </c>
      <c r="BE5" s="32"/>
      <c r="BF5" s="40"/>
      <c r="BG5" s="40"/>
      <c r="BH5" s="32"/>
    </row>
    <row r="6" spans="1:63" ht="14.25" hidden="1" customHeight="1" x14ac:dyDescent="0.35">
      <c r="A6" s="16">
        <v>45660</v>
      </c>
      <c r="B6" s="17">
        <f>+'BD MD'!B5</f>
        <v>45059441</v>
      </c>
      <c r="C6" s="17">
        <f t="shared" si="4"/>
        <v>2122251.3448275863</v>
      </c>
      <c r="D6" s="18">
        <f t="shared" si="5"/>
        <v>2.4640673762291131E-2</v>
      </c>
      <c r="E6" s="17">
        <v>45280774</v>
      </c>
      <c r="F6" s="19">
        <v>46025</v>
      </c>
      <c r="G6" s="17">
        <f t="shared" si="6"/>
        <v>2715709.2287748121</v>
      </c>
      <c r="H6" s="17">
        <v>1721884.99003478</v>
      </c>
      <c r="I6" s="17">
        <v>993824.23874003196</v>
      </c>
      <c r="J6" s="17">
        <v>1249824</v>
      </c>
      <c r="K6" s="17">
        <v>1844500</v>
      </c>
      <c r="L6" s="17">
        <v>33610.344827586203</v>
      </c>
      <c r="M6" s="17">
        <f>18860+11525</f>
        <v>30385</v>
      </c>
      <c r="N6" s="17">
        <v>21922</v>
      </c>
      <c r="O6" s="17">
        <v>4998</v>
      </c>
      <c r="P6" s="17">
        <v>4267</v>
      </c>
      <c r="Q6" s="17">
        <v>903</v>
      </c>
      <c r="R6" s="17">
        <v>40797</v>
      </c>
      <c r="S6" s="17">
        <v>60781</v>
      </c>
      <c r="T6" s="17">
        <v>650641</v>
      </c>
      <c r="U6" s="17">
        <v>517553</v>
      </c>
      <c r="V6" s="17">
        <v>73651</v>
      </c>
      <c r="W6" s="17">
        <v>118746</v>
      </c>
      <c r="X6" s="17">
        <v>47539</v>
      </c>
      <c r="Y6" s="17">
        <v>27889</v>
      </c>
      <c r="Z6" s="17">
        <v>0</v>
      </c>
      <c r="AA6" s="17">
        <v>13091</v>
      </c>
      <c r="AB6" s="17">
        <v>0</v>
      </c>
      <c r="AC6" s="17">
        <v>688</v>
      </c>
      <c r="AD6" s="17">
        <v>0</v>
      </c>
      <c r="AE6" s="17">
        <v>0</v>
      </c>
      <c r="AF6" s="17">
        <f t="shared" si="7"/>
        <v>2619534</v>
      </c>
      <c r="AG6" s="18">
        <f t="shared" si="8"/>
        <v>0.96458559415869372</v>
      </c>
      <c r="AH6" s="17">
        <f t="shared" si="9"/>
        <v>-96175.228774812073</v>
      </c>
      <c r="AI6" s="20">
        <f t="shared" si="10"/>
        <v>0.99679850842739448</v>
      </c>
      <c r="AJ6" s="20">
        <f t="shared" si="11"/>
        <v>2.4863123636672625E-2</v>
      </c>
      <c r="AK6" s="21">
        <f t="shared" si="12"/>
        <v>5.7850910410674521E-2</v>
      </c>
      <c r="AL6" s="21">
        <f t="shared" si="13"/>
        <v>-0.1418173397770226</v>
      </c>
      <c r="AM6" s="31"/>
      <c r="AO6" s="38">
        <f t="shared" si="14"/>
        <v>46025</v>
      </c>
      <c r="AP6" s="17">
        <f>+Tabla22[[#This Row],[Web + APP 2025]]+Tabla22[[#This Row],[Afiliados 2025]]+Tabla22[[#This Row],[TMK 2025]]+Tabla22[[#This Row],[WA 2025]]+Tabla22[[#This Row],[Ent. en Tienda 2025]]</f>
        <v>1350420.3448275863</v>
      </c>
      <c r="AQ6" s="17">
        <f>+Tabla22[[#This Row],[Meli Drop 2025]]+Tabla22[[#This Row],[Meli Full 2025]]+Tabla22[[#This Row],[Amazon Drop 2025]]+Tabla22[[#This Row],[Amazon Full 2025]]+Tabla22[[#This Row],[TikTok 2025]]+Tabla22[[#This Row],[Shein 2025]]</f>
        <v>771831</v>
      </c>
      <c r="AR6" s="17">
        <f t="shared" si="15"/>
        <v>1941567</v>
      </c>
      <c r="AS6" s="17">
        <f t="shared" si="16"/>
        <v>677967</v>
      </c>
      <c r="AT6" s="18">
        <f t="shared" si="17"/>
        <v>0.43775011050199164</v>
      </c>
      <c r="AU6" s="18">
        <f t="shared" si="18"/>
        <v>-0.12161211456912202</v>
      </c>
      <c r="AV6" s="17">
        <f t="shared" si="19"/>
        <v>1721884.99003478</v>
      </c>
      <c r="AW6" s="17">
        <f t="shared" si="20"/>
        <v>993824.23874003196</v>
      </c>
      <c r="AX6" s="39">
        <f t="shared" si="21"/>
        <v>1.12758227828026</v>
      </c>
      <c r="AY6" s="39">
        <f t="shared" si="22"/>
        <v>0.68217998069711494</v>
      </c>
      <c r="AZ6" s="39">
        <f t="shared" si="23"/>
        <v>0.96458559415869372</v>
      </c>
      <c r="BA6" s="18">
        <v>4.4566109360539598E-2</v>
      </c>
      <c r="BB6" s="20">
        <v>1.96255819158263E-2</v>
      </c>
      <c r="BC6" s="17">
        <f t="shared" si="24"/>
        <v>219682.00996522</v>
      </c>
      <c r="BD6" s="17">
        <f t="shared" si="25"/>
        <v>-315857.23874003196</v>
      </c>
      <c r="BE6" s="32"/>
      <c r="BF6" s="40"/>
      <c r="BG6" s="40"/>
      <c r="BH6" s="32"/>
    </row>
    <row r="7" spans="1:63" ht="14.25" hidden="1" customHeight="1" x14ac:dyDescent="0.35">
      <c r="A7" s="19">
        <v>45661</v>
      </c>
      <c r="B7" s="508">
        <f>+'BD MD'!B6</f>
        <v>52763562</v>
      </c>
      <c r="C7" s="17">
        <f t="shared" si="4"/>
        <v>1311866.9655172415</v>
      </c>
      <c r="D7" s="18">
        <f t="shared" si="5"/>
        <v>1.5231601099286058E-2</v>
      </c>
      <c r="E7" s="17">
        <v>49319936</v>
      </c>
      <c r="F7" s="19">
        <v>46026</v>
      </c>
      <c r="G7" s="17">
        <f t="shared" si="6"/>
        <v>1677704.5316270911</v>
      </c>
      <c r="H7" s="17">
        <v>1166795.35022248</v>
      </c>
      <c r="I7" s="17">
        <v>510909.18140461098</v>
      </c>
      <c r="J7" s="17">
        <v>805491</v>
      </c>
      <c r="K7" s="17">
        <v>1894237</v>
      </c>
      <c r="L7" s="17">
        <v>33443.965517241399</v>
      </c>
      <c r="M7" s="17">
        <f>20047+15747</f>
        <v>35794</v>
      </c>
      <c r="N7" s="17">
        <v>-972</v>
      </c>
      <c r="O7" s="17">
        <v>2820</v>
      </c>
      <c r="P7" s="17">
        <v>125</v>
      </c>
      <c r="Q7" s="17">
        <v>1256</v>
      </c>
      <c r="R7" s="17">
        <v>76993</v>
      </c>
      <c r="S7" s="17">
        <v>34216</v>
      </c>
      <c r="T7" s="17">
        <v>272764</v>
      </c>
      <c r="U7" s="17">
        <v>181111</v>
      </c>
      <c r="V7" s="17">
        <v>79911</v>
      </c>
      <c r="W7" s="17">
        <v>111132</v>
      </c>
      <c r="X7" s="17">
        <v>44111</v>
      </c>
      <c r="Y7" s="17">
        <v>24171</v>
      </c>
      <c r="Z7" s="17">
        <v>0</v>
      </c>
      <c r="AA7" s="17">
        <v>11093</v>
      </c>
      <c r="AB7" s="17">
        <v>0</v>
      </c>
      <c r="AC7" s="17">
        <v>0</v>
      </c>
      <c r="AD7" s="17">
        <v>0</v>
      </c>
      <c r="AE7" s="17">
        <v>0</v>
      </c>
      <c r="AF7" s="17">
        <f t="shared" si="7"/>
        <v>2295830</v>
      </c>
      <c r="AG7" s="18">
        <f t="shared" si="8"/>
        <v>1.3684352379816433</v>
      </c>
      <c r="AH7" s="17">
        <f t="shared" si="9"/>
        <v>618125.46837290889</v>
      </c>
      <c r="AI7" s="20">
        <f t="shared" si="10"/>
        <v>0.25859475988907188</v>
      </c>
      <c r="AJ7" s="20">
        <f t="shared" si="11"/>
        <v>3.6651870994486441E-2</v>
      </c>
      <c r="AK7" s="21">
        <f t="shared" si="12"/>
        <v>4.6549735993169174E-2</v>
      </c>
      <c r="AL7" s="21">
        <f t="shared" si="13"/>
        <v>-9.0200988345000566E-3</v>
      </c>
      <c r="AM7" s="31"/>
      <c r="AO7" s="38">
        <f t="shared" si="14"/>
        <v>46026</v>
      </c>
      <c r="AP7" s="17">
        <f>+Tabla22[[#This Row],[Web + APP 2025]]+Tabla22[[#This Row],[Afiliados 2025]]+Tabla22[[#This Row],[TMK 2025]]+Tabla22[[#This Row],[WA 2025]]+Tabla22[[#This Row],[Ent. en Tienda 2025]]</f>
        <v>915080.96551724139</v>
      </c>
      <c r="AQ7" s="17">
        <f>+Tabla22[[#This Row],[Meli Drop 2025]]+Tabla22[[#This Row],[Meli Full 2025]]+Tabla22[[#This Row],[Amazon Drop 2025]]+Tabla22[[#This Row],[Amazon Full 2025]]+Tabla22[[#This Row],[TikTok 2025]]+Tabla22[[#This Row],[Shein 2025]]</f>
        <v>396786</v>
      </c>
      <c r="AR7" s="17">
        <f t="shared" si="15"/>
        <v>1968323</v>
      </c>
      <c r="AS7" s="17">
        <f t="shared" si="16"/>
        <v>327507</v>
      </c>
      <c r="AT7" s="18">
        <f t="shared" si="17"/>
        <v>1.1509823438272733</v>
      </c>
      <c r="AU7" s="18">
        <f t="shared" si="18"/>
        <v>-0.17460041432913465</v>
      </c>
      <c r="AV7" s="17">
        <f t="shared" si="19"/>
        <v>1166795.35022248</v>
      </c>
      <c r="AW7" s="17">
        <f t="shared" si="20"/>
        <v>510909.18140461098</v>
      </c>
      <c r="AX7" s="39">
        <f t="shared" si="21"/>
        <v>1.6869479293216996</v>
      </c>
      <c r="AY7" s="39">
        <f t="shared" si="22"/>
        <v>0.64102782240006972</v>
      </c>
      <c r="AZ7" s="39">
        <f t="shared" si="23"/>
        <v>1.3684352379816433</v>
      </c>
      <c r="BA7" s="18">
        <v>2.29107256235252E-2</v>
      </c>
      <c r="BB7" s="20">
        <v>1.3298819524719899E-2</v>
      </c>
      <c r="BC7" s="17">
        <f t="shared" si="24"/>
        <v>801527.64977751998</v>
      </c>
      <c r="BD7" s="17">
        <f t="shared" si="25"/>
        <v>-183402.18140461098</v>
      </c>
      <c r="BE7" s="32"/>
      <c r="BF7" s="40"/>
      <c r="BG7" s="40"/>
      <c r="BH7" s="32"/>
    </row>
    <row r="8" spans="1:63" ht="14.25" hidden="1" customHeight="1" x14ac:dyDescent="0.35">
      <c r="A8" s="16">
        <v>45662</v>
      </c>
      <c r="B8" s="508">
        <f>+'BD MD'!B7</f>
        <v>49768856</v>
      </c>
      <c r="C8" s="17">
        <f t="shared" si="4"/>
        <v>1824121.6896551724</v>
      </c>
      <c r="D8" s="18">
        <f t="shared" si="5"/>
        <v>2.1179200836441904E-2</v>
      </c>
      <c r="E8" s="17">
        <v>42820052</v>
      </c>
      <c r="F8" s="19">
        <v>46027</v>
      </c>
      <c r="G8" s="17">
        <f t="shared" si="6"/>
        <v>2331411.9850357091</v>
      </c>
      <c r="H8" s="17">
        <v>1764555.7592998201</v>
      </c>
      <c r="I8" s="17">
        <v>566856.22573588905</v>
      </c>
      <c r="J8" s="17">
        <v>1228466</v>
      </c>
      <c r="K8" s="17">
        <v>2243868</v>
      </c>
      <c r="L8" s="17">
        <v>26220.689655172398</v>
      </c>
      <c r="M8" s="17">
        <f>16759+12375</f>
        <v>29134</v>
      </c>
      <c r="N8" s="17">
        <v>6650</v>
      </c>
      <c r="O8" s="17">
        <v>10063</v>
      </c>
      <c r="P8" s="17">
        <v>4220</v>
      </c>
      <c r="Q8" s="17">
        <v>4612</v>
      </c>
      <c r="R8" s="17">
        <v>118329</v>
      </c>
      <c r="S8" s="17">
        <v>91070</v>
      </c>
      <c r="T8" s="17">
        <v>311434</v>
      </c>
      <c r="U8" s="17">
        <v>1061982</v>
      </c>
      <c r="V8" s="17">
        <v>74826</v>
      </c>
      <c r="W8" s="17">
        <v>81808</v>
      </c>
      <c r="X8" s="17">
        <v>53976</v>
      </c>
      <c r="Y8" s="17">
        <v>39071</v>
      </c>
      <c r="Z8" s="17">
        <v>0</v>
      </c>
      <c r="AA8" s="17">
        <v>9717</v>
      </c>
      <c r="AB8" s="17">
        <v>0</v>
      </c>
      <c r="AC8" s="17">
        <v>11108</v>
      </c>
      <c r="AD8" s="17">
        <v>0</v>
      </c>
      <c r="AE8" s="17">
        <v>0</v>
      </c>
      <c r="AF8" s="17">
        <f t="shared" si="7"/>
        <v>3582433</v>
      </c>
      <c r="AG8" s="18">
        <f t="shared" si="8"/>
        <v>1.5365937135924648</v>
      </c>
      <c r="AH8" s="17">
        <f t="shared" si="9"/>
        <v>1251021.0149642909</v>
      </c>
      <c r="AI8" s="20">
        <f t="shared" si="10"/>
        <v>0.14221213563707935</v>
      </c>
      <c r="AJ8" s="20">
        <f t="shared" si="11"/>
        <v>0.13734875221439025</v>
      </c>
      <c r="AK8" s="21">
        <f t="shared" si="12"/>
        <v>8.3662509330908796E-2</v>
      </c>
      <c r="AL8" s="21">
        <f t="shared" si="13"/>
        <v>0.87516980841892411</v>
      </c>
      <c r="AM8" s="31"/>
      <c r="AO8" s="38">
        <f t="shared" si="14"/>
        <v>46027</v>
      </c>
      <c r="AP8" s="17">
        <f>+Tabla22[[#This Row],[Web + APP 2025]]+Tabla22[[#This Row],[Afiliados 2025]]+Tabla22[[#This Row],[TMK 2025]]+Tabla22[[#This Row],[WA 2025]]+Tabla22[[#This Row],[Ent. en Tienda 2025]]</f>
        <v>1383885.6896551724</v>
      </c>
      <c r="AQ8" s="17">
        <f>+Tabla22[[#This Row],[Meli Drop 2025]]+Tabla22[[#This Row],[Meli Full 2025]]+Tabla22[[#This Row],[Amazon Drop 2025]]+Tabla22[[#This Row],[Amazon Full 2025]]+Tabla22[[#This Row],[TikTok 2025]]+Tabla22[[#This Row],[Shein 2025]]</f>
        <v>440236</v>
      </c>
      <c r="AR8" s="17">
        <f t="shared" si="15"/>
        <v>2378747</v>
      </c>
      <c r="AS8" s="17">
        <f t="shared" si="16"/>
        <v>1203686</v>
      </c>
      <c r="AT8" s="18">
        <f t="shared" si="17"/>
        <v>0.71888980266334035</v>
      </c>
      <c r="AU8" s="18">
        <f t="shared" si="18"/>
        <v>1.7341834834043559</v>
      </c>
      <c r="AV8" s="17">
        <f t="shared" si="19"/>
        <v>1764555.7592998201</v>
      </c>
      <c r="AW8" s="17">
        <f t="shared" si="20"/>
        <v>566856.22573588905</v>
      </c>
      <c r="AX8" s="39">
        <f t="shared" si="21"/>
        <v>1.3480713133961222</v>
      </c>
      <c r="AY8" s="39">
        <f t="shared" si="22"/>
        <v>2.1234414395597097</v>
      </c>
      <c r="AZ8" s="39">
        <f t="shared" si="23"/>
        <v>1.5365937135924648</v>
      </c>
      <c r="BA8" s="18">
        <v>2.54195616921923E-2</v>
      </c>
      <c r="BB8" s="20">
        <v>2.01119318651371E-2</v>
      </c>
      <c r="BC8" s="17">
        <f t="shared" si="24"/>
        <v>614191.24070017994</v>
      </c>
      <c r="BD8" s="17">
        <f t="shared" si="25"/>
        <v>636829.77426411095</v>
      </c>
      <c r="BE8" s="32"/>
      <c r="BF8" s="40"/>
      <c r="BG8" s="40"/>
      <c r="BH8" s="32"/>
    </row>
    <row r="9" spans="1:63" ht="14.25" hidden="1" customHeight="1" x14ac:dyDescent="0.35">
      <c r="A9" s="19">
        <v>45663</v>
      </c>
      <c r="B9" s="508">
        <f>+'BD MD'!B8</f>
        <v>22835293</v>
      </c>
      <c r="C9" s="17">
        <f t="shared" si="4"/>
        <v>3136399</v>
      </c>
      <c r="D9" s="18">
        <f t="shared" si="5"/>
        <v>3.6415566297428682E-2</v>
      </c>
      <c r="E9" s="17">
        <v>22329279</v>
      </c>
      <c r="F9" s="19">
        <v>46028</v>
      </c>
      <c r="G9" s="17">
        <f t="shared" si="6"/>
        <v>4010122.98131203</v>
      </c>
      <c r="H9" s="17">
        <v>2882759.7789909402</v>
      </c>
      <c r="I9" s="17">
        <v>1127363.20232109</v>
      </c>
      <c r="J9" s="17">
        <v>2147376</v>
      </c>
      <c r="K9" s="17">
        <v>2374462</v>
      </c>
      <c r="L9" s="17">
        <v>18700</v>
      </c>
      <c r="M9" s="17">
        <f>12777+8956</f>
        <v>21733</v>
      </c>
      <c r="N9" s="17">
        <v>36331</v>
      </c>
      <c r="O9" s="17">
        <v>67853</v>
      </c>
      <c r="P9" s="17">
        <v>-500</v>
      </c>
      <c r="Q9" s="17">
        <v>-114</v>
      </c>
      <c r="R9" s="17">
        <v>58951</v>
      </c>
      <c r="S9" s="17">
        <v>66697</v>
      </c>
      <c r="T9" s="17">
        <v>714238</v>
      </c>
      <c r="U9" s="17">
        <v>650825</v>
      </c>
      <c r="V9" s="17">
        <v>83712</v>
      </c>
      <c r="W9" s="17">
        <v>87785</v>
      </c>
      <c r="X9" s="17">
        <v>77591</v>
      </c>
      <c r="Y9" s="17">
        <v>32894</v>
      </c>
      <c r="Z9" s="17">
        <v>0</v>
      </c>
      <c r="AA9" s="17">
        <v>14047</v>
      </c>
      <c r="AB9" s="17">
        <v>0</v>
      </c>
      <c r="AC9" s="17">
        <v>11280</v>
      </c>
      <c r="AD9" s="17">
        <v>0</v>
      </c>
      <c r="AE9" s="17">
        <v>1120</v>
      </c>
      <c r="AF9" s="17">
        <f t="shared" si="7"/>
        <v>3328582</v>
      </c>
      <c r="AG9" s="18">
        <f t="shared" si="8"/>
        <v>0.8300448678287059</v>
      </c>
      <c r="AH9" s="17">
        <f t="shared" si="9"/>
        <v>-681540.98131203</v>
      </c>
      <c r="AI9" s="20">
        <f t="shared" si="10"/>
        <v>0.13904915701476583</v>
      </c>
      <c r="AJ9" s="20">
        <f t="shared" si="11"/>
        <v>0.12331394465472259</v>
      </c>
      <c r="AK9" s="21">
        <f t="shared" si="12"/>
        <v>0.14906804648730484</v>
      </c>
      <c r="AL9" s="21">
        <f t="shared" si="13"/>
        <v>-5.7741427374984999E-2</v>
      </c>
      <c r="AM9" s="31"/>
      <c r="AO9" s="38">
        <f t="shared" si="14"/>
        <v>46028</v>
      </c>
      <c r="AP9" s="17">
        <f>+Tabla22[[#This Row],[Web + APP 2025]]+Tabla22[[#This Row],[Afiliados 2025]]+Tabla22[[#This Row],[TMK 2025]]+Tabla22[[#This Row],[WA 2025]]+Tabla22[[#This Row],[Ent. en Tienda 2025]]</f>
        <v>2260858</v>
      </c>
      <c r="AQ9" s="17">
        <f>+Tabla22[[#This Row],[Meli Drop 2025]]+Tabla22[[#This Row],[Meli Full 2025]]+Tabla22[[#This Row],[Amazon Drop 2025]]+Tabla22[[#This Row],[Amazon Full 2025]]+Tabla22[[#This Row],[TikTok 2025]]+Tabla22[[#This Row],[Shein 2025]]</f>
        <v>875541</v>
      </c>
      <c r="AR9" s="17">
        <f t="shared" si="15"/>
        <v>2530631</v>
      </c>
      <c r="AS9" s="17">
        <f t="shared" si="16"/>
        <v>797951</v>
      </c>
      <c r="AT9" s="18">
        <f t="shared" si="17"/>
        <v>0.11932328346141152</v>
      </c>
      <c r="AU9" s="18">
        <f t="shared" si="18"/>
        <v>-8.861949354741816E-2</v>
      </c>
      <c r="AV9" s="17">
        <f t="shared" si="19"/>
        <v>2882759.7789909402</v>
      </c>
      <c r="AW9" s="17">
        <f t="shared" si="20"/>
        <v>1127363.20232109</v>
      </c>
      <c r="AX9" s="39">
        <f t="shared" si="21"/>
        <v>0.87785011378429989</v>
      </c>
      <c r="AY9" s="39">
        <f t="shared" si="22"/>
        <v>0.70780294971232482</v>
      </c>
      <c r="AZ9" s="39">
        <f t="shared" si="23"/>
        <v>0.8300448678287059</v>
      </c>
      <c r="BA9" s="18">
        <v>5.0554403691528499E-2</v>
      </c>
      <c r="BB9" s="20">
        <v>3.2856920475910198E-2</v>
      </c>
      <c r="BC9" s="17">
        <f t="shared" si="24"/>
        <v>-352128.77899094019</v>
      </c>
      <c r="BD9" s="17">
        <f t="shared" si="25"/>
        <v>-329412.20232109004</v>
      </c>
      <c r="BE9" s="32"/>
      <c r="BF9" s="40"/>
      <c r="BG9" s="40"/>
      <c r="BH9" s="32"/>
    </row>
    <row r="10" spans="1:63" ht="14.25" hidden="1" customHeight="1" x14ac:dyDescent="0.35">
      <c r="A10" s="16">
        <v>45664</v>
      </c>
      <c r="B10" s="508">
        <f>+'BD MD'!B9</f>
        <v>23697613</v>
      </c>
      <c r="C10" s="17">
        <f t="shared" si="4"/>
        <v>2922246.1379310344</v>
      </c>
      <c r="D10" s="18">
        <f t="shared" si="5"/>
        <v>3.39291167906993E-2</v>
      </c>
      <c r="E10" s="17">
        <v>23046004</v>
      </c>
      <c r="F10" s="19">
        <v>46029</v>
      </c>
      <c r="G10" s="17">
        <f t="shared" si="6"/>
        <v>3730440.5306519461</v>
      </c>
      <c r="H10" s="17">
        <v>3282709.6617250899</v>
      </c>
      <c r="I10" s="17">
        <v>447730.86892685603</v>
      </c>
      <c r="J10" s="17">
        <v>2444768</v>
      </c>
      <c r="K10" s="17">
        <v>2461726</v>
      </c>
      <c r="L10" s="17">
        <v>20049.1379310345</v>
      </c>
      <c r="M10" s="17">
        <f>14222+10727</f>
        <v>24949</v>
      </c>
      <c r="N10" s="17">
        <v>54064</v>
      </c>
      <c r="O10" s="17">
        <v>16759</v>
      </c>
      <c r="P10" s="17">
        <v>-344</v>
      </c>
      <c r="Q10" s="17">
        <v>5667</v>
      </c>
      <c r="R10" s="17">
        <v>55989</v>
      </c>
      <c r="S10" s="17">
        <v>41847</v>
      </c>
      <c r="T10" s="17">
        <v>209116</v>
      </c>
      <c r="U10" s="17">
        <v>438746</v>
      </c>
      <c r="V10" s="17">
        <v>80417</v>
      </c>
      <c r="W10" s="17">
        <v>113224</v>
      </c>
      <c r="X10" s="17">
        <v>58187</v>
      </c>
      <c r="Y10" s="17">
        <v>5778</v>
      </c>
      <c r="Z10" s="17">
        <v>0</v>
      </c>
      <c r="AA10" s="17">
        <v>10555</v>
      </c>
      <c r="AB10" s="17">
        <v>0</v>
      </c>
      <c r="AC10" s="17">
        <v>14781</v>
      </c>
      <c r="AD10" s="17">
        <v>0</v>
      </c>
      <c r="AE10" s="17">
        <v>0</v>
      </c>
      <c r="AF10" s="17">
        <f t="shared" si="7"/>
        <v>3134032</v>
      </c>
      <c r="AG10" s="18">
        <f t="shared" si="8"/>
        <v>0.84012383369968491</v>
      </c>
      <c r="AH10" s="17">
        <f t="shared" si="9"/>
        <v>-596408.53065194609</v>
      </c>
      <c r="AI10" s="20">
        <f t="shared" si="10"/>
        <v>-3.413856918982805E-2</v>
      </c>
      <c r="AJ10" s="20">
        <f t="shared" si="11"/>
        <v>0.12075113730590367</v>
      </c>
      <c r="AK10" s="21">
        <f t="shared" si="12"/>
        <v>0.13599025670567444</v>
      </c>
      <c r="AL10" s="21">
        <f t="shared" si="13"/>
        <v>-0.14237336500763365</v>
      </c>
      <c r="AM10" s="31"/>
      <c r="AO10" s="38">
        <f t="shared" si="14"/>
        <v>46029</v>
      </c>
      <c r="AP10" s="17">
        <f>+Tabla22[[#This Row],[Web + APP 2025]]+Tabla22[[#This Row],[Afiliados 2025]]+Tabla22[[#This Row],[TMK 2025]]+Tabla22[[#This Row],[WA 2025]]+Tabla22[[#This Row],[Ent. en Tienda 2025]]</f>
        <v>2574526.1379310344</v>
      </c>
      <c r="AQ10" s="17">
        <f>+Tabla22[[#This Row],[Meli Drop 2025]]+Tabla22[[#This Row],[Meli Full 2025]]+Tabla22[[#This Row],[Amazon Drop 2025]]+Tabla22[[#This Row],[Amazon Full 2025]]+Tabla22[[#This Row],[TikTok 2025]]+Tabla22[[#This Row],[Shein 2025]]</f>
        <v>347720</v>
      </c>
      <c r="AR10" s="17">
        <f t="shared" si="15"/>
        <v>2550948</v>
      </c>
      <c r="AS10" s="17">
        <f t="shared" si="16"/>
        <v>583084</v>
      </c>
      <c r="AT10" s="18">
        <f t="shared" si="17"/>
        <v>-9.1582437574250219E-3</v>
      </c>
      <c r="AU10" s="18">
        <f t="shared" si="18"/>
        <v>0.67687794777407118</v>
      </c>
      <c r="AV10" s="17">
        <f t="shared" si="19"/>
        <v>3282709.6617250899</v>
      </c>
      <c r="AW10" s="17">
        <f t="shared" si="20"/>
        <v>447730.86892685603</v>
      </c>
      <c r="AX10" s="39">
        <f t="shared" si="21"/>
        <v>0.77708608523711376</v>
      </c>
      <c r="AY10" s="39">
        <f t="shared" si="22"/>
        <v>1.3023091336042234</v>
      </c>
      <c r="AZ10" s="39">
        <f t="shared" si="23"/>
        <v>0.84012383369968491</v>
      </c>
      <c r="BA10" s="18">
        <v>2.00776174406662E-2</v>
      </c>
      <c r="BB10" s="20">
        <v>3.7415441649653498E-2</v>
      </c>
      <c r="BC10" s="17">
        <f t="shared" si="24"/>
        <v>-731761.66172508989</v>
      </c>
      <c r="BD10" s="17">
        <f t="shared" si="25"/>
        <v>135353.13107314397</v>
      </c>
      <c r="BE10" s="32"/>
      <c r="BF10" s="40"/>
      <c r="BG10" s="40"/>
      <c r="BH10" s="32"/>
    </row>
    <row r="11" spans="1:63" ht="14.25" hidden="1" customHeight="1" x14ac:dyDescent="0.35">
      <c r="A11" s="19">
        <v>45665</v>
      </c>
      <c r="B11" s="508">
        <f>+'BD MD'!B10</f>
        <v>26871838</v>
      </c>
      <c r="C11" s="17">
        <f t="shared" si="4"/>
        <v>3244805</v>
      </c>
      <c r="D11" s="18">
        <f t="shared" si="5"/>
        <v>3.7674228183253493E-2</v>
      </c>
      <c r="E11" s="17">
        <v>26562197</v>
      </c>
      <c r="F11" s="19">
        <v>46030</v>
      </c>
      <c r="G11" s="17">
        <f t="shared" si="6"/>
        <v>4145459.9903342789</v>
      </c>
      <c r="H11" s="17">
        <v>3314567.1934480299</v>
      </c>
      <c r="I11" s="17">
        <v>830892.79688624898</v>
      </c>
      <c r="J11" s="17">
        <v>2443314</v>
      </c>
      <c r="K11" s="17">
        <v>2651325</v>
      </c>
      <c r="L11" s="17">
        <v>26275</v>
      </c>
      <c r="M11" s="17">
        <f>16483+7384</f>
        <v>23867</v>
      </c>
      <c r="N11" s="17">
        <v>56169</v>
      </c>
      <c r="O11" s="17">
        <v>32696</v>
      </c>
      <c r="P11" s="17">
        <v>3661</v>
      </c>
      <c r="Q11" s="17">
        <v>1757</v>
      </c>
      <c r="R11" s="17">
        <v>70092</v>
      </c>
      <c r="S11" s="17">
        <v>21864</v>
      </c>
      <c r="T11" s="17">
        <v>538812</v>
      </c>
      <c r="U11" s="17">
        <v>443664</v>
      </c>
      <c r="V11" s="17">
        <v>68361</v>
      </c>
      <c r="W11" s="17">
        <v>108455</v>
      </c>
      <c r="X11" s="17">
        <v>38121</v>
      </c>
      <c r="Y11" s="17">
        <v>25645</v>
      </c>
      <c r="Z11" s="17">
        <v>0</v>
      </c>
      <c r="AA11" s="17">
        <v>3530</v>
      </c>
      <c r="AB11" s="17">
        <v>0</v>
      </c>
      <c r="AC11" s="17">
        <v>21246</v>
      </c>
      <c r="AD11" s="17">
        <v>0</v>
      </c>
      <c r="AE11" s="17">
        <v>947</v>
      </c>
      <c r="AF11" s="17">
        <f t="shared" si="7"/>
        <v>3334996</v>
      </c>
      <c r="AG11" s="18">
        <f t="shared" si="8"/>
        <v>0.80449359245439844</v>
      </c>
      <c r="AH11" s="17">
        <f t="shared" si="9"/>
        <v>-810463.9903342789</v>
      </c>
      <c r="AI11" s="20">
        <f t="shared" si="10"/>
        <v>0.32317466696803576</v>
      </c>
      <c r="AJ11" s="20">
        <f t="shared" si="11"/>
        <v>8.9849805819880682E-2</v>
      </c>
      <c r="AK11" s="21">
        <f t="shared" si="12"/>
        <v>0.12555422279264022</v>
      </c>
      <c r="AL11" s="21">
        <f t="shared" si="13"/>
        <v>-5.3102442526272053E-2</v>
      </c>
      <c r="AM11" s="31"/>
      <c r="AO11" s="38">
        <f t="shared" si="14"/>
        <v>46030</v>
      </c>
      <c r="AP11" s="17">
        <f>+Tabla22[[#This Row],[Web + APP 2025]]+Tabla22[[#This Row],[Afiliados 2025]]+Tabla22[[#This Row],[TMK 2025]]+Tabla22[[#This Row],[WA 2025]]+Tabla22[[#This Row],[Ent. en Tienda 2025]]</f>
        <v>2599511</v>
      </c>
      <c r="AQ11" s="17">
        <f>+Tabla22[[#This Row],[Meli Drop 2025]]+Tabla22[[#This Row],[Meli Full 2025]]+Tabla22[[#This Row],[Amazon Drop 2025]]+Tabla22[[#This Row],[Amazon Full 2025]]+Tabla22[[#This Row],[TikTok 2025]]+Tabla22[[#This Row],[Shein 2025]]</f>
        <v>645294</v>
      </c>
      <c r="AR11" s="17">
        <f t="shared" si="15"/>
        <v>2731509</v>
      </c>
      <c r="AS11" s="17">
        <f t="shared" si="16"/>
        <v>603487</v>
      </c>
      <c r="AT11" s="18">
        <f t="shared" si="17"/>
        <v>5.0778011710663984E-2</v>
      </c>
      <c r="AU11" s="18">
        <f t="shared" si="18"/>
        <v>-6.4787523206476405E-2</v>
      </c>
      <c r="AV11" s="17">
        <f t="shared" si="19"/>
        <v>3314567.1934480299</v>
      </c>
      <c r="AW11" s="17">
        <f t="shared" si="20"/>
        <v>830892.79688624898</v>
      </c>
      <c r="AX11" s="39">
        <f t="shared" si="21"/>
        <v>0.82409220890118851</v>
      </c>
      <c r="AY11" s="39">
        <f t="shared" si="22"/>
        <v>0.72631150764762098</v>
      </c>
      <c r="AZ11" s="39">
        <f t="shared" si="23"/>
        <v>0.80449359245439844</v>
      </c>
      <c r="BA11" s="18">
        <v>3.7259766676513401E-2</v>
      </c>
      <c r="BB11" s="20">
        <v>3.77785452263052E-2</v>
      </c>
      <c r="BC11" s="17">
        <f t="shared" si="24"/>
        <v>-583058.19344802992</v>
      </c>
      <c r="BD11" s="17">
        <f t="shared" si="25"/>
        <v>-227405.79688624898</v>
      </c>
      <c r="BE11" s="32"/>
      <c r="BF11" s="40"/>
      <c r="BG11" s="40"/>
      <c r="BH11" s="32"/>
    </row>
    <row r="12" spans="1:63" ht="14.25" hidden="1" customHeight="1" x14ac:dyDescent="0.35">
      <c r="A12" s="16">
        <v>45666</v>
      </c>
      <c r="B12" s="508">
        <f>+'BD MD'!B11</f>
        <v>28051817</v>
      </c>
      <c r="C12" s="17">
        <f t="shared" si="4"/>
        <v>2520450.3103448278</v>
      </c>
      <c r="D12" s="18">
        <f t="shared" si="5"/>
        <v>2.9264014360333865E-2</v>
      </c>
      <c r="E12" s="17">
        <v>26952477</v>
      </c>
      <c r="F12" s="19">
        <v>46031</v>
      </c>
      <c r="G12" s="17">
        <f t="shared" si="6"/>
        <v>3216481.4532837071</v>
      </c>
      <c r="H12" s="17">
        <v>2937064.2735133902</v>
      </c>
      <c r="I12" s="17">
        <v>279417.17977031699</v>
      </c>
      <c r="J12" s="17">
        <v>2184366</v>
      </c>
      <c r="K12" s="17">
        <v>1967914</v>
      </c>
      <c r="L12" s="17">
        <v>24654.310344827602</v>
      </c>
      <c r="M12" s="17">
        <f>14542+13435</f>
        <v>27977</v>
      </c>
      <c r="N12" s="17">
        <v>59780</v>
      </c>
      <c r="O12" s="17">
        <v>732</v>
      </c>
      <c r="P12" s="17">
        <v>2734</v>
      </c>
      <c r="Q12" s="17">
        <v>3382</v>
      </c>
      <c r="R12" s="17">
        <v>31913</v>
      </c>
      <c r="S12" s="17">
        <v>81797</v>
      </c>
      <c r="T12" s="17">
        <v>73729</v>
      </c>
      <c r="U12" s="17">
        <v>357183</v>
      </c>
      <c r="V12" s="17">
        <v>68117</v>
      </c>
      <c r="W12" s="17">
        <v>88348</v>
      </c>
      <c r="X12" s="17">
        <v>75157</v>
      </c>
      <c r="Y12" s="17">
        <v>22372</v>
      </c>
      <c r="Z12" s="17">
        <v>0</v>
      </c>
      <c r="AA12" s="17">
        <v>11805</v>
      </c>
      <c r="AB12" s="17">
        <v>0</v>
      </c>
      <c r="AC12" s="17">
        <v>15175</v>
      </c>
      <c r="AD12" s="17">
        <v>0</v>
      </c>
      <c r="AE12" s="17">
        <v>689</v>
      </c>
      <c r="AF12" s="17">
        <f t="shared" si="7"/>
        <v>2577374</v>
      </c>
      <c r="AG12" s="18">
        <f t="shared" si="8"/>
        <v>0.80130230422089266</v>
      </c>
      <c r="AH12" s="17">
        <f t="shared" si="9"/>
        <v>-639107.45328370715</v>
      </c>
      <c r="AI12" s="20">
        <f t="shared" si="10"/>
        <v>0.13099388728805006</v>
      </c>
      <c r="AJ12" s="20">
        <f t="shared" si="11"/>
        <v>7.940374639091588E-2</v>
      </c>
      <c r="AK12" s="21">
        <f t="shared" si="12"/>
        <v>9.5626609754643335E-2</v>
      </c>
      <c r="AL12" s="21">
        <f t="shared" si="13"/>
        <v>-6.0876966920436537E-2</v>
      </c>
      <c r="AM12" s="31"/>
      <c r="AO12" s="38">
        <f t="shared" si="14"/>
        <v>46031</v>
      </c>
      <c r="AP12" s="17">
        <f>+Tabla22[[#This Row],[Web + APP 2025]]+Tabla22[[#This Row],[Afiliados 2025]]+Tabla22[[#This Row],[TMK 2025]]+Tabla22[[#This Row],[WA 2025]]+Tabla22[[#This Row],[Ent. en Tienda 2025]]</f>
        <v>2303447.3103448278</v>
      </c>
      <c r="AQ12" s="17">
        <f>+Tabla22[[#This Row],[Meli Drop 2025]]+Tabla22[[#This Row],[Meli Full 2025]]+Tabla22[[#This Row],[Amazon Drop 2025]]+Tabla22[[#This Row],[Amazon Full 2025]]+Tabla22[[#This Row],[TikTok 2025]]+Tabla22[[#This Row],[Shein 2025]]</f>
        <v>217003</v>
      </c>
      <c r="AR12" s="17">
        <f t="shared" si="15"/>
        <v>2081802</v>
      </c>
      <c r="AS12" s="17">
        <f t="shared" si="16"/>
        <v>495572</v>
      </c>
      <c r="AT12" s="18">
        <f t="shared" si="17"/>
        <v>-9.6223303806175386E-2</v>
      </c>
      <c r="AU12" s="18">
        <f t="shared" si="18"/>
        <v>1.2837103634511964</v>
      </c>
      <c r="AV12" s="17">
        <f t="shared" si="19"/>
        <v>2937064.2735133902</v>
      </c>
      <c r="AW12" s="17">
        <f t="shared" si="20"/>
        <v>279417.17977031699</v>
      </c>
      <c r="AX12" s="39">
        <f t="shared" si="21"/>
        <v>0.70880369175908298</v>
      </c>
      <c r="AY12" s="39">
        <f t="shared" si="22"/>
        <v>1.7735917326463744</v>
      </c>
      <c r="AZ12" s="39">
        <f t="shared" si="23"/>
        <v>0.80130230422089266</v>
      </c>
      <c r="BA12" s="18">
        <v>1.25299183753505E-2</v>
      </c>
      <c r="BB12" s="20">
        <v>3.3475868496141398E-2</v>
      </c>
      <c r="BC12" s="17">
        <f t="shared" si="24"/>
        <v>-855262.27351339022</v>
      </c>
      <c r="BD12" s="17">
        <f t="shared" si="25"/>
        <v>216154.82022968301</v>
      </c>
      <c r="BE12" s="32"/>
      <c r="BF12" s="40"/>
      <c r="BG12" s="40"/>
      <c r="BH12" s="32"/>
    </row>
    <row r="13" spans="1:63" ht="14.25" hidden="1" customHeight="1" x14ac:dyDescent="0.35">
      <c r="A13" s="19">
        <v>45667</v>
      </c>
      <c r="B13" s="508">
        <f>+'BD MD'!B12</f>
        <v>28699623</v>
      </c>
      <c r="C13" s="17">
        <f t="shared" si="4"/>
        <v>2278857.5862068962</v>
      </c>
      <c r="D13" s="18">
        <f t="shared" si="5"/>
        <v>2.645897078557783E-2</v>
      </c>
      <c r="E13" s="17">
        <v>35436338</v>
      </c>
      <c r="F13" s="19">
        <v>46032</v>
      </c>
      <c r="G13" s="17">
        <f t="shared" si="6"/>
        <v>2907315.8971540579</v>
      </c>
      <c r="H13" s="17">
        <v>2742553.4611221598</v>
      </c>
      <c r="I13" s="17">
        <v>164762.43603189799</v>
      </c>
      <c r="J13" s="17">
        <v>2007643</v>
      </c>
      <c r="K13" s="17">
        <v>1571666</v>
      </c>
      <c r="L13" s="17">
        <v>26027.5862068965</v>
      </c>
      <c r="M13" s="17">
        <f>14575+13419</f>
        <v>27994</v>
      </c>
      <c r="N13" s="17">
        <v>69118</v>
      </c>
      <c r="O13" s="17">
        <v>71315</v>
      </c>
      <c r="P13" s="17">
        <v>2178</v>
      </c>
      <c r="Q13" s="17">
        <v>-96</v>
      </c>
      <c r="R13" s="17">
        <v>45932</v>
      </c>
      <c r="S13" s="17">
        <v>34126</v>
      </c>
      <c r="T13" s="17">
        <v>27229</v>
      </c>
      <c r="U13" s="17">
        <v>488987</v>
      </c>
      <c r="V13" s="17">
        <v>63746</v>
      </c>
      <c r="W13" s="17">
        <v>120073</v>
      </c>
      <c r="X13" s="17">
        <v>36984</v>
      </c>
      <c r="Y13" s="17">
        <v>23228</v>
      </c>
      <c r="Z13" s="17">
        <v>0</v>
      </c>
      <c r="AA13" s="17">
        <v>6392</v>
      </c>
      <c r="AB13" s="17">
        <v>0</v>
      </c>
      <c r="AC13" s="17">
        <v>-1487</v>
      </c>
      <c r="AD13" s="17">
        <v>0</v>
      </c>
      <c r="AE13" s="17">
        <v>689</v>
      </c>
      <c r="AF13" s="17">
        <f t="shared" si="7"/>
        <v>2342887</v>
      </c>
      <c r="AG13" s="18">
        <f t="shared" si="8"/>
        <v>0.80585910952897422</v>
      </c>
      <c r="AH13" s="17">
        <f t="shared" si="9"/>
        <v>-564428.89715405786</v>
      </c>
      <c r="AI13" s="20">
        <f t="shared" si="10"/>
        <v>2.4056750193658161E-2</v>
      </c>
      <c r="AJ13" s="20">
        <f t="shared" si="11"/>
        <v>5.7045662063983836E-2</v>
      </c>
      <c r="AK13" s="21">
        <f t="shared" si="12"/>
        <v>6.6115381335396448E-2</v>
      </c>
      <c r="AL13" s="21">
        <f t="shared" si="13"/>
        <v>-0.11642352920055743</v>
      </c>
      <c r="AM13" s="31"/>
      <c r="AO13" s="38">
        <f t="shared" si="14"/>
        <v>46032</v>
      </c>
      <c r="AP13" s="17">
        <f>+Tabla22[[#This Row],[Web + APP 2025]]+Tabla22[[#This Row],[Afiliados 2025]]+Tabla22[[#This Row],[TMK 2025]]+Tabla22[[#This Row],[WA 2025]]+Tabla22[[#This Row],[Ent. en Tienda 2025]]</f>
        <v>2150898.5862068962</v>
      </c>
      <c r="AQ13" s="17">
        <f>+Tabla22[[#This Row],[Meli Drop 2025]]+Tabla22[[#This Row],[Meli Full 2025]]+Tabla22[[#This Row],[Amazon Drop 2025]]+Tabla22[[#This Row],[Amazon Full 2025]]+Tabla22[[#This Row],[TikTok 2025]]+Tabla22[[#This Row],[Shein 2025]]</f>
        <v>127959</v>
      </c>
      <c r="AR13" s="17">
        <f t="shared" si="15"/>
        <v>1705005</v>
      </c>
      <c r="AS13" s="17">
        <f t="shared" si="16"/>
        <v>637882</v>
      </c>
      <c r="AT13" s="18">
        <f t="shared" si="17"/>
        <v>-0.20730572285754689</v>
      </c>
      <c r="AU13" s="18">
        <f t="shared" si="18"/>
        <v>3.9850498987957081</v>
      </c>
      <c r="AV13" s="17">
        <f t="shared" si="19"/>
        <v>2742553.4611221598</v>
      </c>
      <c r="AW13" s="17">
        <f t="shared" si="20"/>
        <v>164762.43603189799</v>
      </c>
      <c r="AX13" s="39">
        <f t="shared" si="21"/>
        <v>0.62168523756046301</v>
      </c>
      <c r="AY13" s="39">
        <f t="shared" si="22"/>
        <v>3.8715256666665581</v>
      </c>
      <c r="AZ13" s="39">
        <f t="shared" si="23"/>
        <v>0.80585910952897422</v>
      </c>
      <c r="BA13" s="18">
        <v>7.3884500462734499E-3</v>
      </c>
      <c r="BB13" s="20">
        <v>3.12588865814429E-2</v>
      </c>
      <c r="BC13" s="17">
        <f t="shared" si="24"/>
        <v>-1037548.4611221598</v>
      </c>
      <c r="BD13" s="17">
        <f t="shared" si="25"/>
        <v>473119.56396810198</v>
      </c>
      <c r="BE13" s="32"/>
      <c r="BF13" s="40"/>
      <c r="BG13" s="40"/>
      <c r="BH13" s="32"/>
    </row>
    <row r="14" spans="1:63" ht="14.25" hidden="1" customHeight="1" x14ac:dyDescent="0.35">
      <c r="A14" s="16">
        <v>45668</v>
      </c>
      <c r="B14" s="508">
        <f>+'BD MD'!B13</f>
        <v>40105570</v>
      </c>
      <c r="C14" s="17">
        <f t="shared" si="4"/>
        <v>2287848.7931034481</v>
      </c>
      <c r="D14" s="18">
        <f t="shared" si="5"/>
        <v>2.656336435630505E-2</v>
      </c>
      <c r="E14" s="17">
        <v>37766104</v>
      </c>
      <c r="F14" s="19">
        <v>46033</v>
      </c>
      <c r="G14" s="17">
        <f t="shared" si="6"/>
        <v>2924099.1380594317</v>
      </c>
      <c r="H14" s="17">
        <v>2213442.91315501</v>
      </c>
      <c r="I14" s="17">
        <v>710656.22490442195</v>
      </c>
      <c r="J14" s="17">
        <v>1623013</v>
      </c>
      <c r="K14" s="17">
        <v>1877762</v>
      </c>
      <c r="L14" s="17">
        <v>27638.793103448301</v>
      </c>
      <c r="M14" s="17">
        <f>16709+13239</f>
        <v>29948</v>
      </c>
      <c r="N14" s="17">
        <v>37575</v>
      </c>
      <c r="O14" s="17">
        <v>-1145</v>
      </c>
      <c r="P14" s="17">
        <v>943</v>
      </c>
      <c r="Q14" s="17">
        <v>2935</v>
      </c>
      <c r="R14" s="17">
        <v>46764</v>
      </c>
      <c r="S14" s="17">
        <v>32600</v>
      </c>
      <c r="T14" s="17">
        <v>466722</v>
      </c>
      <c r="U14" s="17">
        <v>182133</v>
      </c>
      <c r="V14" s="17">
        <v>44669</v>
      </c>
      <c r="W14" s="17">
        <v>111049</v>
      </c>
      <c r="X14" s="17">
        <v>40524</v>
      </c>
      <c r="Y14" s="17">
        <v>31695</v>
      </c>
      <c r="Z14" s="17">
        <v>0</v>
      </c>
      <c r="AA14" s="17">
        <v>9041</v>
      </c>
      <c r="AB14" s="17">
        <v>0</v>
      </c>
      <c r="AC14" s="17">
        <v>1612</v>
      </c>
      <c r="AD14" s="17">
        <v>0</v>
      </c>
      <c r="AE14" s="17">
        <v>947</v>
      </c>
      <c r="AF14" s="17">
        <f t="shared" si="7"/>
        <v>2278577</v>
      </c>
      <c r="AG14" s="18">
        <f t="shared" si="8"/>
        <v>0.77924067975074529</v>
      </c>
      <c r="AH14" s="17">
        <f t="shared" si="9"/>
        <v>-645522.13805943169</v>
      </c>
      <c r="AI14" s="20">
        <f t="shared" si="10"/>
        <v>-0.21026597193598584</v>
      </c>
      <c r="AJ14" s="20">
        <f t="shared" si="11"/>
        <v>6.94730620038988E-2</v>
      </c>
      <c r="AK14" s="21">
        <f t="shared" si="12"/>
        <v>6.0333917419705244E-2</v>
      </c>
      <c r="AL14" s="21">
        <f t="shared" si="13"/>
        <v>-9.0640166515014831E-2</v>
      </c>
      <c r="AM14" s="31"/>
      <c r="AO14" s="38">
        <f t="shared" si="14"/>
        <v>46033</v>
      </c>
      <c r="AP14" s="17">
        <f>+Tabla22[[#This Row],[Web + APP 2025]]+Tabla22[[#This Row],[Afiliados 2025]]+Tabla22[[#This Row],[TMK 2025]]+Tabla22[[#This Row],[WA 2025]]+Tabla22[[#This Row],[Ent. en Tienda 2025]]</f>
        <v>1735933.7931034483</v>
      </c>
      <c r="AQ14" s="17">
        <f>+Tabla22[[#This Row],[Meli Drop 2025]]+Tabla22[[#This Row],[Meli Full 2025]]+Tabla22[[#This Row],[Amazon Drop 2025]]+Tabla22[[#This Row],[Amazon Full 2025]]+Tabla22[[#This Row],[TikTok 2025]]+Tabla22[[#This Row],[Shein 2025]]</f>
        <v>551915</v>
      </c>
      <c r="AR14" s="17">
        <f t="shared" si="15"/>
        <v>1942100</v>
      </c>
      <c r="AS14" s="17">
        <f t="shared" si="16"/>
        <v>336477</v>
      </c>
      <c r="AT14" s="18">
        <f t="shared" si="17"/>
        <v>0.11876386514025628</v>
      </c>
      <c r="AU14" s="18">
        <f t="shared" si="18"/>
        <v>-0.39034633956315734</v>
      </c>
      <c r="AV14" s="17">
        <f t="shared" si="19"/>
        <v>2213442.91315501</v>
      </c>
      <c r="AW14" s="17">
        <f t="shared" si="20"/>
        <v>710656.22490442195</v>
      </c>
      <c r="AX14" s="39">
        <f t="shared" si="21"/>
        <v>0.87741137955609538</v>
      </c>
      <c r="AY14" s="39">
        <f t="shared" si="22"/>
        <v>0.47347365464258573</v>
      </c>
      <c r="AZ14" s="39">
        <f t="shared" si="23"/>
        <v>0.77924067975074529</v>
      </c>
      <c r="BA14" s="18">
        <v>3.1867992148180403E-2</v>
      </c>
      <c r="BB14" s="20">
        <v>2.5228226890607601E-2</v>
      </c>
      <c r="BC14" s="17">
        <f t="shared" si="24"/>
        <v>-271342.91315500997</v>
      </c>
      <c r="BD14" s="17">
        <f t="shared" si="25"/>
        <v>-374179.22490442195</v>
      </c>
      <c r="BE14" s="32"/>
      <c r="BF14" s="40"/>
      <c r="BG14" s="40"/>
      <c r="BH14" s="32"/>
    </row>
    <row r="15" spans="1:63" ht="14.25" hidden="1" customHeight="1" x14ac:dyDescent="0.35">
      <c r="A15" s="19">
        <v>45669</v>
      </c>
      <c r="B15" s="508">
        <f>+'BD MD'!B14</f>
        <v>41530429</v>
      </c>
      <c r="C15" s="17">
        <f t="shared" si="4"/>
        <v>2885246.068965517</v>
      </c>
      <c r="D15" s="18">
        <f t="shared" si="5"/>
        <v>3.3499522703842613E-2</v>
      </c>
      <c r="E15" s="17">
        <v>22002628</v>
      </c>
      <c r="F15" s="19">
        <v>46034</v>
      </c>
      <c r="G15" s="17">
        <f t="shared" si="6"/>
        <v>3687836.1608523969</v>
      </c>
      <c r="H15" s="17">
        <v>2770711.5214145798</v>
      </c>
      <c r="I15" s="17">
        <v>917124.63943781704</v>
      </c>
      <c r="J15" s="17">
        <v>2046304</v>
      </c>
      <c r="K15" s="17">
        <v>2815225</v>
      </c>
      <c r="L15" s="17">
        <v>27737.068965517199</v>
      </c>
      <c r="M15" s="17">
        <f>15551+12840</f>
        <v>28391</v>
      </c>
      <c r="N15" s="17">
        <v>14675</v>
      </c>
      <c r="O15" s="17">
        <v>25098</v>
      </c>
      <c r="P15" s="17">
        <v>-1465</v>
      </c>
      <c r="Q15" s="17">
        <v>689</v>
      </c>
      <c r="R15" s="17">
        <v>85731</v>
      </c>
      <c r="S15" s="17">
        <v>78900</v>
      </c>
      <c r="T15" s="17">
        <v>581035</v>
      </c>
      <c r="U15" s="17">
        <v>1028542</v>
      </c>
      <c r="V15" s="17">
        <v>51721</v>
      </c>
      <c r="W15" s="17">
        <v>130772</v>
      </c>
      <c r="X15" s="17">
        <v>79508</v>
      </c>
      <c r="Y15" s="17">
        <v>38266</v>
      </c>
      <c r="Z15" s="17">
        <v>0</v>
      </c>
      <c r="AA15" s="17">
        <v>9160</v>
      </c>
      <c r="AB15" s="17">
        <v>0</v>
      </c>
      <c r="AC15" s="17">
        <v>15529</v>
      </c>
      <c r="AD15" s="17">
        <v>0</v>
      </c>
      <c r="AE15" s="17">
        <v>0</v>
      </c>
      <c r="AF15" s="17">
        <f t="shared" si="7"/>
        <v>4170572</v>
      </c>
      <c r="AG15" s="18">
        <f t="shared" si="8"/>
        <v>1.1308994809129549</v>
      </c>
      <c r="AH15" s="17">
        <f t="shared" si="9"/>
        <v>482735.83914760314</v>
      </c>
      <c r="AI15" s="20">
        <f t="shared" si="10"/>
        <v>-1.3654924009407599E-2</v>
      </c>
      <c r="AJ15" s="20">
        <f t="shared" si="11"/>
        <v>0.16820643360770607</v>
      </c>
      <c r="AK15" s="21">
        <f t="shared" si="12"/>
        <v>0.18954881207826629</v>
      </c>
      <c r="AL15" s="21">
        <f t="shared" si="13"/>
        <v>-0.124713124182525</v>
      </c>
      <c r="AM15" s="31"/>
      <c r="AO15" s="38">
        <f t="shared" si="14"/>
        <v>46034</v>
      </c>
      <c r="AP15" s="17">
        <f>+Tabla22[[#This Row],[Web + APP 2025]]+Tabla22[[#This Row],[Afiliados 2025]]+Tabla22[[#This Row],[TMK 2025]]+Tabla22[[#This Row],[WA 2025]]+Tabla22[[#This Row],[Ent. en Tienda 2025]]</f>
        <v>2172982.068965517</v>
      </c>
      <c r="AQ15" s="17">
        <f>+Tabla22[[#This Row],[Meli Drop 2025]]+Tabla22[[#This Row],[Meli Full 2025]]+Tabla22[[#This Row],[Amazon Drop 2025]]+Tabla22[[#This Row],[Amazon Full 2025]]+Tabla22[[#This Row],[TikTok 2025]]+Tabla22[[#This Row],[Shein 2025]]</f>
        <v>712264</v>
      </c>
      <c r="AR15" s="17">
        <f t="shared" si="15"/>
        <v>2948303</v>
      </c>
      <c r="AS15" s="17">
        <f t="shared" si="16"/>
        <v>1222269</v>
      </c>
      <c r="AT15" s="18">
        <f t="shared" si="17"/>
        <v>0.35680042744374196</v>
      </c>
      <c r="AU15" s="18">
        <f t="shared" si="18"/>
        <v>0.71603366167600768</v>
      </c>
      <c r="AV15" s="17">
        <f t="shared" si="19"/>
        <v>2770711.5214145798</v>
      </c>
      <c r="AW15" s="17">
        <f t="shared" si="20"/>
        <v>917124.63943781704</v>
      </c>
      <c r="AX15" s="39">
        <f t="shared" si="21"/>
        <v>1.0640959830039438</v>
      </c>
      <c r="AY15" s="39">
        <f t="shared" si="22"/>
        <v>1.3327185285843282</v>
      </c>
      <c r="AZ15" s="39">
        <f t="shared" si="23"/>
        <v>1.1308994809129549</v>
      </c>
      <c r="BA15" s="18">
        <v>4.1126665445642002E-2</v>
      </c>
      <c r="BB15" s="20">
        <v>3.1579824577916402E-2</v>
      </c>
      <c r="BC15" s="17">
        <f t="shared" si="24"/>
        <v>177591.47858542018</v>
      </c>
      <c r="BD15" s="17">
        <f t="shared" si="25"/>
        <v>305144.36056218296</v>
      </c>
      <c r="BE15" s="32"/>
      <c r="BF15" s="40"/>
      <c r="BG15" s="40"/>
      <c r="BH15" s="32"/>
    </row>
    <row r="16" spans="1:63" ht="14.25" hidden="1" customHeight="1" x14ac:dyDescent="0.35">
      <c r="A16" s="16">
        <v>45670</v>
      </c>
      <c r="B16" s="508">
        <f>+'BD MD'!B15</f>
        <v>25137619</v>
      </c>
      <c r="C16" s="17">
        <f t="shared" si="4"/>
        <v>4228309.2413793104</v>
      </c>
      <c r="D16" s="18">
        <f t="shared" si="5"/>
        <v>4.9093331398676845E-2</v>
      </c>
      <c r="E16" s="17">
        <v>24135120</v>
      </c>
      <c r="F16" s="19">
        <v>46035</v>
      </c>
      <c r="G16" s="17">
        <f t="shared" si="6"/>
        <v>5407470.0200807396</v>
      </c>
      <c r="H16" s="17">
        <v>3758578.6426933599</v>
      </c>
      <c r="I16" s="17">
        <v>1648891.37738738</v>
      </c>
      <c r="J16" s="17">
        <v>2797894</v>
      </c>
      <c r="K16" s="17">
        <v>3308864</v>
      </c>
      <c r="L16" s="17">
        <v>21892.241379310301</v>
      </c>
      <c r="M16" s="17">
        <f>16835+12441</f>
        <v>29276</v>
      </c>
      <c r="N16" s="17">
        <v>62339</v>
      </c>
      <c r="O16" s="17">
        <v>24647</v>
      </c>
      <c r="P16" s="17">
        <v>7660</v>
      </c>
      <c r="Q16" s="17">
        <v>3108</v>
      </c>
      <c r="R16" s="17">
        <v>57950</v>
      </c>
      <c r="S16" s="17">
        <v>43565</v>
      </c>
      <c r="T16" s="17">
        <v>1124689</v>
      </c>
      <c r="U16" s="17">
        <v>536006</v>
      </c>
      <c r="V16" s="17">
        <v>34111</v>
      </c>
      <c r="W16" s="17">
        <v>110255</v>
      </c>
      <c r="X16" s="17">
        <v>121774</v>
      </c>
      <c r="Y16" s="17">
        <v>39605</v>
      </c>
      <c r="Z16" s="17">
        <v>0</v>
      </c>
      <c r="AA16" s="17">
        <v>8501</v>
      </c>
      <c r="AB16" s="17">
        <v>0</v>
      </c>
      <c r="AC16" s="17">
        <v>11906</v>
      </c>
      <c r="AD16" s="17">
        <v>0</v>
      </c>
      <c r="AE16" s="17">
        <v>0</v>
      </c>
      <c r="AF16" s="17">
        <f t="shared" si="7"/>
        <v>4115733</v>
      </c>
      <c r="AG16" s="18">
        <f t="shared" si="8"/>
        <v>0.76111989242957423</v>
      </c>
      <c r="AH16" s="17">
        <f t="shared" si="9"/>
        <v>-1291737.0200807396</v>
      </c>
      <c r="AI16" s="20">
        <f t="shared" si="10"/>
        <v>1.5798528426369973E-2</v>
      </c>
      <c r="AJ16" s="20">
        <f t="shared" si="11"/>
        <v>0.15045566684290435</v>
      </c>
      <c r="AK16" s="21">
        <f t="shared" si="12"/>
        <v>0.17052879786800315</v>
      </c>
      <c r="AL16" s="21">
        <f t="shared" si="13"/>
        <v>-0.10377222566988564</v>
      </c>
      <c r="AM16" s="31"/>
      <c r="AO16" s="38">
        <f t="shared" si="14"/>
        <v>46035</v>
      </c>
      <c r="AP16" s="17">
        <f>+Tabla22[[#This Row],[Web + APP 2025]]+Tabla22[[#This Row],[Afiliados 2025]]+Tabla22[[#This Row],[TMK 2025]]+Tabla22[[#This Row],[WA 2025]]+Tabla22[[#This Row],[Ent. en Tienda 2025]]</f>
        <v>2947735.2413793104</v>
      </c>
      <c r="AQ16" s="17">
        <f>+Tabla22[[#This Row],[Meli Drop 2025]]+Tabla22[[#This Row],[Meli Full 2025]]+Tabla22[[#This Row],[Amazon Drop 2025]]+Tabla22[[#This Row],[Amazon Full 2025]]+Tabla22[[#This Row],[TikTok 2025]]+Tabla22[[#This Row],[Shein 2025]]</f>
        <v>1280574</v>
      </c>
      <c r="AR16" s="17">
        <f t="shared" si="15"/>
        <v>3409460</v>
      </c>
      <c r="AS16" s="17">
        <f t="shared" si="16"/>
        <v>706273</v>
      </c>
      <c r="AT16" s="18">
        <f t="shared" si="17"/>
        <v>0.15663711996218432</v>
      </c>
      <c r="AU16" s="18">
        <f t="shared" si="18"/>
        <v>-0.44847154479163254</v>
      </c>
      <c r="AV16" s="17">
        <f t="shared" si="19"/>
        <v>3758578.6426933599</v>
      </c>
      <c r="AW16" s="17">
        <f t="shared" si="20"/>
        <v>1648891.37738738</v>
      </c>
      <c r="AX16" s="39">
        <f t="shared" si="21"/>
        <v>0.90711418440796943</v>
      </c>
      <c r="AY16" s="39">
        <f t="shared" si="22"/>
        <v>0.42833203550319299</v>
      </c>
      <c r="AZ16" s="39">
        <f t="shared" si="23"/>
        <v>0.76111989242957423</v>
      </c>
      <c r="BA16" s="18">
        <v>7.3941317371631302E-2</v>
      </c>
      <c r="BB16" s="20">
        <v>4.2839268282235402E-2</v>
      </c>
      <c r="BC16" s="17">
        <f t="shared" si="24"/>
        <v>-349118.64269335987</v>
      </c>
      <c r="BD16" s="17">
        <f t="shared" si="25"/>
        <v>-942618.37738737999</v>
      </c>
      <c r="BE16" s="32"/>
      <c r="BF16" s="40"/>
      <c r="BG16" s="40"/>
      <c r="BH16" s="32"/>
    </row>
    <row r="17" spans="1:60" ht="14.25" hidden="1" customHeight="1" x14ac:dyDescent="0.35">
      <c r="A17" s="19">
        <v>45671</v>
      </c>
      <c r="B17" s="508">
        <f>+'BD MD'!B16</f>
        <v>26929672</v>
      </c>
      <c r="C17" s="17">
        <f t="shared" si="4"/>
        <v>4051721.7586206896</v>
      </c>
      <c r="D17" s="18">
        <f t="shared" si="5"/>
        <v>4.7043039587688316E-2</v>
      </c>
      <c r="E17" s="17">
        <v>26317522</v>
      </c>
      <c r="F17" s="19">
        <v>46036</v>
      </c>
      <c r="G17" s="17">
        <f t="shared" si="6"/>
        <v>5176861.7710896097</v>
      </c>
      <c r="H17" s="17">
        <v>4086946.3913297802</v>
      </c>
      <c r="I17" s="17">
        <v>1089915.37975983</v>
      </c>
      <c r="J17" s="17">
        <v>3014987</v>
      </c>
      <c r="K17" s="17">
        <v>3212173</v>
      </c>
      <c r="L17" s="17">
        <v>25132.758620689601</v>
      </c>
      <c r="M17" s="17">
        <f>15827+12102</f>
        <v>27929</v>
      </c>
      <c r="N17" s="17">
        <v>88823</v>
      </c>
      <c r="O17" s="17">
        <v>49002</v>
      </c>
      <c r="P17" s="17">
        <v>264</v>
      </c>
      <c r="Q17" s="17">
        <v>2343</v>
      </c>
      <c r="R17" s="17">
        <v>76057</v>
      </c>
      <c r="S17" s="17">
        <v>31865</v>
      </c>
      <c r="T17" s="17">
        <v>657218</v>
      </c>
      <c r="U17" s="17">
        <v>514044</v>
      </c>
      <c r="V17" s="17">
        <v>100302</v>
      </c>
      <c r="W17" s="17">
        <v>119118</v>
      </c>
      <c r="X17" s="17">
        <v>88938</v>
      </c>
      <c r="Y17" s="17">
        <v>41245</v>
      </c>
      <c r="Z17" s="17">
        <v>0</v>
      </c>
      <c r="AA17" s="17">
        <v>5948</v>
      </c>
      <c r="AB17" s="17">
        <v>0</v>
      </c>
      <c r="AC17" s="17">
        <v>15693</v>
      </c>
      <c r="AD17" s="17">
        <v>0</v>
      </c>
      <c r="AE17" s="17">
        <v>0</v>
      </c>
      <c r="AF17" s="17">
        <f t="shared" si="7"/>
        <v>4019360</v>
      </c>
      <c r="AG17" s="18">
        <f t="shared" si="8"/>
        <v>0.77640859998354128</v>
      </c>
      <c r="AH17" s="17">
        <f t="shared" si="9"/>
        <v>-1157501.7710896097</v>
      </c>
      <c r="AI17" s="20">
        <f t="shared" si="10"/>
        <v>-1.9482148014491329E-3</v>
      </c>
      <c r="AJ17" s="20">
        <f t="shared" si="11"/>
        <v>0.13257363870486771</v>
      </c>
      <c r="AK17" s="21">
        <f t="shared" si="12"/>
        <v>0.15272562515574226</v>
      </c>
      <c r="AL17" s="21">
        <f t="shared" si="13"/>
        <v>-0.13364010365168211</v>
      </c>
      <c r="AM17" s="31"/>
      <c r="AO17" s="38">
        <f t="shared" si="14"/>
        <v>46036</v>
      </c>
      <c r="AP17" s="17">
        <f>+Tabla22[[#This Row],[Web + APP 2025]]+Tabla22[[#This Row],[Afiliados 2025]]+Tabla22[[#This Row],[TMK 2025]]+Tabla22[[#This Row],[WA 2025]]+Tabla22[[#This Row],[Ent. en Tienda 2025]]</f>
        <v>3205263.7586206896</v>
      </c>
      <c r="AQ17" s="17">
        <f>+Tabla22[[#This Row],[Meli Drop 2025]]+Tabla22[[#This Row],[Meli Full 2025]]+Tabla22[[#This Row],[Amazon Drop 2025]]+Tabla22[[#This Row],[Amazon Full 2025]]+Tabla22[[#This Row],[TikTok 2025]]+Tabla22[[#This Row],[Shein 2025]]</f>
        <v>846458</v>
      </c>
      <c r="AR17" s="17">
        <f t="shared" si="15"/>
        <v>3323312</v>
      </c>
      <c r="AS17" s="17">
        <f t="shared" si="16"/>
        <v>696048</v>
      </c>
      <c r="AT17" s="18">
        <f t="shared" si="17"/>
        <v>3.682949369199795E-2</v>
      </c>
      <c r="AU17" s="18">
        <f t="shared" si="18"/>
        <v>-0.17769340002693579</v>
      </c>
      <c r="AV17" s="17">
        <f t="shared" si="19"/>
        <v>4086946.3913297802</v>
      </c>
      <c r="AW17" s="17">
        <f t="shared" si="20"/>
        <v>1089915.37975983</v>
      </c>
      <c r="AX17" s="39">
        <f t="shared" si="21"/>
        <v>0.81315282408651446</v>
      </c>
      <c r="AY17" s="39">
        <f t="shared" si="22"/>
        <v>0.63862572537822049</v>
      </c>
      <c r="AZ17" s="39">
        <f t="shared" si="23"/>
        <v>0.77640859998354128</v>
      </c>
      <c r="BA17" s="18">
        <v>4.8875129137212099E-2</v>
      </c>
      <c r="BB17" s="20">
        <v>4.6581915547689E-2</v>
      </c>
      <c r="BC17" s="17">
        <f t="shared" si="24"/>
        <v>-763634.39132978022</v>
      </c>
      <c r="BD17" s="17">
        <f t="shared" si="25"/>
        <v>-393867.37975982996</v>
      </c>
      <c r="BE17" s="32"/>
      <c r="BF17" s="40"/>
      <c r="BG17" s="40"/>
      <c r="BH17" s="32"/>
    </row>
    <row r="18" spans="1:60" ht="14.25" hidden="1" customHeight="1" x14ac:dyDescent="0.35">
      <c r="A18" s="16">
        <v>45672</v>
      </c>
      <c r="B18" s="508">
        <f>+'BD MD'!B17</f>
        <v>30377124</v>
      </c>
      <c r="C18" s="17">
        <f t="shared" si="4"/>
        <v>4027205.8620689656</v>
      </c>
      <c r="D18" s="18">
        <f t="shared" si="5"/>
        <v>4.6758394599528262E-2</v>
      </c>
      <c r="E18" s="17">
        <v>30903967</v>
      </c>
      <c r="F18" s="19">
        <v>46037</v>
      </c>
      <c r="G18" s="17">
        <f t="shared" si="6"/>
        <v>5143957.0845599538</v>
      </c>
      <c r="H18" s="17">
        <v>4222888.4682110501</v>
      </c>
      <c r="I18" s="17">
        <v>921068.61634890398</v>
      </c>
      <c r="J18" s="17">
        <v>3145541</v>
      </c>
      <c r="K18" s="17">
        <v>2833552</v>
      </c>
      <c r="L18" s="17">
        <v>28275.8620689655</v>
      </c>
      <c r="M18" s="17">
        <f>21233+15198</f>
        <v>36431</v>
      </c>
      <c r="N18" s="17">
        <v>68859</v>
      </c>
      <c r="O18" s="17">
        <v>39316</v>
      </c>
      <c r="P18" s="17">
        <v>5179</v>
      </c>
      <c r="Q18" s="17">
        <v>1033</v>
      </c>
      <c r="R18" s="17">
        <v>64024</v>
      </c>
      <c r="S18" s="17">
        <v>49218</v>
      </c>
      <c r="T18" s="17">
        <v>635340</v>
      </c>
      <c r="U18" s="17">
        <v>512619</v>
      </c>
      <c r="V18" s="17">
        <v>1022</v>
      </c>
      <c r="W18" s="17">
        <v>120851</v>
      </c>
      <c r="X18" s="17">
        <v>78965</v>
      </c>
      <c r="Y18" s="17">
        <v>38749</v>
      </c>
      <c r="Z18" s="17">
        <v>0</v>
      </c>
      <c r="AA18" s="17">
        <v>11568</v>
      </c>
      <c r="AB18" s="17">
        <v>0</v>
      </c>
      <c r="AC18" s="17">
        <v>6953</v>
      </c>
      <c r="AD18" s="17">
        <v>0</v>
      </c>
      <c r="AE18" s="17">
        <v>947</v>
      </c>
      <c r="AF18" s="17">
        <f t="shared" si="7"/>
        <v>3651237</v>
      </c>
      <c r="AG18" s="18">
        <f t="shared" si="8"/>
        <v>0.70981093737339174</v>
      </c>
      <c r="AH18" s="17">
        <f t="shared" si="9"/>
        <v>-1492720.0845599538</v>
      </c>
      <c r="AI18" s="20">
        <f t="shared" si="10"/>
        <v>-7.9351619519181127E-2</v>
      </c>
      <c r="AJ18" s="20">
        <f t="shared" si="11"/>
        <v>0.11528328710943882</v>
      </c>
      <c r="AK18" s="21">
        <f t="shared" si="12"/>
        <v>0.11814784166705847</v>
      </c>
      <c r="AL18" s="21">
        <f t="shared" si="13"/>
        <v>-0.10167320810734404</v>
      </c>
      <c r="AM18" s="31"/>
      <c r="AO18" s="38">
        <f t="shared" si="14"/>
        <v>46037</v>
      </c>
      <c r="AP18" s="17">
        <f>+Tabla22[[#This Row],[Web + APP 2025]]+Tabla22[[#This Row],[Afiliados 2025]]+Tabla22[[#This Row],[TMK 2025]]+Tabla22[[#This Row],[WA 2025]]+Tabla22[[#This Row],[Ent. en Tienda 2025]]</f>
        <v>3311878.8620689656</v>
      </c>
      <c r="AQ18" s="17">
        <f>+Tabla22[[#This Row],[Meli Drop 2025]]+Tabla22[[#This Row],[Meli Full 2025]]+Tabla22[[#This Row],[Amazon Drop 2025]]+Tabla22[[#This Row],[Amazon Full 2025]]+Tabla22[[#This Row],[TikTok 2025]]+Tabla22[[#This Row],[Shein 2025]]</f>
        <v>715327</v>
      </c>
      <c r="AR18" s="17">
        <f t="shared" si="15"/>
        <v>2959550</v>
      </c>
      <c r="AS18" s="17">
        <f t="shared" si="16"/>
        <v>691687</v>
      </c>
      <c r="AT18" s="18">
        <f t="shared" si="17"/>
        <v>-0.10638337836090483</v>
      </c>
      <c r="AU18" s="18">
        <f t="shared" si="18"/>
        <v>-3.3047822883800038E-2</v>
      </c>
      <c r="AV18" s="17">
        <f t="shared" si="19"/>
        <v>4222888.4682110501</v>
      </c>
      <c r="AW18" s="17">
        <f t="shared" si="20"/>
        <v>921068.61634890398</v>
      </c>
      <c r="AX18" s="39">
        <f t="shared" si="21"/>
        <v>0.70083546422758347</v>
      </c>
      <c r="AY18" s="39">
        <f t="shared" si="22"/>
        <v>0.75096142428761958</v>
      </c>
      <c r="AZ18" s="39">
        <f t="shared" si="23"/>
        <v>0.70981093737339174</v>
      </c>
      <c r="BA18" s="18">
        <v>4.1303525396811799E-2</v>
      </c>
      <c r="BB18" s="20">
        <v>4.8131346770495097E-2</v>
      </c>
      <c r="BC18" s="17">
        <f t="shared" si="24"/>
        <v>-1263338.4682110501</v>
      </c>
      <c r="BD18" s="17">
        <f t="shared" si="25"/>
        <v>-229381.61634890398</v>
      </c>
      <c r="BE18" s="32"/>
      <c r="BF18" s="40"/>
      <c r="BG18" s="40"/>
      <c r="BH18" s="32"/>
    </row>
    <row r="19" spans="1:60" ht="14.25" hidden="1" customHeight="1" x14ac:dyDescent="0.35">
      <c r="A19" s="19">
        <v>45673</v>
      </c>
      <c r="B19" s="508">
        <f>+'BD MD'!B18</f>
        <v>34401698</v>
      </c>
      <c r="C19" s="17">
        <f t="shared" si="4"/>
        <v>3965940.8275862071</v>
      </c>
      <c r="D19" s="18">
        <f t="shared" si="5"/>
        <v>4.6047068991746487E-2</v>
      </c>
      <c r="E19" s="17">
        <v>32703579</v>
      </c>
      <c r="F19" s="19">
        <v>46038</v>
      </c>
      <c r="G19" s="17">
        <f t="shared" si="6"/>
        <v>5071028.3538970798</v>
      </c>
      <c r="H19" s="17">
        <v>3617419.8450337602</v>
      </c>
      <c r="I19" s="17">
        <v>1453608.5088633201</v>
      </c>
      <c r="J19" s="17">
        <v>2652789</v>
      </c>
      <c r="K19" s="17">
        <v>2640237</v>
      </c>
      <c r="L19" s="17">
        <v>24219.827586206899</v>
      </c>
      <c r="M19" s="17">
        <f>19101+16772</f>
        <v>35873</v>
      </c>
      <c r="N19" s="17">
        <v>86898</v>
      </c>
      <c r="O19" s="17">
        <v>-6459</v>
      </c>
      <c r="P19" s="17">
        <v>9752</v>
      </c>
      <c r="Q19" s="17">
        <v>3002</v>
      </c>
      <c r="R19" s="17">
        <v>63370</v>
      </c>
      <c r="S19" s="17">
        <v>52074</v>
      </c>
      <c r="T19" s="17">
        <v>467016</v>
      </c>
      <c r="U19" s="17">
        <v>435351</v>
      </c>
      <c r="V19" s="17">
        <v>578857</v>
      </c>
      <c r="W19" s="17">
        <v>150561</v>
      </c>
      <c r="X19" s="17">
        <v>83039</v>
      </c>
      <c r="Y19" s="17">
        <v>53754</v>
      </c>
      <c r="Z19" s="17">
        <v>0</v>
      </c>
      <c r="AA19" s="17">
        <v>6324</v>
      </c>
      <c r="AB19" s="17">
        <v>0</v>
      </c>
      <c r="AC19" s="17">
        <v>8858</v>
      </c>
      <c r="AD19" s="17">
        <v>0</v>
      </c>
      <c r="AE19" s="17">
        <v>947</v>
      </c>
      <c r="AF19" s="17">
        <f t="shared" si="7"/>
        <v>3380522</v>
      </c>
      <c r="AG19" s="18">
        <f t="shared" si="8"/>
        <v>0.66663441102672449</v>
      </c>
      <c r="AH19" s="17">
        <f t="shared" si="9"/>
        <v>-1690506.3538970798</v>
      </c>
      <c r="AI19" s="20">
        <f t="shared" si="10"/>
        <v>0.38939152347505024</v>
      </c>
      <c r="AJ19" s="20">
        <f t="shared" si="11"/>
        <v>7.3679759498603212E-2</v>
      </c>
      <c r="AK19" s="21">
        <f t="shared" si="12"/>
        <v>0.10336856403392423</v>
      </c>
      <c r="AL19" s="21">
        <f t="shared" si="13"/>
        <v>-9.6599071895485666E-3</v>
      </c>
      <c r="AM19" s="31"/>
      <c r="AO19" s="38">
        <f t="shared" si="14"/>
        <v>46038</v>
      </c>
      <c r="AP19" s="17">
        <f>+Tabla22[[#This Row],[Web + APP 2025]]+Tabla22[[#This Row],[Afiliados 2025]]+Tabla22[[#This Row],[TMK 2025]]+Tabla22[[#This Row],[WA 2025]]+Tabla22[[#This Row],[Ent. en Tienda 2025]]</f>
        <v>2837028.8275862071</v>
      </c>
      <c r="AQ19" s="17">
        <f>+Tabla22[[#This Row],[Meli Drop 2025]]+Tabla22[[#This Row],[Meli Full 2025]]+Tabla22[[#This Row],[Amazon Drop 2025]]+Tabla22[[#This Row],[Amazon Full 2025]]+Tabla22[[#This Row],[TikTok 2025]]+Tabla22[[#This Row],[Shein 2025]]</f>
        <v>1128912</v>
      </c>
      <c r="AR19" s="17">
        <f t="shared" si="15"/>
        <v>2724727</v>
      </c>
      <c r="AS19" s="17">
        <f t="shared" si="16"/>
        <v>655795</v>
      </c>
      <c r="AT19" s="18">
        <f t="shared" si="17"/>
        <v>-3.9584309646143234E-2</v>
      </c>
      <c r="AU19" s="18">
        <f t="shared" si="18"/>
        <v>-0.41909112490610434</v>
      </c>
      <c r="AV19" s="17">
        <f t="shared" si="19"/>
        <v>3617419.8450337602</v>
      </c>
      <c r="AW19" s="17">
        <f t="shared" si="20"/>
        <v>1453608.5088633201</v>
      </c>
      <c r="AX19" s="39">
        <f t="shared" si="21"/>
        <v>0.75322387688581138</v>
      </c>
      <c r="AY19" s="39">
        <f t="shared" si="22"/>
        <v>0.45114967063092715</v>
      </c>
      <c r="AZ19" s="39">
        <f t="shared" si="23"/>
        <v>0.66663441102672449</v>
      </c>
      <c r="BA19" s="18">
        <v>6.5184238065619807E-2</v>
      </c>
      <c r="BB19" s="20">
        <v>4.1230378279336802E-2</v>
      </c>
      <c r="BC19" s="17">
        <f t="shared" si="24"/>
        <v>-892692.84503376018</v>
      </c>
      <c r="BD19" s="17">
        <f t="shared" si="25"/>
        <v>-797813.50886332011</v>
      </c>
      <c r="BE19" s="32"/>
      <c r="BF19" s="40"/>
      <c r="BG19" s="40"/>
      <c r="BH19" s="32"/>
    </row>
    <row r="20" spans="1:60" ht="14.25" hidden="1" customHeight="1" x14ac:dyDescent="0.35">
      <c r="A20" s="16">
        <v>45674</v>
      </c>
      <c r="B20" s="17">
        <f>+'BD MD'!B19</f>
        <v>33022574</v>
      </c>
      <c r="C20" s="17">
        <f t="shared" si="4"/>
        <v>2433095.3103448274</v>
      </c>
      <c r="D20" s="18">
        <f t="shared" si="5"/>
        <v>2.8249767833054683E-2</v>
      </c>
      <c r="E20" s="17">
        <v>45086574</v>
      </c>
      <c r="F20" s="19">
        <v>46039</v>
      </c>
      <c r="G20" s="17">
        <f t="shared" si="6"/>
        <v>3109301.8861852051</v>
      </c>
      <c r="H20" s="17">
        <v>2398359.80986901</v>
      </c>
      <c r="I20" s="17">
        <v>710942.07631619496</v>
      </c>
      <c r="J20" s="17">
        <v>1736223</v>
      </c>
      <c r="K20" s="17">
        <v>2128824</v>
      </c>
      <c r="L20" s="17">
        <v>19429.310344827602</v>
      </c>
      <c r="M20" s="17">
        <f>23452+18396</f>
        <v>41848</v>
      </c>
      <c r="N20" s="17">
        <v>37364</v>
      </c>
      <c r="O20" s="17">
        <v>39673</v>
      </c>
      <c r="P20" s="17">
        <v>4728</v>
      </c>
      <c r="Q20" s="17">
        <v>3597</v>
      </c>
      <c r="R20" s="17">
        <v>83214</v>
      </c>
      <c r="S20" s="17">
        <v>57603</v>
      </c>
      <c r="T20" s="17">
        <v>307736</v>
      </c>
      <c r="U20" s="17">
        <v>457229</v>
      </c>
      <c r="V20" s="17">
        <v>197102</v>
      </c>
      <c r="W20" s="17">
        <v>118233</v>
      </c>
      <c r="X20" s="17">
        <v>47299</v>
      </c>
      <c r="Y20" s="17">
        <v>37402</v>
      </c>
      <c r="Z20" s="17">
        <v>0</v>
      </c>
      <c r="AA20" s="17">
        <v>6671</v>
      </c>
      <c r="AB20" s="17">
        <v>0</v>
      </c>
      <c r="AC20" s="17">
        <v>930</v>
      </c>
      <c r="AD20" s="17">
        <v>0</v>
      </c>
      <c r="AE20" s="17">
        <v>0</v>
      </c>
      <c r="AF20" s="17">
        <f t="shared" si="7"/>
        <v>2892010</v>
      </c>
      <c r="AG20" s="18">
        <f t="shared" si="8"/>
        <v>0.9301155390698328</v>
      </c>
      <c r="AH20" s="17">
        <f t="shared" si="9"/>
        <v>-217291.88618520508</v>
      </c>
      <c r="AI20" s="20">
        <f t="shared" si="10"/>
        <v>-0.14007765440637321</v>
      </c>
      <c r="AJ20" s="20">
        <f t="shared" si="11"/>
        <v>7.4387092788570072E-2</v>
      </c>
      <c r="AK20" s="21">
        <f t="shared" si="12"/>
        <v>6.4143485375491166E-2</v>
      </c>
      <c r="AL20" s="21">
        <f t="shared" si="13"/>
        <v>-2.7494929815679026E-3</v>
      </c>
      <c r="AM20" s="31"/>
      <c r="AO20" s="38">
        <f t="shared" si="14"/>
        <v>46039</v>
      </c>
      <c r="AP20" s="17">
        <f>+Tabla22[[#This Row],[Web + APP 2025]]+Tabla22[[#This Row],[Afiliados 2025]]+Tabla22[[#This Row],[TMK 2025]]+Tabla22[[#This Row],[WA 2025]]+Tabla22[[#This Row],[Ent. en Tienda 2025]]</f>
        <v>1880958.3103448276</v>
      </c>
      <c r="AQ20" s="17">
        <f>+Tabla22[[#This Row],[Meli Drop 2025]]+Tabla22[[#This Row],[Meli Full 2025]]+Tabla22[[#This Row],[Amazon Drop 2025]]+Tabla22[[#This Row],[Amazon Full 2025]]+Tabla22[[#This Row],[TikTok 2025]]+Tabla22[[#This Row],[Shein 2025]]</f>
        <v>552137</v>
      </c>
      <c r="AR20" s="17">
        <f t="shared" si="15"/>
        <v>2271545</v>
      </c>
      <c r="AS20" s="17">
        <f t="shared" si="16"/>
        <v>620465</v>
      </c>
      <c r="AT20" s="18">
        <f t="shared" si="17"/>
        <v>0.20765302851585687</v>
      </c>
      <c r="AU20" s="18">
        <f t="shared" si="18"/>
        <v>0.12375189491014016</v>
      </c>
      <c r="AV20" s="17">
        <f t="shared" si="19"/>
        <v>2398359.80986901</v>
      </c>
      <c r="AW20" s="17">
        <f t="shared" si="20"/>
        <v>710942.07631619496</v>
      </c>
      <c r="AX20" s="39">
        <f t="shared" si="21"/>
        <v>0.94712436001171307</v>
      </c>
      <c r="AY20" s="39">
        <f t="shared" si="22"/>
        <v>0.872736360203901</v>
      </c>
      <c r="AZ20" s="39">
        <f t="shared" si="23"/>
        <v>0.9301155390698328</v>
      </c>
      <c r="BA20" s="18">
        <v>3.1880810597138799E-2</v>
      </c>
      <c r="BB20" s="20">
        <v>2.73358599352558E-2</v>
      </c>
      <c r="BC20" s="17">
        <f t="shared" si="24"/>
        <v>-126814.80986901</v>
      </c>
      <c r="BD20" s="17">
        <f t="shared" si="25"/>
        <v>-90477.076316194958</v>
      </c>
      <c r="BE20" s="32"/>
      <c r="BF20" s="40"/>
      <c r="BG20" s="40"/>
      <c r="BH20" s="32"/>
    </row>
    <row r="21" spans="1:60" ht="14.25" hidden="1" customHeight="1" x14ac:dyDescent="0.35">
      <c r="A21" s="19">
        <v>45675</v>
      </c>
      <c r="B21" s="17">
        <f>+'BD MD'!B20</f>
        <v>45210881</v>
      </c>
      <c r="C21" s="17">
        <f t="shared" si="4"/>
        <v>3363106</v>
      </c>
      <c r="D21" s="18">
        <f t="shared" si="5"/>
        <v>3.9047777246542986E-2</v>
      </c>
      <c r="E21" s="17">
        <v>44463837</v>
      </c>
      <c r="F21" s="19">
        <v>46040</v>
      </c>
      <c r="G21" s="17">
        <f t="shared" si="6"/>
        <v>4296573.7917584404</v>
      </c>
      <c r="H21" s="17">
        <v>3437831.0841278601</v>
      </c>
      <c r="I21" s="17">
        <v>858742.70763057994</v>
      </c>
      <c r="J21" s="17">
        <v>2580220</v>
      </c>
      <c r="K21" s="17">
        <v>2552466</v>
      </c>
      <c r="L21" s="17">
        <v>28300</v>
      </c>
      <c r="M21" s="17">
        <f>20869+16163</f>
        <v>37032</v>
      </c>
      <c r="N21" s="17">
        <v>17517</v>
      </c>
      <c r="O21" s="17">
        <v>-1059</v>
      </c>
      <c r="P21" s="17">
        <v>6155</v>
      </c>
      <c r="Q21" s="17">
        <v>2557</v>
      </c>
      <c r="R21" s="17">
        <v>63991</v>
      </c>
      <c r="S21" s="17">
        <v>43820</v>
      </c>
      <c r="T21" s="17">
        <v>488099</v>
      </c>
      <c r="U21" s="17">
        <v>167676</v>
      </c>
      <c r="V21" s="17">
        <v>140441</v>
      </c>
      <c r="W21" s="17">
        <v>113618</v>
      </c>
      <c r="X21" s="17">
        <v>38383</v>
      </c>
      <c r="Y21" s="17">
        <v>53156</v>
      </c>
      <c r="Z21" s="17">
        <v>0</v>
      </c>
      <c r="AA21" s="17">
        <v>3354</v>
      </c>
      <c r="AB21" s="17">
        <v>0</v>
      </c>
      <c r="AC21" s="17">
        <v>586</v>
      </c>
      <c r="AD21" s="17">
        <v>0</v>
      </c>
      <c r="AE21" s="17">
        <v>0</v>
      </c>
      <c r="AF21" s="17">
        <f t="shared" si="7"/>
        <v>2973206</v>
      </c>
      <c r="AG21" s="18">
        <f t="shared" si="8"/>
        <v>0.69199463202589817</v>
      </c>
      <c r="AH21" s="17">
        <f t="shared" si="9"/>
        <v>-1323367.7917584404</v>
      </c>
      <c r="AI21" s="20">
        <f t="shared" si="10"/>
        <v>0.15947741726666975</v>
      </c>
      <c r="AJ21" s="20">
        <f t="shared" si="11"/>
        <v>6.0481443791329512E-2</v>
      </c>
      <c r="AK21" s="21">
        <f t="shared" si="12"/>
        <v>6.6867958336569111E-2</v>
      </c>
      <c r="AL21" s="21">
        <f t="shared" si="13"/>
        <v>4.8736494791087992E-2</v>
      </c>
      <c r="AM21" s="31"/>
      <c r="AO21" s="38">
        <f t="shared" si="14"/>
        <v>46040</v>
      </c>
      <c r="AP21" s="17">
        <f>+Tabla22[[#This Row],[Web + APP 2025]]+Tabla22[[#This Row],[Afiliados 2025]]+Tabla22[[#This Row],[TMK 2025]]+Tabla22[[#This Row],[WA 2025]]+Tabla22[[#This Row],[Ent. en Tienda 2025]]</f>
        <v>2696183</v>
      </c>
      <c r="AQ21" s="17">
        <f>+Tabla22[[#This Row],[Meli Drop 2025]]+Tabla22[[#This Row],[Meli Full 2025]]+Tabla22[[#This Row],[Amazon Drop 2025]]+Tabla22[[#This Row],[Amazon Full 2025]]+Tabla22[[#This Row],[TikTok 2025]]+Tabla22[[#This Row],[Shein 2025]]</f>
        <v>666923</v>
      </c>
      <c r="AR21" s="17">
        <f t="shared" si="15"/>
        <v>2634816</v>
      </c>
      <c r="AS21" s="17">
        <f t="shared" si="16"/>
        <v>338390</v>
      </c>
      <c r="AT21" s="18">
        <f t="shared" si="17"/>
        <v>-2.2760695397901376E-2</v>
      </c>
      <c r="AU21" s="18">
        <f t="shared" si="18"/>
        <v>-0.49261009141984902</v>
      </c>
      <c r="AV21" s="17">
        <f t="shared" si="19"/>
        <v>3437831.0841278601</v>
      </c>
      <c r="AW21" s="17">
        <f t="shared" si="20"/>
        <v>858742.70763057994</v>
      </c>
      <c r="AX21" s="39">
        <f t="shared" si="21"/>
        <v>0.76641810941924848</v>
      </c>
      <c r="AY21" s="39">
        <f t="shared" si="22"/>
        <v>0.39405283677305009</v>
      </c>
      <c r="AZ21" s="39">
        <f t="shared" si="23"/>
        <v>0.69199463202589817</v>
      </c>
      <c r="BA21" s="18">
        <v>3.8508641597783902E-2</v>
      </c>
      <c r="BB21" s="20">
        <v>3.9183473893318901E-2</v>
      </c>
      <c r="BC21" s="17">
        <f t="shared" si="24"/>
        <v>-803015.08412786014</v>
      </c>
      <c r="BD21" s="17">
        <f t="shared" si="25"/>
        <v>-520352.70763057994</v>
      </c>
      <c r="BE21" s="32"/>
      <c r="BF21" s="40"/>
      <c r="BG21" s="40"/>
      <c r="BH21" s="32"/>
    </row>
    <row r="22" spans="1:60" ht="14.25" hidden="1" customHeight="1" x14ac:dyDescent="0.35">
      <c r="A22" s="16">
        <v>45676</v>
      </c>
      <c r="B22" s="17">
        <f>+'BD MD'!B21</f>
        <v>42397530</v>
      </c>
      <c r="C22" s="17">
        <f t="shared" si="4"/>
        <v>2564263.8275862066</v>
      </c>
      <c r="D22" s="18">
        <f t="shared" si="5"/>
        <v>2.9772716869748951E-2</v>
      </c>
      <c r="E22" s="17">
        <v>25877600</v>
      </c>
      <c r="F22" s="19">
        <v>46041</v>
      </c>
      <c r="G22" s="17">
        <f t="shared" si="6"/>
        <v>3274810.033961595</v>
      </c>
      <c r="H22" s="17">
        <v>2742589.4709522198</v>
      </c>
      <c r="I22" s="17">
        <v>532220.56300937501</v>
      </c>
      <c r="J22" s="17">
        <v>2028149</v>
      </c>
      <c r="K22" s="17">
        <v>3650682</v>
      </c>
      <c r="L22" s="17">
        <v>25069.827586206899</v>
      </c>
      <c r="M22" s="17">
        <f>16838+12441</f>
        <v>29279</v>
      </c>
      <c r="N22" s="17">
        <v>22533</v>
      </c>
      <c r="O22" s="17">
        <v>39416</v>
      </c>
      <c r="P22" s="17">
        <v>9941</v>
      </c>
      <c r="Q22" s="17">
        <v>1876</v>
      </c>
      <c r="R22" s="17">
        <v>65234</v>
      </c>
      <c r="S22" s="17">
        <v>66465</v>
      </c>
      <c r="T22" s="17">
        <v>193047</v>
      </c>
      <c r="U22" s="17">
        <v>827888</v>
      </c>
      <c r="V22" s="17">
        <v>170098</v>
      </c>
      <c r="W22" s="17">
        <v>129619</v>
      </c>
      <c r="X22" s="17">
        <v>50192</v>
      </c>
      <c r="Y22" s="17">
        <v>40872</v>
      </c>
      <c r="Z22" s="17">
        <v>0</v>
      </c>
      <c r="AA22" s="17">
        <v>7344</v>
      </c>
      <c r="AB22" s="17">
        <v>0</v>
      </c>
      <c r="AC22" s="17">
        <v>6161</v>
      </c>
      <c r="AD22" s="17">
        <v>0</v>
      </c>
      <c r="AE22" s="17">
        <v>861</v>
      </c>
      <c r="AF22" s="17">
        <f t="shared" si="7"/>
        <v>4800463</v>
      </c>
      <c r="AG22" s="18">
        <f t="shared" si="8"/>
        <v>1.4658752569512545</v>
      </c>
      <c r="AH22" s="17">
        <f t="shared" si="9"/>
        <v>1525652.966038405</v>
      </c>
      <c r="AI22" s="20">
        <f t="shared" si="10"/>
        <v>0.2183948127082882</v>
      </c>
      <c r="AJ22" s="20">
        <f t="shared" si="11"/>
        <v>0.16207265010517771</v>
      </c>
      <c r="AK22" s="21">
        <f t="shared" si="12"/>
        <v>0.18550649982996878</v>
      </c>
      <c r="AL22" s="21">
        <f t="shared" si="13"/>
        <v>6.4482788209734965E-2</v>
      </c>
      <c r="AM22" s="31"/>
      <c r="AO22" s="38">
        <f t="shared" si="14"/>
        <v>46041</v>
      </c>
      <c r="AP22" s="17">
        <f>+Tabla22[[#This Row],[Web + APP 2025]]+Tabla22[[#This Row],[Afiliados 2025]]+Tabla22[[#This Row],[TMK 2025]]+Tabla22[[#This Row],[WA 2025]]+Tabla22[[#This Row],[Ent. en Tienda 2025]]</f>
        <v>2150926.8275862066</v>
      </c>
      <c r="AQ22" s="17">
        <f>+Tabla22[[#This Row],[Meli Drop 2025]]+Tabla22[[#This Row],[Meli Full 2025]]+Tabla22[[#This Row],[Amazon Drop 2025]]+Tabla22[[#This Row],[Amazon Full 2025]]+Tabla22[[#This Row],[TikTok 2025]]+Tabla22[[#This Row],[Shein 2025]]</f>
        <v>413337</v>
      </c>
      <c r="AR22" s="17">
        <f t="shared" si="15"/>
        <v>3787718</v>
      </c>
      <c r="AS22" s="17">
        <f t="shared" si="16"/>
        <v>1012745</v>
      </c>
      <c r="AT22" s="18">
        <f t="shared" si="17"/>
        <v>0.76097017872552097</v>
      </c>
      <c r="AU22" s="18">
        <f t="shared" si="18"/>
        <v>1.4501677807696867</v>
      </c>
      <c r="AV22" s="17">
        <f t="shared" si="19"/>
        <v>2742589.4709522198</v>
      </c>
      <c r="AW22" s="17">
        <f t="shared" si="20"/>
        <v>532220.56300937501</v>
      </c>
      <c r="AX22" s="39">
        <f t="shared" si="21"/>
        <v>1.3810736313681371</v>
      </c>
      <c r="AY22" s="39">
        <f t="shared" si="22"/>
        <v>1.9028671013264864</v>
      </c>
      <c r="AZ22" s="39">
        <f t="shared" si="23"/>
        <v>1.4658752569512545</v>
      </c>
      <c r="BA22" s="18">
        <v>2.38663929600616E-2</v>
      </c>
      <c r="BB22" s="20">
        <v>3.1259297011798998E-2</v>
      </c>
      <c r="BC22" s="17">
        <f t="shared" si="24"/>
        <v>1045128.5290477802</v>
      </c>
      <c r="BD22" s="17">
        <f t="shared" si="25"/>
        <v>480524.43699062499</v>
      </c>
      <c r="BE22" s="32"/>
      <c r="BF22" s="40"/>
      <c r="BG22" s="40"/>
      <c r="BH22" s="32"/>
    </row>
    <row r="23" spans="1:60" ht="14.25" hidden="1" customHeight="1" x14ac:dyDescent="0.35">
      <c r="A23" s="19">
        <v>45677</v>
      </c>
      <c r="B23" s="17">
        <f>+'BD MD'!B22</f>
        <v>24310022</v>
      </c>
      <c r="C23" s="17">
        <f t="shared" si="4"/>
        <v>3939989.6896551722</v>
      </c>
      <c r="D23" s="18">
        <f t="shared" si="5"/>
        <v>4.5745759947896737E-2</v>
      </c>
      <c r="E23" s="17">
        <v>26671750</v>
      </c>
      <c r="F23" s="19">
        <v>46042</v>
      </c>
      <c r="G23" s="17">
        <f t="shared" si="6"/>
        <v>5033500.0450277738</v>
      </c>
      <c r="H23" s="17">
        <v>4035457.5665356298</v>
      </c>
      <c r="I23" s="17">
        <v>998042.47849214403</v>
      </c>
      <c r="J23" s="17">
        <v>3051836</v>
      </c>
      <c r="K23" s="17">
        <v>3539014</v>
      </c>
      <c r="L23" s="17">
        <v>24870.689655172398</v>
      </c>
      <c r="M23" s="17">
        <f>16964+18297</f>
        <v>35261</v>
      </c>
      <c r="N23" s="17">
        <v>62489</v>
      </c>
      <c r="O23" s="17">
        <v>50393</v>
      </c>
      <c r="P23" s="17">
        <v>2112</v>
      </c>
      <c r="Q23" s="17">
        <v>1403</v>
      </c>
      <c r="R23" s="17">
        <v>23575</v>
      </c>
      <c r="S23" s="17">
        <v>82775</v>
      </c>
      <c r="T23" s="17">
        <v>601975</v>
      </c>
      <c r="U23" s="17">
        <v>541048</v>
      </c>
      <c r="V23" s="17">
        <v>119622</v>
      </c>
      <c r="W23" s="17">
        <v>103829</v>
      </c>
      <c r="X23" s="17">
        <v>47661</v>
      </c>
      <c r="Y23" s="17">
        <v>59350</v>
      </c>
      <c r="Z23" s="17">
        <v>5849</v>
      </c>
      <c r="AA23" s="17">
        <v>5233</v>
      </c>
      <c r="AB23" s="17">
        <v>0</v>
      </c>
      <c r="AC23" s="17">
        <v>8443</v>
      </c>
      <c r="AD23" s="17">
        <v>0</v>
      </c>
      <c r="AE23" s="17">
        <v>0</v>
      </c>
      <c r="AF23" s="17">
        <f t="shared" si="7"/>
        <v>4426749</v>
      </c>
      <c r="AG23" s="18">
        <f t="shared" si="8"/>
        <v>0.87945742731697429</v>
      </c>
      <c r="AH23" s="17">
        <f t="shared" si="9"/>
        <v>-606751.04502777383</v>
      </c>
      <c r="AI23" s="20">
        <f t="shared" si="10"/>
        <v>7.2818113938435181E-2</v>
      </c>
      <c r="AJ23" s="20">
        <f t="shared" si="11"/>
        <v>0.16321942835556549</v>
      </c>
      <c r="AK23" s="21">
        <f t="shared" si="12"/>
        <v>0.16597144919249768</v>
      </c>
      <c r="AL23" s="21">
        <f t="shared" si="13"/>
        <v>5.5029404987821717E-2</v>
      </c>
      <c r="AM23" s="31"/>
      <c r="AO23" s="38">
        <f t="shared" si="14"/>
        <v>46042</v>
      </c>
      <c r="AP23" s="17">
        <f>+Tabla22[[#This Row],[Web + APP 2025]]+Tabla22[[#This Row],[Afiliados 2025]]+Tabla22[[#This Row],[TMK 2025]]+Tabla22[[#This Row],[WA 2025]]+Tabla22[[#This Row],[Ent. en Tienda 2025]]</f>
        <v>3164882.6896551722</v>
      </c>
      <c r="AQ23" s="17">
        <f>+Tabla22[[#This Row],[Meli Drop 2025]]+Tabla22[[#This Row],[Meli Full 2025]]+Tabla22[[#This Row],[Amazon Drop 2025]]+Tabla22[[#This Row],[Amazon Full 2025]]+Tabla22[[#This Row],[TikTok 2025]]+Tabla22[[#This Row],[Shein 2025]]</f>
        <v>775107</v>
      </c>
      <c r="AR23" s="17">
        <f t="shared" si="15"/>
        <v>3708846</v>
      </c>
      <c r="AS23" s="17">
        <f t="shared" si="16"/>
        <v>717903</v>
      </c>
      <c r="AT23" s="18">
        <f t="shared" si="17"/>
        <v>0.17187471501640239</v>
      </c>
      <c r="AU23" s="18">
        <f t="shared" si="18"/>
        <v>-7.3801423545394429E-2</v>
      </c>
      <c r="AV23" s="17">
        <f t="shared" si="19"/>
        <v>4035457.5665356298</v>
      </c>
      <c r="AW23" s="17">
        <f t="shared" si="20"/>
        <v>998042.47849214403</v>
      </c>
      <c r="AX23" s="39">
        <f t="shared" si="21"/>
        <v>0.91906455187533542</v>
      </c>
      <c r="AY23" s="39">
        <f t="shared" si="22"/>
        <v>0.71931106688426483</v>
      </c>
      <c r="AZ23" s="39">
        <f t="shared" si="23"/>
        <v>0.87945742731697429</v>
      </c>
      <c r="BA23" s="18">
        <v>4.47552680938181E-2</v>
      </c>
      <c r="BB23" s="20">
        <v>4.5995059773583702E-2</v>
      </c>
      <c r="BC23" s="17">
        <f t="shared" si="24"/>
        <v>-326611.5665356298</v>
      </c>
      <c r="BD23" s="17">
        <f t="shared" si="25"/>
        <v>-280139.47849214403</v>
      </c>
      <c r="BE23" s="32"/>
      <c r="BF23" s="40"/>
      <c r="BG23" s="40"/>
      <c r="BH23" s="32"/>
    </row>
    <row r="24" spans="1:60" ht="14.25" hidden="1" customHeight="1" x14ac:dyDescent="0.35">
      <c r="A24" s="16">
        <v>45678</v>
      </c>
      <c r="B24" s="17">
        <f>+'BD MD'!B23</f>
        <v>25280575</v>
      </c>
      <c r="C24" s="17">
        <f t="shared" si="4"/>
        <v>4126281</v>
      </c>
      <c r="D24" s="18">
        <f t="shared" si="5"/>
        <v>4.7908719304310551E-2</v>
      </c>
      <c r="E24" s="17">
        <v>28758026</v>
      </c>
      <c r="F24" s="19">
        <v>46043</v>
      </c>
      <c r="G24" s="17">
        <f t="shared" si="6"/>
        <v>5274251.9281716105</v>
      </c>
      <c r="H24" s="17">
        <v>3946053.64431941</v>
      </c>
      <c r="I24" s="17">
        <v>1328198.2838522</v>
      </c>
      <c r="J24" s="17">
        <v>2969811</v>
      </c>
      <c r="K24" s="17">
        <v>3499850</v>
      </c>
      <c r="L24" s="17">
        <v>20875</v>
      </c>
      <c r="M24" s="17">
        <f>13419+17382</f>
        <v>30801</v>
      </c>
      <c r="N24" s="17">
        <v>56684</v>
      </c>
      <c r="O24" s="17">
        <v>35803</v>
      </c>
      <c r="P24" s="17">
        <v>6612</v>
      </c>
      <c r="Q24" s="17">
        <v>5841</v>
      </c>
      <c r="R24" s="17">
        <v>40784</v>
      </c>
      <c r="S24" s="17">
        <v>48687</v>
      </c>
      <c r="T24" s="17">
        <v>884541</v>
      </c>
      <c r="U24" s="17">
        <v>482866</v>
      </c>
      <c r="V24" s="17">
        <v>85285</v>
      </c>
      <c r="W24" s="17">
        <v>118197</v>
      </c>
      <c r="X24" s="17">
        <v>44091</v>
      </c>
      <c r="Y24" s="17">
        <v>45226</v>
      </c>
      <c r="Z24" s="17">
        <v>17598</v>
      </c>
      <c r="AA24" s="17">
        <v>2767</v>
      </c>
      <c r="AB24" s="17">
        <v>0</v>
      </c>
      <c r="AC24" s="17">
        <v>9702</v>
      </c>
      <c r="AD24" s="17">
        <v>0</v>
      </c>
      <c r="AE24" s="17">
        <v>0</v>
      </c>
      <c r="AF24" s="17">
        <f t="shared" si="7"/>
        <v>4279740</v>
      </c>
      <c r="AG24" s="18">
        <f t="shared" si="8"/>
        <v>0.81144019252103283</v>
      </c>
      <c r="AH24" s="17">
        <f t="shared" si="9"/>
        <v>-994511.92817161046</v>
      </c>
      <c r="AI24" s="20">
        <f t="shared" si="10"/>
        <v>0.23412692754306108</v>
      </c>
      <c r="AJ24" s="20">
        <f t="shared" si="11"/>
        <v>0.12693205599114116</v>
      </c>
      <c r="AK24" s="21">
        <f t="shared" si="12"/>
        <v>0.14881897665715998</v>
      </c>
      <c r="AL24" s="21">
        <f t="shared" si="13"/>
        <v>5.2622936844620938E-2</v>
      </c>
      <c r="AM24" s="31"/>
      <c r="AO24" s="38">
        <f t="shared" si="14"/>
        <v>46043</v>
      </c>
      <c r="AP24" s="17">
        <f>+Tabla22[[#This Row],[Web + APP 2025]]+Tabla22[[#This Row],[Afiliados 2025]]+Tabla22[[#This Row],[TMK 2025]]+Tabla22[[#This Row],[WA 2025]]+Tabla22[[#This Row],[Ent. en Tienda 2025]]</f>
        <v>3094766</v>
      </c>
      <c r="AQ24" s="17">
        <f>+Tabla22[[#This Row],[Meli Drop 2025]]+Tabla22[[#This Row],[Meli Full 2025]]+Tabla22[[#This Row],[Amazon Drop 2025]]+Tabla22[[#This Row],[Amazon Full 2025]]+Tabla22[[#This Row],[TikTok 2025]]+Tabla22[[#This Row],[Shein 2025]]</f>
        <v>1031515</v>
      </c>
      <c r="AR24" s="17">
        <f t="shared" si="15"/>
        <v>3620982</v>
      </c>
      <c r="AS24" s="17">
        <f t="shared" si="16"/>
        <v>658758</v>
      </c>
      <c r="AT24" s="18">
        <f t="shared" si="17"/>
        <v>0.17003418029020612</v>
      </c>
      <c r="AU24" s="18">
        <f t="shared" si="18"/>
        <v>-0.36136847258643845</v>
      </c>
      <c r="AV24" s="17">
        <f t="shared" si="19"/>
        <v>3946053.64431941</v>
      </c>
      <c r="AW24" s="17">
        <f t="shared" si="20"/>
        <v>1328198.2838522</v>
      </c>
      <c r="AX24" s="39">
        <f t="shared" si="21"/>
        <v>0.91762107826705019</v>
      </c>
      <c r="AY24" s="39">
        <f t="shared" si="22"/>
        <v>0.49597865620590248</v>
      </c>
      <c r="AZ24" s="39">
        <f t="shared" si="23"/>
        <v>0.81144019252103283</v>
      </c>
      <c r="BA24" s="18">
        <v>5.9560461159291297E-2</v>
      </c>
      <c r="BB24" s="20">
        <v>4.4976057918520697E-2</v>
      </c>
      <c r="BC24" s="17">
        <f t="shared" si="24"/>
        <v>-325071.64431940997</v>
      </c>
      <c r="BD24" s="17">
        <f t="shared" si="25"/>
        <v>-669440.28385220002</v>
      </c>
      <c r="BE24" s="32"/>
      <c r="BF24" s="40"/>
      <c r="BG24" s="40"/>
      <c r="BH24" s="32"/>
    </row>
    <row r="25" spans="1:60" ht="14.25" hidden="1" customHeight="1" x14ac:dyDescent="0.35">
      <c r="A25" s="19">
        <v>45679</v>
      </c>
      <c r="B25" s="17">
        <f>+'BD MD'!B24</f>
        <v>27320349</v>
      </c>
      <c r="C25" s="17">
        <f t="shared" si="4"/>
        <v>3467828.068965517</v>
      </c>
      <c r="D25" s="18">
        <f t="shared" si="5"/>
        <v>4.0263666374558166E-2</v>
      </c>
      <c r="E25" s="17">
        <v>30590251</v>
      </c>
      <c r="F25" s="19">
        <v>46044</v>
      </c>
      <c r="G25" s="17">
        <f t="shared" si="6"/>
        <v>4428192.7170130024</v>
      </c>
      <c r="H25" s="17">
        <v>3765420.4664375</v>
      </c>
      <c r="I25" s="17">
        <v>662772.25057550205</v>
      </c>
      <c r="J25" s="17">
        <v>2805417</v>
      </c>
      <c r="K25" s="17">
        <v>2626517</v>
      </c>
      <c r="L25" s="17">
        <v>19287.068965517199</v>
      </c>
      <c r="M25" s="17">
        <f>13884+15409</f>
        <v>29293</v>
      </c>
      <c r="N25" s="17">
        <v>90551</v>
      </c>
      <c r="O25" s="17">
        <v>89330</v>
      </c>
      <c r="P25" s="17">
        <v>1592</v>
      </c>
      <c r="Q25" s="17">
        <v>878</v>
      </c>
      <c r="R25" s="17">
        <v>36254</v>
      </c>
      <c r="S25" s="17">
        <v>73394</v>
      </c>
      <c r="T25" s="17">
        <v>374553</v>
      </c>
      <c r="U25" s="17">
        <v>421869</v>
      </c>
      <c r="V25" s="17">
        <v>69855</v>
      </c>
      <c r="W25" s="17">
        <v>87416</v>
      </c>
      <c r="X25" s="17">
        <v>52088</v>
      </c>
      <c r="Y25" s="17">
        <v>44135</v>
      </c>
      <c r="Z25" s="17">
        <v>18231</v>
      </c>
      <c r="AA25" s="17">
        <v>5521</v>
      </c>
      <c r="AB25" s="17">
        <v>0</v>
      </c>
      <c r="AC25" s="17">
        <v>12903</v>
      </c>
      <c r="AD25" s="17">
        <v>0</v>
      </c>
      <c r="AE25" s="17">
        <v>0</v>
      </c>
      <c r="AF25" s="17">
        <f t="shared" si="7"/>
        <v>3391256</v>
      </c>
      <c r="AG25" s="18">
        <f t="shared" si="8"/>
        <v>0.76583297447079979</v>
      </c>
      <c r="AH25" s="17">
        <f t="shared" si="9"/>
        <v>-1036936.7170130024</v>
      </c>
      <c r="AI25" s="20">
        <f t="shared" si="10"/>
        <v>0.46494247318480597</v>
      </c>
      <c r="AJ25" s="20">
        <f t="shared" si="11"/>
        <v>8.0202948521850087E-2</v>
      </c>
      <c r="AK25" s="21">
        <f t="shared" si="12"/>
        <v>0.11086067910982489</v>
      </c>
      <c r="AL25" s="21">
        <f t="shared" si="13"/>
        <v>5.9823074400597642E-2</v>
      </c>
      <c r="AM25" s="31"/>
      <c r="AO25" s="38">
        <f t="shared" si="14"/>
        <v>46044</v>
      </c>
      <c r="AP25" s="17">
        <f>+Tabla22[[#This Row],[Web + APP 2025]]+Tabla22[[#This Row],[Afiliados 2025]]+Tabla22[[#This Row],[TMK 2025]]+Tabla22[[#This Row],[WA 2025]]+Tabla22[[#This Row],[Ent. en Tienda 2025]]</f>
        <v>2953101.068965517</v>
      </c>
      <c r="AQ25" s="17">
        <f>+Tabla22[[#This Row],[Meli Drop 2025]]+Tabla22[[#This Row],[Meli Full 2025]]+Tabla22[[#This Row],[Amazon Drop 2025]]+Tabla22[[#This Row],[Amazon Full 2025]]+Tabla22[[#This Row],[TikTok 2025]]+Tabla22[[#This Row],[Shein 2025]]</f>
        <v>514727</v>
      </c>
      <c r="AR25" s="17">
        <f t="shared" si="15"/>
        <v>2819412</v>
      </c>
      <c r="AS25" s="17">
        <f t="shared" si="16"/>
        <v>571844</v>
      </c>
      <c r="AT25" s="18">
        <f t="shared" si="17"/>
        <v>-4.5270739417106687E-2</v>
      </c>
      <c r="AU25" s="18">
        <f t="shared" si="18"/>
        <v>0.11096561866775989</v>
      </c>
      <c r="AV25" s="17">
        <f t="shared" si="19"/>
        <v>3765420.4664375</v>
      </c>
      <c r="AW25" s="17">
        <f t="shared" si="20"/>
        <v>662772.25057550205</v>
      </c>
      <c r="AX25" s="39">
        <f t="shared" si="21"/>
        <v>0.74876418852300775</v>
      </c>
      <c r="AY25" s="39">
        <f t="shared" si="22"/>
        <v>0.86280618946169407</v>
      </c>
      <c r="AZ25" s="39">
        <f t="shared" si="23"/>
        <v>0.76583297447079979</v>
      </c>
      <c r="BA25" s="18">
        <v>2.9720728725358799E-2</v>
      </c>
      <c r="BB25" s="20">
        <v>4.2917249548766703E-2</v>
      </c>
      <c r="BC25" s="17">
        <f t="shared" si="24"/>
        <v>-946008.46643749997</v>
      </c>
      <c r="BD25" s="17">
        <f t="shared" si="25"/>
        <v>-90928.250575502054</v>
      </c>
      <c r="BE25" s="32"/>
      <c r="BF25" s="40"/>
      <c r="BG25" s="40"/>
      <c r="BH25" s="32"/>
    </row>
    <row r="26" spans="1:60" ht="14.25" hidden="1" customHeight="1" x14ac:dyDescent="0.35">
      <c r="A26" s="16">
        <v>45680</v>
      </c>
      <c r="B26" s="17">
        <f>+'BD MD'!B25</f>
        <v>28863545</v>
      </c>
      <c r="C26" s="17">
        <f t="shared" si="4"/>
        <v>2314941.4137931033</v>
      </c>
      <c r="D26" s="18">
        <f t="shared" si="5"/>
        <v>2.6877926733379916E-2</v>
      </c>
      <c r="E26" s="17">
        <v>31338795</v>
      </c>
      <c r="F26" s="19">
        <v>46045</v>
      </c>
      <c r="G26" s="17">
        <f t="shared" si="6"/>
        <v>2956642.8508414202</v>
      </c>
      <c r="H26" s="17">
        <v>2451396.6176754502</v>
      </c>
      <c r="I26" s="17">
        <v>505246.23316597001</v>
      </c>
      <c r="J26" s="17">
        <v>1788443</v>
      </c>
      <c r="K26" s="17">
        <v>2207677</v>
      </c>
      <c r="L26" s="17">
        <v>22197.413793103398</v>
      </c>
      <c r="M26" s="17">
        <f>14447+12553</f>
        <v>27000</v>
      </c>
      <c r="N26" s="17">
        <v>61174</v>
      </c>
      <c r="O26" s="17">
        <v>50125</v>
      </c>
      <c r="P26" s="17">
        <v>1316</v>
      </c>
      <c r="Q26" s="17">
        <v>1962</v>
      </c>
      <c r="R26" s="17">
        <v>49423</v>
      </c>
      <c r="S26" s="17">
        <v>62478</v>
      </c>
      <c r="T26" s="17">
        <v>276672</v>
      </c>
      <c r="U26" s="17">
        <v>395456</v>
      </c>
      <c r="V26" s="17">
        <v>49661</v>
      </c>
      <c r="W26" s="17">
        <v>87113</v>
      </c>
      <c r="X26" s="17">
        <v>52812</v>
      </c>
      <c r="Y26" s="17">
        <v>29785</v>
      </c>
      <c r="Z26" s="17">
        <v>13243</v>
      </c>
      <c r="AA26" s="17">
        <v>3177</v>
      </c>
      <c r="AB26" s="17">
        <v>0</v>
      </c>
      <c r="AC26" s="17">
        <v>1034</v>
      </c>
      <c r="AD26" s="17">
        <v>0</v>
      </c>
      <c r="AE26" s="17">
        <v>947</v>
      </c>
      <c r="AF26" s="17">
        <f t="shared" si="7"/>
        <v>2866754</v>
      </c>
      <c r="AG26" s="18">
        <f t="shared" si="8"/>
        <v>0.9695976635068253</v>
      </c>
      <c r="AH26" s="17">
        <f t="shared" si="9"/>
        <v>-89888.850841420237</v>
      </c>
      <c r="AI26" s="20">
        <f t="shared" si="10"/>
        <v>0.4456803127485105</v>
      </c>
      <c r="AJ26" s="20">
        <f t="shared" si="11"/>
        <v>6.2174082952338339E-2</v>
      </c>
      <c r="AK26" s="21">
        <f t="shared" si="12"/>
        <v>9.1476203855317351E-2</v>
      </c>
      <c r="AL26" s="21">
        <f t="shared" si="13"/>
        <v>-1.7407326723434702E-2</v>
      </c>
      <c r="AM26" s="31"/>
      <c r="AO26" s="38">
        <f t="shared" si="14"/>
        <v>46045</v>
      </c>
      <c r="AP26" s="17">
        <f>+Tabla22[[#This Row],[Web + APP 2025]]+Tabla22[[#This Row],[Afiliados 2025]]+Tabla22[[#This Row],[TMK 2025]]+Tabla22[[#This Row],[WA 2025]]+Tabla22[[#This Row],[Ent. en Tienda 2025]]</f>
        <v>1922553.4137931033</v>
      </c>
      <c r="AQ26" s="17">
        <f>+Tabla22[[#This Row],[Meli Drop 2025]]+Tabla22[[#This Row],[Meli Full 2025]]+Tabla22[[#This Row],[Amazon Drop 2025]]+Tabla22[[#This Row],[Amazon Full 2025]]+Tabla22[[#This Row],[TikTok 2025]]+Tabla22[[#This Row],[Shein 2025]]</f>
        <v>392388</v>
      </c>
      <c r="AR26" s="17">
        <f t="shared" si="15"/>
        <v>2349242</v>
      </c>
      <c r="AS26" s="17">
        <f t="shared" si="16"/>
        <v>517512</v>
      </c>
      <c r="AT26" s="18">
        <f t="shared" si="17"/>
        <v>0.22193848199258137</v>
      </c>
      <c r="AU26" s="18">
        <f t="shared" si="18"/>
        <v>0.31887825315758889</v>
      </c>
      <c r="AV26" s="17">
        <f t="shared" si="19"/>
        <v>2451396.6176754502</v>
      </c>
      <c r="AW26" s="17">
        <f t="shared" si="20"/>
        <v>505246.23316597001</v>
      </c>
      <c r="AX26" s="39">
        <f t="shared" si="21"/>
        <v>0.95832799272917379</v>
      </c>
      <c r="AY26" s="39">
        <f t="shared" si="22"/>
        <v>1.0242768100559014</v>
      </c>
      <c r="AZ26" s="39">
        <f t="shared" si="23"/>
        <v>0.9695976635068253</v>
      </c>
      <c r="BA26" s="18">
        <v>2.2656781756321499E-2</v>
      </c>
      <c r="BB26" s="20">
        <v>2.7940359203315598E-2</v>
      </c>
      <c r="BC26" s="17">
        <f t="shared" si="24"/>
        <v>-102154.61767545016</v>
      </c>
      <c r="BD26" s="17">
        <f t="shared" si="25"/>
        <v>12265.766834029986</v>
      </c>
      <c r="BE26" s="32"/>
      <c r="BF26" s="40"/>
      <c r="BG26" s="40"/>
      <c r="BH26" s="32"/>
    </row>
    <row r="27" spans="1:60" ht="14.25" hidden="1" customHeight="1" x14ac:dyDescent="0.35">
      <c r="A27" s="19">
        <v>45681</v>
      </c>
      <c r="B27" s="17">
        <f>+'BD MD'!B26</f>
        <v>31893984</v>
      </c>
      <c r="C27" s="17">
        <f t="shared" si="4"/>
        <v>1982979.2068965517</v>
      </c>
      <c r="D27" s="18">
        <f t="shared" si="5"/>
        <v>2.3023636589338259E-2</v>
      </c>
      <c r="E27" s="17">
        <v>40446079</v>
      </c>
      <c r="F27" s="19">
        <v>46046</v>
      </c>
      <c r="G27" s="17">
        <f t="shared" si="6"/>
        <v>2533154.491659618</v>
      </c>
      <c r="H27" s="17">
        <v>2049687.0457852299</v>
      </c>
      <c r="I27" s="17">
        <v>483467.44587438798</v>
      </c>
      <c r="J27" s="17">
        <v>1462778</v>
      </c>
      <c r="K27" s="17">
        <v>1954073</v>
      </c>
      <c r="L27" s="17">
        <v>19311.206896551699</v>
      </c>
      <c r="M27" s="17">
        <f>17029+13804</f>
        <v>30833</v>
      </c>
      <c r="N27" s="17">
        <v>70610</v>
      </c>
      <c r="O27" s="17">
        <v>29064</v>
      </c>
      <c r="P27" s="17">
        <v>2246</v>
      </c>
      <c r="Q27" s="17">
        <v>1720</v>
      </c>
      <c r="R27" s="17">
        <v>52560</v>
      </c>
      <c r="S27" s="17">
        <v>60413</v>
      </c>
      <c r="T27" s="17">
        <v>296224</v>
      </c>
      <c r="U27" s="17">
        <v>400858</v>
      </c>
      <c r="V27" s="17">
        <v>49215</v>
      </c>
      <c r="W27" s="17">
        <v>71989</v>
      </c>
      <c r="X27" s="17">
        <v>15576</v>
      </c>
      <c r="Y27" s="17">
        <v>36844</v>
      </c>
      <c r="Z27" s="17">
        <v>14459</v>
      </c>
      <c r="AA27" s="17">
        <v>3208</v>
      </c>
      <c r="AB27" s="17">
        <v>0</v>
      </c>
      <c r="AC27" s="17">
        <v>0</v>
      </c>
      <c r="AD27" s="17">
        <v>0</v>
      </c>
      <c r="AE27" s="17">
        <v>0</v>
      </c>
      <c r="AF27" s="17">
        <f t="shared" si="7"/>
        <v>2589002</v>
      </c>
      <c r="AG27" s="18">
        <f t="shared" si="8"/>
        <v>1.0220466254720189</v>
      </c>
      <c r="AH27" s="17">
        <f t="shared" si="9"/>
        <v>55847.508340382017</v>
      </c>
      <c r="AI27" s="20">
        <f t="shared" si="10"/>
        <v>0.63732854987748655</v>
      </c>
      <c r="AJ27" s="20">
        <f t="shared" si="11"/>
        <v>3.9850527150980357E-2</v>
      </c>
      <c r="AK27" s="21">
        <f t="shared" si="12"/>
        <v>6.4011198712241049E-2</v>
      </c>
      <c r="AL27" s="21">
        <f t="shared" si="13"/>
        <v>1.9327979238270787E-2</v>
      </c>
      <c r="AM27" s="31"/>
      <c r="AO27" s="38">
        <f t="shared" si="14"/>
        <v>46046</v>
      </c>
      <c r="AP27" s="17">
        <f>+Tabla22[[#This Row],[Web + APP 2025]]+Tabla22[[#This Row],[Afiliados 2025]]+Tabla22[[#This Row],[TMK 2025]]+Tabla22[[#This Row],[WA 2025]]+Tabla22[[#This Row],[Ent. en Tienda 2025]]</f>
        <v>1607505.2068965517</v>
      </c>
      <c r="AQ27" s="17">
        <f>+Tabla22[[#This Row],[Meli Drop 2025]]+Tabla22[[#This Row],[Meli Full 2025]]+Tabla22[[#This Row],[Amazon Drop 2025]]+Tabla22[[#This Row],[Amazon Full 2025]]+Tabla22[[#This Row],[TikTok 2025]]+Tabla22[[#This Row],[Shein 2025]]</f>
        <v>375474</v>
      </c>
      <c r="AR27" s="17">
        <f t="shared" si="15"/>
        <v>2076103</v>
      </c>
      <c r="AS27" s="17">
        <f t="shared" si="16"/>
        <v>512899</v>
      </c>
      <c r="AT27" s="18">
        <f t="shared" si="17"/>
        <v>0.29150623655404684</v>
      </c>
      <c r="AU27" s="18">
        <f t="shared" si="18"/>
        <v>0.36600403756318678</v>
      </c>
      <c r="AV27" s="17">
        <f t="shared" si="19"/>
        <v>2049687.0457852299</v>
      </c>
      <c r="AW27" s="17">
        <f t="shared" si="20"/>
        <v>483467.44587438798</v>
      </c>
      <c r="AX27" s="39">
        <f t="shared" si="21"/>
        <v>1.0128877987832774</v>
      </c>
      <c r="AY27" s="39">
        <f t="shared" si="22"/>
        <v>1.0608759790897251</v>
      </c>
      <c r="AZ27" s="39">
        <f t="shared" si="23"/>
        <v>1.0220466254720189</v>
      </c>
      <c r="BA27" s="18">
        <v>2.16801545235152E-2</v>
      </c>
      <c r="BB27" s="20">
        <v>2.3361781565941601E-2</v>
      </c>
      <c r="BC27" s="17">
        <f t="shared" si="24"/>
        <v>26415.954214770114</v>
      </c>
      <c r="BD27" s="17">
        <f t="shared" si="25"/>
        <v>29431.55412561202</v>
      </c>
      <c r="BE27" s="32"/>
      <c r="BF27" s="40"/>
      <c r="BG27" s="40"/>
      <c r="BH27" s="32"/>
    </row>
    <row r="28" spans="1:60" ht="14.25" hidden="1" customHeight="1" x14ac:dyDescent="0.35">
      <c r="A28" s="16">
        <v>45682</v>
      </c>
      <c r="B28" s="17">
        <f>+'BD MD'!B27</f>
        <v>39679161</v>
      </c>
      <c r="C28" s="17">
        <f t="shared" si="4"/>
        <v>1581235.4827586208</v>
      </c>
      <c r="D28" s="18">
        <f t="shared" si="5"/>
        <v>1.835913911279885E-2</v>
      </c>
      <c r="E28" s="17">
        <v>40762958</v>
      </c>
      <c r="F28" s="19">
        <v>46047</v>
      </c>
      <c r="G28" s="17">
        <f t="shared" si="6"/>
        <v>2021056.664635597</v>
      </c>
      <c r="H28" s="17">
        <v>1521692.2749335</v>
      </c>
      <c r="I28" s="17">
        <v>499364.38970209699</v>
      </c>
      <c r="J28" s="17">
        <v>1103959</v>
      </c>
      <c r="K28" s="17">
        <v>2194390</v>
      </c>
      <c r="L28" s="17">
        <v>21284.482758620699</v>
      </c>
      <c r="M28" s="17">
        <f>16696+14416</f>
        <v>31112</v>
      </c>
      <c r="N28" s="17">
        <v>11116</v>
      </c>
      <c r="O28" s="17">
        <v>5527</v>
      </c>
      <c r="P28" s="17">
        <v>430</v>
      </c>
      <c r="Q28" s="17">
        <v>1670</v>
      </c>
      <c r="R28" s="17">
        <v>56626</v>
      </c>
      <c r="S28" s="17">
        <v>80142</v>
      </c>
      <c r="T28" s="17">
        <v>295266</v>
      </c>
      <c r="U28" s="17">
        <v>329347</v>
      </c>
      <c r="V28" s="17">
        <v>41484</v>
      </c>
      <c r="W28" s="17">
        <v>91250</v>
      </c>
      <c r="X28" s="17">
        <v>39494</v>
      </c>
      <c r="Y28" s="17">
        <v>31562</v>
      </c>
      <c r="Z28" s="17">
        <v>11576</v>
      </c>
      <c r="AA28" s="17">
        <v>3487</v>
      </c>
      <c r="AB28" s="17">
        <v>0</v>
      </c>
      <c r="AC28" s="17">
        <v>1118</v>
      </c>
      <c r="AD28" s="17">
        <v>0</v>
      </c>
      <c r="AE28" s="17">
        <v>0</v>
      </c>
      <c r="AF28" s="17">
        <f t="shared" si="7"/>
        <v>2769605</v>
      </c>
      <c r="AG28" s="18">
        <f t="shared" si="8"/>
        <v>1.3703747393442671</v>
      </c>
      <c r="AH28" s="17">
        <f t="shared" si="9"/>
        <v>748548.33536440297</v>
      </c>
      <c r="AI28" s="20">
        <f t="shared" si="10"/>
        <v>0.39243008797744872</v>
      </c>
      <c r="AJ28" s="20">
        <f t="shared" si="11"/>
        <v>5.274575340215281E-2</v>
      </c>
      <c r="AK28" s="21">
        <f t="shared" si="12"/>
        <v>6.7944161461491584E-2</v>
      </c>
      <c r="AL28" s="21">
        <f t="shared" si="13"/>
        <v>8.0957840532367653E-2</v>
      </c>
      <c r="AM28" s="31"/>
      <c r="AO28" s="38">
        <f t="shared" si="14"/>
        <v>46047</v>
      </c>
      <c r="AP28" s="17">
        <f>+Tabla22[[#This Row],[Web + APP 2025]]+Tabla22[[#This Row],[Afiliados 2025]]+Tabla22[[#This Row],[TMK 2025]]+Tabla22[[#This Row],[WA 2025]]+Tabla22[[#This Row],[Ent. en Tienda 2025]]</f>
        <v>1193415.4827586208</v>
      </c>
      <c r="AQ28" s="17">
        <f>+Tabla22[[#This Row],[Meli Drop 2025]]+Tabla22[[#This Row],[Meli Full 2025]]+Tabla22[[#This Row],[Amazon Drop 2025]]+Tabla22[[#This Row],[Amazon Full 2025]]+Tabla22[[#This Row],[TikTok 2025]]+Tabla22[[#This Row],[Shein 2025]]</f>
        <v>387820</v>
      </c>
      <c r="AR28" s="17">
        <f t="shared" si="15"/>
        <v>2312841</v>
      </c>
      <c r="AS28" s="17">
        <f t="shared" si="16"/>
        <v>456764</v>
      </c>
      <c r="AT28" s="18">
        <f t="shared" si="17"/>
        <v>0.93800150359520118</v>
      </c>
      <c r="AU28" s="18">
        <f t="shared" si="18"/>
        <v>0.17777319374967759</v>
      </c>
      <c r="AV28" s="17">
        <f t="shared" si="19"/>
        <v>1521692.2749335</v>
      </c>
      <c r="AW28" s="17">
        <f t="shared" si="20"/>
        <v>499364.38970209699</v>
      </c>
      <c r="AX28" s="39">
        <f t="shared" si="21"/>
        <v>1.5199137421533366</v>
      </c>
      <c r="AY28" s="39">
        <f t="shared" si="22"/>
        <v>0.91469077375038521</v>
      </c>
      <c r="AZ28" s="39">
        <f t="shared" si="23"/>
        <v>1.3703747393442671</v>
      </c>
      <c r="BA28" s="18">
        <v>2.2393021959735301E-2</v>
      </c>
      <c r="BB28" s="20">
        <v>1.7343839202515199E-2</v>
      </c>
      <c r="BC28" s="17">
        <f t="shared" si="24"/>
        <v>791148.72506650002</v>
      </c>
      <c r="BD28" s="17">
        <f t="shared" si="25"/>
        <v>-42600.389702096989</v>
      </c>
      <c r="BE28" s="32"/>
      <c r="BF28" s="40"/>
      <c r="BG28" s="40"/>
      <c r="BH28" s="32"/>
    </row>
    <row r="29" spans="1:60" ht="14.25" hidden="1" customHeight="1" x14ac:dyDescent="0.35">
      <c r="A29" s="19">
        <v>45683</v>
      </c>
      <c r="B29" s="17">
        <f>+'BD MD'!B28</f>
        <v>37710035</v>
      </c>
      <c r="C29" s="17">
        <f t="shared" si="4"/>
        <v>1989044.2068965517</v>
      </c>
      <c r="D29" s="18">
        <f t="shared" si="5"/>
        <v>2.309405505637447E-2</v>
      </c>
      <c r="E29" s="17">
        <v>22718693</v>
      </c>
      <c r="F29" s="19">
        <v>46048</v>
      </c>
      <c r="G29" s="17">
        <f t="shared" si="6"/>
        <v>2539442.467794071</v>
      </c>
      <c r="H29" s="17">
        <v>2204317.74082126</v>
      </c>
      <c r="I29" s="17">
        <v>335124.72697281098</v>
      </c>
      <c r="J29" s="17">
        <v>1640079</v>
      </c>
      <c r="K29" s="17">
        <v>3117837</v>
      </c>
      <c r="L29" s="17">
        <v>18636.206896551699</v>
      </c>
      <c r="M29" s="17">
        <f>12809+10481</f>
        <v>23290</v>
      </c>
      <c r="N29" s="17">
        <v>20959</v>
      </c>
      <c r="O29" s="17">
        <v>4291</v>
      </c>
      <c r="P29" s="17">
        <v>6107</v>
      </c>
      <c r="Q29" s="17">
        <v>1531</v>
      </c>
      <c r="R29" s="17">
        <v>42996</v>
      </c>
      <c r="S29" s="17">
        <v>43342</v>
      </c>
      <c r="T29" s="17">
        <v>181222</v>
      </c>
      <c r="U29" s="17">
        <v>517922</v>
      </c>
      <c r="V29" s="17">
        <v>38455</v>
      </c>
      <c r="W29" s="17">
        <v>78533</v>
      </c>
      <c r="X29" s="17">
        <v>33258</v>
      </c>
      <c r="Y29" s="17">
        <v>42966</v>
      </c>
      <c r="Z29" s="17">
        <v>7332</v>
      </c>
      <c r="AA29" s="17">
        <v>8314</v>
      </c>
      <c r="AB29" s="17">
        <v>0</v>
      </c>
      <c r="AC29" s="17">
        <v>10462</v>
      </c>
      <c r="AD29" s="17">
        <v>0</v>
      </c>
      <c r="AE29" s="17">
        <v>1378</v>
      </c>
      <c r="AF29" s="17">
        <f t="shared" si="7"/>
        <v>3849866</v>
      </c>
      <c r="AG29" s="18">
        <f t="shared" si="8"/>
        <v>1.5160280450630765</v>
      </c>
      <c r="AH29" s="17">
        <f t="shared" si="9"/>
        <v>1310423.532205929</v>
      </c>
      <c r="AI29" s="20">
        <f t="shared" si="10"/>
        <v>0.22874839525266855</v>
      </c>
      <c r="AJ29" s="20">
        <f t="shared" si="11"/>
        <v>0.13755661359750712</v>
      </c>
      <c r="AK29" s="21">
        <f t="shared" si="12"/>
        <v>0.16945807577927127</v>
      </c>
      <c r="AL29" s="21">
        <f t="shared" si="13"/>
        <v>-2.5705919469449778E-3</v>
      </c>
      <c r="AM29" s="31"/>
      <c r="AO29" s="38">
        <f t="shared" si="14"/>
        <v>46048</v>
      </c>
      <c r="AP29" s="17">
        <f>+Tabla22[[#This Row],[Web + APP 2025]]+Tabla22[[#This Row],[Afiliados 2025]]+Tabla22[[#This Row],[TMK 2025]]+Tabla22[[#This Row],[WA 2025]]+Tabla22[[#This Row],[Ent. en Tienda 2025]]</f>
        <v>1728777.2068965517</v>
      </c>
      <c r="AQ29" s="17">
        <f>+Tabla22[[#This Row],[Meli Drop 2025]]+Tabla22[[#This Row],[Meli Full 2025]]+Tabla22[[#This Row],[Amazon Drop 2025]]+Tabla22[[#This Row],[Amazon Full 2025]]+Tabla22[[#This Row],[TikTok 2025]]+Tabla22[[#This Row],[Shein 2025]]</f>
        <v>260267</v>
      </c>
      <c r="AR29" s="17">
        <f t="shared" si="15"/>
        <v>3190291</v>
      </c>
      <c r="AS29" s="17">
        <f t="shared" si="16"/>
        <v>659575</v>
      </c>
      <c r="AT29" s="18">
        <f t="shared" si="17"/>
        <v>0.84540320596146312</v>
      </c>
      <c r="AU29" s="18">
        <f t="shared" si="18"/>
        <v>1.5342244694871034</v>
      </c>
      <c r="AV29" s="17">
        <f t="shared" si="19"/>
        <v>2204317.74082126</v>
      </c>
      <c r="AW29" s="17">
        <f t="shared" si="20"/>
        <v>335124.72697281098</v>
      </c>
      <c r="AX29" s="39">
        <f t="shared" si="21"/>
        <v>1.4472918041350051</v>
      </c>
      <c r="AY29" s="39">
        <f t="shared" si="22"/>
        <v>1.9681478175542446</v>
      </c>
      <c r="AZ29" s="39">
        <f t="shared" si="23"/>
        <v>1.5160280450630765</v>
      </c>
      <c r="BA29" s="18">
        <v>1.50280146624579E-2</v>
      </c>
      <c r="BB29" s="20">
        <v>2.5124220631090599E-2</v>
      </c>
      <c r="BC29" s="17">
        <f t="shared" si="24"/>
        <v>985973.25917873997</v>
      </c>
      <c r="BD29" s="17">
        <f t="shared" si="25"/>
        <v>324450.27302718902</v>
      </c>
      <c r="BE29" s="32"/>
      <c r="BF29" s="40"/>
      <c r="BG29" s="40"/>
      <c r="BH29" s="32"/>
    </row>
    <row r="30" spans="1:60" ht="14.25" hidden="1" customHeight="1" x14ac:dyDescent="0.35">
      <c r="A30" s="16">
        <v>45684</v>
      </c>
      <c r="B30" s="17">
        <f>+'BD MD'!B29</f>
        <v>22777244</v>
      </c>
      <c r="C30" s="17">
        <f t="shared" si="4"/>
        <v>3133160.5517241377</v>
      </c>
      <c r="D30" s="18">
        <f t="shared" si="5"/>
        <v>3.6377965874813303E-2</v>
      </c>
      <c r="E30" s="17">
        <v>24708209</v>
      </c>
      <c r="F30" s="19">
        <v>46049</v>
      </c>
      <c r="G30" s="17">
        <f t="shared" si="6"/>
        <v>4004192.1455097869</v>
      </c>
      <c r="H30" s="17">
        <v>3061733.6027988298</v>
      </c>
      <c r="I30" s="17">
        <v>942458.542710957</v>
      </c>
      <c r="J30" s="17">
        <v>2287434</v>
      </c>
      <c r="K30" s="17">
        <v>3426615</v>
      </c>
      <c r="L30" s="17">
        <v>20571.551724137898</v>
      </c>
      <c r="M30" s="17">
        <f>16341+11476</f>
        <v>27817</v>
      </c>
      <c r="N30" s="17">
        <v>48184</v>
      </c>
      <c r="O30" s="17">
        <v>57382</v>
      </c>
      <c r="P30" s="17">
        <v>6325</v>
      </c>
      <c r="Q30" s="17">
        <v>5403</v>
      </c>
      <c r="R30" s="17">
        <v>38707</v>
      </c>
      <c r="S30" s="17">
        <v>52302</v>
      </c>
      <c r="T30" s="17">
        <v>428538</v>
      </c>
      <c r="U30" s="17">
        <v>411232</v>
      </c>
      <c r="V30" s="17">
        <v>34661</v>
      </c>
      <c r="W30" s="17">
        <v>82440</v>
      </c>
      <c r="X30" s="17">
        <v>41258</v>
      </c>
      <c r="Y30" s="17">
        <v>37763</v>
      </c>
      <c r="Z30" s="17">
        <v>227482</v>
      </c>
      <c r="AA30" s="17">
        <v>5270</v>
      </c>
      <c r="AB30" s="17">
        <v>0</v>
      </c>
      <c r="AC30" s="17">
        <v>1490</v>
      </c>
      <c r="AD30" s="17">
        <v>0</v>
      </c>
      <c r="AE30" s="17">
        <v>0</v>
      </c>
      <c r="AF30" s="17">
        <f t="shared" si="7"/>
        <v>4107714</v>
      </c>
      <c r="AG30" s="18">
        <f t="shared" si="8"/>
        <v>1.0258533683520408</v>
      </c>
      <c r="AH30" s="17">
        <f t="shared" si="9"/>
        <v>103521.8544902131</v>
      </c>
      <c r="AI30" s="20">
        <f t="shared" si="10"/>
        <v>0.30908557788406954</v>
      </c>
      <c r="AJ30" s="20">
        <f t="shared" si="11"/>
        <v>0.12911391243744394</v>
      </c>
      <c r="AK30" s="21">
        <f t="shared" si="12"/>
        <v>0.1662489579880112</v>
      </c>
      <c r="AL30" s="21">
        <f t="shared" si="13"/>
        <v>1.667500790130183E-2</v>
      </c>
      <c r="AM30" s="31"/>
      <c r="AO30" s="38">
        <f t="shared" si="14"/>
        <v>46049</v>
      </c>
      <c r="AP30" s="17">
        <f>+Tabla22[[#This Row],[Web + APP 2025]]+Tabla22[[#This Row],[Afiliados 2025]]+Tabla22[[#This Row],[TMK 2025]]+Tabla22[[#This Row],[WA 2025]]+Tabla22[[#This Row],[Ent. en Tienda 2025]]</f>
        <v>2401221.5517241377</v>
      </c>
      <c r="AQ30" s="17">
        <f>+Tabla22[[#This Row],[Meli Drop 2025]]+Tabla22[[#This Row],[Meli Full 2025]]+Tabla22[[#This Row],[Amazon Drop 2025]]+Tabla22[[#This Row],[Amazon Full 2025]]+Tabla22[[#This Row],[TikTok 2025]]+Tabla22[[#This Row],[Shein 2025]]</f>
        <v>731939</v>
      </c>
      <c r="AR30" s="17">
        <f t="shared" si="15"/>
        <v>3569519</v>
      </c>
      <c r="AS30" s="17">
        <f t="shared" si="16"/>
        <v>538195</v>
      </c>
      <c r="AT30" s="18">
        <f t="shared" si="17"/>
        <v>0.48654296286696042</v>
      </c>
      <c r="AU30" s="18">
        <f t="shared" si="18"/>
        <v>-0.26469965393290973</v>
      </c>
      <c r="AV30" s="17">
        <f t="shared" si="19"/>
        <v>3061733.6027988298</v>
      </c>
      <c r="AW30" s="17">
        <f t="shared" si="20"/>
        <v>942458.542710957</v>
      </c>
      <c r="AX30" s="39">
        <f t="shared" si="21"/>
        <v>1.1658489807006682</v>
      </c>
      <c r="AY30" s="39">
        <f t="shared" si="22"/>
        <v>0.57105429640639294</v>
      </c>
      <c r="AZ30" s="39">
        <f t="shared" si="23"/>
        <v>1.0258533683520408</v>
      </c>
      <c r="BA30" s="18">
        <v>4.2262714919773799E-2</v>
      </c>
      <c r="BB30" s="20">
        <v>3.4896815974307903E-2</v>
      </c>
      <c r="BC30" s="17">
        <f t="shared" si="24"/>
        <v>507785.39720117021</v>
      </c>
      <c r="BD30" s="17">
        <f t="shared" si="25"/>
        <v>-404263.542710957</v>
      </c>
      <c r="BE30" s="32"/>
      <c r="BF30" s="40"/>
      <c r="BG30" s="40"/>
      <c r="BH30" s="32"/>
    </row>
    <row r="31" spans="1:60" ht="14.25" hidden="1" customHeight="1" x14ac:dyDescent="0.35">
      <c r="A31" s="19">
        <v>45685</v>
      </c>
      <c r="B31" s="17">
        <f>+'BD MD'!B30</f>
        <v>24302957</v>
      </c>
      <c r="C31" s="17">
        <f t="shared" si="4"/>
        <v>3137849.8620689656</v>
      </c>
      <c r="D31" s="18">
        <f t="shared" si="5"/>
        <v>3.6432411719156226E-2</v>
      </c>
      <c r="E31" s="17">
        <v>25710859</v>
      </c>
      <c r="F31" s="19">
        <v>46050</v>
      </c>
      <c r="G31" s="17">
        <f t="shared" si="6"/>
        <v>4005238.3203741871</v>
      </c>
      <c r="H31" s="17">
        <v>3569081.8583861999</v>
      </c>
      <c r="I31" s="17">
        <v>436156.46198798699</v>
      </c>
      <c r="J31" s="17">
        <v>2625912</v>
      </c>
      <c r="K31" s="17">
        <v>2794957</v>
      </c>
      <c r="L31" s="17">
        <v>24700.8620689655</v>
      </c>
      <c r="M31" s="17">
        <f>128+1268</f>
        <v>1396</v>
      </c>
      <c r="N31" s="17">
        <v>92321</v>
      </c>
      <c r="O31" s="17">
        <v>24203</v>
      </c>
      <c r="P31" s="17">
        <v>6877</v>
      </c>
      <c r="Q31" s="17">
        <v>1791</v>
      </c>
      <c r="R31" s="17">
        <v>49308</v>
      </c>
      <c r="S31" s="17">
        <v>86934</v>
      </c>
      <c r="T31" s="17">
        <v>276028</v>
      </c>
      <c r="U31" s="17">
        <v>411456</v>
      </c>
      <c r="V31" s="17">
        <v>43571</v>
      </c>
      <c r="W31" s="17">
        <v>58025</v>
      </c>
      <c r="X31" s="17">
        <v>14912</v>
      </c>
      <c r="Y31" s="17">
        <v>39072</v>
      </c>
      <c r="Z31" s="17">
        <v>4220</v>
      </c>
      <c r="AA31" s="17">
        <v>4163</v>
      </c>
      <c r="AB31" s="17">
        <v>0</v>
      </c>
      <c r="AC31" s="17">
        <v>4865</v>
      </c>
      <c r="AD31" s="17">
        <v>0</v>
      </c>
      <c r="AE31" s="17">
        <v>0</v>
      </c>
      <c r="AF31" s="17">
        <f t="shared" si="7"/>
        <v>3426862</v>
      </c>
      <c r="AG31" s="18">
        <f t="shared" si="8"/>
        <v>0.85559502978086144</v>
      </c>
      <c r="AH31" s="17">
        <f t="shared" si="9"/>
        <v>-578376.32037418708</v>
      </c>
      <c r="AI31" s="20">
        <f t="shared" si="10"/>
        <v>0.19070967743172274</v>
      </c>
      <c r="AJ31" s="20">
        <f t="shared" si="11"/>
        <v>0.10689573881845187</v>
      </c>
      <c r="AK31" s="21">
        <f t="shared" si="12"/>
        <v>0.1332846172117392</v>
      </c>
      <c r="AL31" s="21">
        <f t="shared" si="13"/>
        <v>-4.5037654381814063E-2</v>
      </c>
      <c r="AM31" s="31"/>
      <c r="AO31" s="38">
        <f t="shared" si="14"/>
        <v>46050</v>
      </c>
      <c r="AP31" s="17">
        <f>+Tabla22[[#This Row],[Web + APP 2025]]+Tabla22[[#This Row],[Afiliados 2025]]+Tabla22[[#This Row],[TMK 2025]]+Tabla22[[#This Row],[WA 2025]]+Tabla22[[#This Row],[Ent. en Tienda 2025]]</f>
        <v>2799118.8620689656</v>
      </c>
      <c r="AQ31" s="17">
        <f>+Tabla22[[#This Row],[Meli Drop 2025]]+Tabla22[[#This Row],[Meli Full 2025]]+Tabla22[[#This Row],[Amazon Drop 2025]]+Tabla22[[#This Row],[Amazon Full 2025]]+Tabla22[[#This Row],[TikTok 2025]]+Tabla22[[#This Row],[Shein 2025]]</f>
        <v>338731</v>
      </c>
      <c r="AR31" s="17">
        <f t="shared" si="15"/>
        <v>2909281</v>
      </c>
      <c r="AS31" s="17">
        <f t="shared" si="16"/>
        <v>517581</v>
      </c>
      <c r="AT31" s="18">
        <f t="shared" si="17"/>
        <v>3.9356005714458409E-2</v>
      </c>
      <c r="AU31" s="18">
        <f t="shared" si="18"/>
        <v>0.52800009447024343</v>
      </c>
      <c r="AV31" s="17">
        <f t="shared" si="19"/>
        <v>3569081.8583861999</v>
      </c>
      <c r="AW31" s="17">
        <f t="shared" si="20"/>
        <v>436156.46198798699</v>
      </c>
      <c r="AX31" s="39">
        <f t="shared" si="21"/>
        <v>0.81513428815428279</v>
      </c>
      <c r="AY31" s="39">
        <f t="shared" si="22"/>
        <v>1.1866865336372241</v>
      </c>
      <c r="AZ31" s="39">
        <f t="shared" si="23"/>
        <v>0.85559502978086144</v>
      </c>
      <c r="BA31" s="18">
        <v>1.9558585739371599E-2</v>
      </c>
      <c r="BB31" s="20">
        <v>4.0679434910825998E-2</v>
      </c>
      <c r="BC31" s="17">
        <f t="shared" si="24"/>
        <v>-659800.85838619992</v>
      </c>
      <c r="BD31" s="17">
        <f t="shared" si="25"/>
        <v>81424.538012013014</v>
      </c>
      <c r="BE31" s="32"/>
      <c r="BF31" s="40"/>
      <c r="BG31" s="40"/>
      <c r="BH31" s="32"/>
    </row>
    <row r="32" spans="1:60" ht="14.25" hidden="1" customHeight="1" x14ac:dyDescent="0.35">
      <c r="A32" s="16">
        <v>45686</v>
      </c>
      <c r="B32" s="17">
        <f>+'BD MD'!B31</f>
        <v>26923427</v>
      </c>
      <c r="C32" s="17">
        <f t="shared" si="4"/>
        <v>2877999.6206896552</v>
      </c>
      <c r="D32" s="18">
        <f t="shared" si="5"/>
        <v>3.3415386878773629E-2</v>
      </c>
      <c r="E32" s="17">
        <v>28535339</v>
      </c>
      <c r="F32" s="19">
        <v>46051</v>
      </c>
      <c r="G32" s="17">
        <f t="shared" si="6"/>
        <v>3673363.8788741999</v>
      </c>
      <c r="H32" s="17">
        <v>3293279.3602577699</v>
      </c>
      <c r="I32" s="17">
        <v>380084.51861643</v>
      </c>
      <c r="J32" s="17">
        <v>2418581</v>
      </c>
      <c r="K32" s="17">
        <v>2450518</v>
      </c>
      <c r="L32" s="17">
        <v>20333.620689655199</v>
      </c>
      <c r="M32" s="17">
        <f>369+128</f>
        <v>497</v>
      </c>
      <c r="N32" s="17">
        <v>55131</v>
      </c>
      <c r="O32" s="17">
        <v>6335</v>
      </c>
      <c r="P32" s="17">
        <v>6277</v>
      </c>
      <c r="Q32" s="17">
        <v>6576</v>
      </c>
      <c r="R32" s="17">
        <v>82493</v>
      </c>
      <c r="S32" s="17">
        <v>61831</v>
      </c>
      <c r="T32" s="17">
        <v>224454</v>
      </c>
      <c r="U32" s="17">
        <v>318201</v>
      </c>
      <c r="V32" s="17">
        <v>43095</v>
      </c>
      <c r="W32" s="17">
        <v>69719</v>
      </c>
      <c r="X32" s="17">
        <v>21531</v>
      </c>
      <c r="Y32" s="17">
        <v>44859</v>
      </c>
      <c r="Z32" s="17">
        <v>6104</v>
      </c>
      <c r="AA32" s="17">
        <v>6441</v>
      </c>
      <c r="AB32" s="17">
        <v>0</v>
      </c>
      <c r="AC32" s="17">
        <v>10362</v>
      </c>
      <c r="AD32" s="17">
        <v>0</v>
      </c>
      <c r="AE32" s="17">
        <v>0</v>
      </c>
      <c r="AF32" s="17">
        <f t="shared" si="7"/>
        <v>2975339</v>
      </c>
      <c r="AG32" s="18">
        <f t="shared" si="8"/>
        <v>0.80997665848227152</v>
      </c>
      <c r="AH32" s="17">
        <f t="shared" si="9"/>
        <v>-698024.87887419993</v>
      </c>
      <c r="AI32" s="20">
        <f t="shared" si="10"/>
        <v>0.16397907955130342</v>
      </c>
      <c r="AJ32" s="20">
        <f t="shared" si="11"/>
        <v>8.3151058018140225E-2</v>
      </c>
      <c r="AK32" s="21">
        <f t="shared" si="12"/>
        <v>0.10426857028052129</v>
      </c>
      <c r="AL32" s="21">
        <f t="shared" si="13"/>
        <v>-7.1761589179929697E-2</v>
      </c>
      <c r="AM32" s="31"/>
      <c r="AO32" s="38">
        <f t="shared" si="14"/>
        <v>46051</v>
      </c>
      <c r="AP32" s="17">
        <f>+Tabla22[[#This Row],[Web + APP 2025]]+Tabla22[[#This Row],[Afiliados 2025]]+Tabla22[[#This Row],[TMK 2025]]+Tabla22[[#This Row],[WA 2025]]+Tabla22[[#This Row],[Ent. en Tienda 2025]]</f>
        <v>2582815.6206896552</v>
      </c>
      <c r="AQ32" s="17">
        <f>+Tabla22[[#This Row],[Meli Drop 2025]]+Tabla22[[#This Row],[Meli Full 2025]]+Tabla22[[#This Row],[Amazon Drop 2025]]+Tabla22[[#This Row],[Amazon Full 2025]]+Tabla22[[#This Row],[TikTok 2025]]+Tabla22[[#This Row],[Shein 2025]]</f>
        <v>295184</v>
      </c>
      <c r="AR32" s="17">
        <f t="shared" si="15"/>
        <v>2525757</v>
      </c>
      <c r="AS32" s="17">
        <f t="shared" si="16"/>
        <v>449582</v>
      </c>
      <c r="AT32" s="18">
        <f t="shared" si="17"/>
        <v>-2.2091635280732769E-2</v>
      </c>
      <c r="AU32" s="18">
        <f t="shared" si="18"/>
        <v>0.52305680524689691</v>
      </c>
      <c r="AV32" s="17">
        <f t="shared" si="19"/>
        <v>3293279.3602577699</v>
      </c>
      <c r="AW32" s="17">
        <f t="shared" si="20"/>
        <v>380084.51861643</v>
      </c>
      <c r="AX32" s="39">
        <f t="shared" si="21"/>
        <v>0.76694283226622628</v>
      </c>
      <c r="AY32" s="39">
        <f t="shared" si="22"/>
        <v>1.1828474404496985</v>
      </c>
      <c r="AZ32" s="39">
        <f t="shared" si="23"/>
        <v>0.80997665848227152</v>
      </c>
      <c r="BA32" s="18">
        <v>1.7044148816880302E-2</v>
      </c>
      <c r="BB32" s="20">
        <v>3.7535912230196998E-2</v>
      </c>
      <c r="BC32" s="17">
        <f t="shared" si="24"/>
        <v>-767522.36025776993</v>
      </c>
      <c r="BD32" s="17">
        <f t="shared" si="25"/>
        <v>69497.481383570004</v>
      </c>
      <c r="BE32" s="32"/>
      <c r="BF32" s="40"/>
      <c r="BG32" s="40"/>
      <c r="BH32" s="32"/>
    </row>
    <row r="33" spans="1:60" ht="14.25" hidden="1" customHeight="1" x14ac:dyDescent="0.35">
      <c r="A33" s="19">
        <v>45687</v>
      </c>
      <c r="B33" s="17">
        <f>+'BD MD'!B32</f>
        <v>30741390</v>
      </c>
      <c r="C33" s="17">
        <f t="shared" si="4"/>
        <v>2556179.1034482759</v>
      </c>
      <c r="D33" s="18">
        <f t="shared" si="5"/>
        <v>2.9678848134348498E-2</v>
      </c>
      <c r="E33" s="17">
        <v>32375122</v>
      </c>
      <c r="F33" s="19">
        <v>46052</v>
      </c>
      <c r="G33" s="17">
        <f t="shared" si="6"/>
        <v>3262796.9441023073</v>
      </c>
      <c r="H33" s="17">
        <v>2905514.8698601602</v>
      </c>
      <c r="I33" s="17">
        <v>357282.07424214698</v>
      </c>
      <c r="J33" s="17">
        <v>2124088</v>
      </c>
      <c r="K33" s="17">
        <v>1981506</v>
      </c>
      <c r="L33" s="17">
        <v>20593.103448275899</v>
      </c>
      <c r="M33" s="17">
        <f>13851+10016</f>
        <v>23867</v>
      </c>
      <c r="N33" s="17">
        <v>61017</v>
      </c>
      <c r="O33" s="17">
        <v>19840</v>
      </c>
      <c r="P33" s="17">
        <v>4303</v>
      </c>
      <c r="Q33" s="17">
        <v>1512</v>
      </c>
      <c r="R33" s="17">
        <v>68703</v>
      </c>
      <c r="S33" s="17">
        <v>79127</v>
      </c>
      <c r="T33" s="17">
        <v>188379</v>
      </c>
      <c r="U33" s="17">
        <v>341849</v>
      </c>
      <c r="V33" s="17">
        <v>64182</v>
      </c>
      <c r="W33" s="17">
        <v>52697</v>
      </c>
      <c r="X33" s="17">
        <v>18890</v>
      </c>
      <c r="Y33" s="17">
        <v>28869</v>
      </c>
      <c r="Z33" s="17">
        <v>6024</v>
      </c>
      <c r="AA33" s="17">
        <v>3232</v>
      </c>
      <c r="AB33" s="17">
        <v>0</v>
      </c>
      <c r="AC33" s="17">
        <v>4079</v>
      </c>
      <c r="AD33" s="17">
        <v>0</v>
      </c>
      <c r="AE33" s="17">
        <v>0</v>
      </c>
      <c r="AF33" s="17">
        <f t="shared" si="7"/>
        <v>2536578</v>
      </c>
      <c r="AG33" s="18">
        <f t="shared" si="8"/>
        <v>0.77742441330436152</v>
      </c>
      <c r="AH33" s="17">
        <f t="shared" si="9"/>
        <v>-726218.94410230732</v>
      </c>
      <c r="AI33" s="20">
        <f t="shared" si="10"/>
        <v>7.8650300444107257E-2</v>
      </c>
      <c r="AJ33" s="20">
        <f t="shared" si="11"/>
        <v>6.4031004668086047E-2</v>
      </c>
      <c r="AK33" s="21">
        <f t="shared" si="12"/>
        <v>7.8349604365969647E-2</v>
      </c>
      <c r="AL33" s="21">
        <f t="shared" si="13"/>
        <v>-0.11847592617879743</v>
      </c>
      <c r="AM33" s="31"/>
      <c r="AO33" s="38">
        <f t="shared" si="14"/>
        <v>46052</v>
      </c>
      <c r="AP33" s="17">
        <f>+Tabla22[[#This Row],[Web + APP 2025]]+Tabla22[[#This Row],[Afiliados 2025]]+Tabla22[[#This Row],[TMK 2025]]+Tabla22[[#This Row],[WA 2025]]+Tabla22[[#This Row],[Ent. en Tienda 2025]]</f>
        <v>2278704.1034482759</v>
      </c>
      <c r="AQ33" s="17">
        <f>+Tabla22[[#This Row],[Meli Drop 2025]]+Tabla22[[#This Row],[Meli Full 2025]]+Tabla22[[#This Row],[Amazon Drop 2025]]+Tabla22[[#This Row],[Amazon Full 2025]]+Tabla22[[#This Row],[TikTok 2025]]+Tabla22[[#This Row],[Shein 2025]]</f>
        <v>277475</v>
      </c>
      <c r="AR33" s="17">
        <f t="shared" si="15"/>
        <v>2105852</v>
      </c>
      <c r="AS33" s="17">
        <f t="shared" si="16"/>
        <v>430726</v>
      </c>
      <c r="AT33" s="18">
        <f t="shared" si="17"/>
        <v>-7.5855440461403245E-2</v>
      </c>
      <c r="AU33" s="18">
        <f t="shared" si="18"/>
        <v>0.55230561311829884</v>
      </c>
      <c r="AV33" s="17">
        <f t="shared" si="19"/>
        <v>2905514.8698601602</v>
      </c>
      <c r="AW33" s="17">
        <f t="shared" si="20"/>
        <v>357282.07424214698</v>
      </c>
      <c r="AX33" s="39">
        <f t="shared" si="21"/>
        <v>0.72477756759900969</v>
      </c>
      <c r="AY33" s="39">
        <f t="shared" si="22"/>
        <v>1.2055628620989156</v>
      </c>
      <c r="AZ33" s="39">
        <f t="shared" si="23"/>
        <v>0.77742441330436152</v>
      </c>
      <c r="BA33" s="18">
        <v>1.6021617679019998E-2</v>
      </c>
      <c r="BB33" s="20">
        <v>3.3116276880339399E-2</v>
      </c>
      <c r="BC33" s="17">
        <f t="shared" si="24"/>
        <v>-799662.86986016016</v>
      </c>
      <c r="BD33" s="17">
        <f t="shared" si="25"/>
        <v>73443.925757853023</v>
      </c>
      <c r="BE33" s="32"/>
      <c r="BF33" s="40"/>
      <c r="BG33" s="40"/>
      <c r="BH33" s="32"/>
    </row>
    <row r="34" spans="1:60" ht="14.25" hidden="1" customHeight="1" x14ac:dyDescent="0.35">
      <c r="A34" s="16">
        <v>45688</v>
      </c>
      <c r="B34" s="17">
        <f>+'BD MD'!B33</f>
        <v>36726305</v>
      </c>
      <c r="C34" s="17">
        <f t="shared" si="4"/>
        <v>2351622.2068965519</v>
      </c>
      <c r="D34" s="18">
        <f t="shared" si="5"/>
        <v>2.7303813826540225E-2</v>
      </c>
      <c r="E34" s="17">
        <v>38921712</v>
      </c>
      <c r="F34" s="19">
        <v>46053</v>
      </c>
      <c r="G34" s="17">
        <f t="shared" si="6"/>
        <v>3002659.2343073953</v>
      </c>
      <c r="H34" s="17">
        <v>2574832.3794489601</v>
      </c>
      <c r="I34" s="17">
        <v>427826.85485843499</v>
      </c>
      <c r="J34" s="17">
        <v>1896380</v>
      </c>
      <c r="K34" s="17">
        <v>1742488</v>
      </c>
      <c r="L34" s="17">
        <v>18311.206896551699</v>
      </c>
      <c r="M34" s="17">
        <f>18139+12919</f>
        <v>31058</v>
      </c>
      <c r="N34" s="17">
        <v>57647</v>
      </c>
      <c r="O34" s="17">
        <v>21274</v>
      </c>
      <c r="P34" s="17">
        <v>630</v>
      </c>
      <c r="Q34" s="17">
        <v>662</v>
      </c>
      <c r="R34" s="17">
        <v>46392</v>
      </c>
      <c r="S34" s="17">
        <v>34276</v>
      </c>
      <c r="T34" s="17">
        <v>251795</v>
      </c>
      <c r="U34" s="17">
        <v>350135</v>
      </c>
      <c r="V34" s="17">
        <v>49925</v>
      </c>
      <c r="W34" s="17">
        <v>69841</v>
      </c>
      <c r="X34" s="17">
        <v>25033</v>
      </c>
      <c r="Y34" s="17">
        <v>46260</v>
      </c>
      <c r="Z34" s="17">
        <v>5509</v>
      </c>
      <c r="AA34" s="17">
        <v>4173</v>
      </c>
      <c r="AB34" s="17">
        <v>0</v>
      </c>
      <c r="AC34" s="17">
        <v>418</v>
      </c>
      <c r="AD34" s="17">
        <v>0</v>
      </c>
      <c r="AE34" s="17">
        <v>0</v>
      </c>
      <c r="AF34" s="17">
        <f t="shared" si="7"/>
        <v>2300585</v>
      </c>
      <c r="AG34" s="18">
        <f t="shared" si="8"/>
        <v>0.76618251372459245</v>
      </c>
      <c r="AH34" s="17">
        <f t="shared" si="9"/>
        <v>-702074.23430739529</v>
      </c>
      <c r="AI34" s="20">
        <f t="shared" si="10"/>
        <v>0.29668857279889682</v>
      </c>
      <c r="AJ34" s="20">
        <f t="shared" si="11"/>
        <v>4.6944260201903065E-2</v>
      </c>
      <c r="AK34" s="21">
        <f t="shared" si="12"/>
        <v>5.9108011487264488E-2</v>
      </c>
      <c r="AL34" s="21">
        <f t="shared" si="13"/>
        <v>2.9844926781563919E-2</v>
      </c>
      <c r="AM34" s="31"/>
      <c r="AO34" s="38">
        <f t="shared" si="14"/>
        <v>46053</v>
      </c>
      <c r="AP34" s="17">
        <f>+Tabla22[[#This Row],[Web + APP 2025]]+Tabla22[[#This Row],[Afiliados 2025]]+Tabla22[[#This Row],[TMK 2025]]+Tabla22[[#This Row],[WA 2025]]+Tabla22[[#This Row],[Ent. en Tienda 2025]]</f>
        <v>2019360.2068965517</v>
      </c>
      <c r="AQ34" s="17">
        <f>+Tabla22[[#This Row],[Meli Drop 2025]]+Tabla22[[#This Row],[Meli Full 2025]]+Tabla22[[#This Row],[Amazon Drop 2025]]+Tabla22[[#This Row],[Amazon Full 2025]]+Tabla22[[#This Row],[TikTok 2025]]+Tabla22[[#This Row],[Shein 2025]]</f>
        <v>332262</v>
      </c>
      <c r="AR34" s="17">
        <f t="shared" si="15"/>
        <v>1829758</v>
      </c>
      <c r="AS34" s="17">
        <f t="shared" si="16"/>
        <v>470827</v>
      </c>
      <c r="AT34" s="18">
        <f t="shared" si="17"/>
        <v>-9.3892217074011408E-2</v>
      </c>
      <c r="AU34" s="18">
        <f t="shared" si="18"/>
        <v>0.41703535162010708</v>
      </c>
      <c r="AV34" s="17">
        <f t="shared" si="19"/>
        <v>2574832.3794489601</v>
      </c>
      <c r="AW34" s="17">
        <f t="shared" si="20"/>
        <v>427826.85485843499</v>
      </c>
      <c r="AX34" s="39">
        <f t="shared" si="21"/>
        <v>0.71063188990639714</v>
      </c>
      <c r="AY34" s="39">
        <f t="shared" si="22"/>
        <v>1.1005082889333664</v>
      </c>
      <c r="AZ34" s="39">
        <f t="shared" si="23"/>
        <v>0.76618251372459245</v>
      </c>
      <c r="BA34" s="18">
        <v>1.9185060755983599E-2</v>
      </c>
      <c r="BB34" s="20">
        <v>2.93472468108203E-2</v>
      </c>
      <c r="BC34" s="17">
        <f t="shared" si="24"/>
        <v>-745074.37944896007</v>
      </c>
      <c r="BD34" s="17">
        <f t="shared" si="25"/>
        <v>43000.145141565008</v>
      </c>
      <c r="BE34" s="32"/>
      <c r="BF34" s="40"/>
      <c r="BG34" s="40"/>
      <c r="BH34" s="32"/>
    </row>
    <row r="35" spans="1:60" ht="14.25" hidden="1" customHeight="1" x14ac:dyDescent="0.35">
      <c r="A35" s="19">
        <v>45689</v>
      </c>
      <c r="B35" s="17">
        <f>+'BD MD'!B34</f>
        <v>37793760</v>
      </c>
      <c r="C35" s="17">
        <f t="shared" si="4"/>
        <v>1774200.1034482759</v>
      </c>
      <c r="D35" s="18">
        <f t="shared" ref="D35:D62" si="26">+C35/(SUM($C$35:$C$62))</f>
        <v>2.2985735780986245E-2</v>
      </c>
      <c r="E35" s="17">
        <v>37738958</v>
      </c>
      <c r="F35" s="19">
        <v>46054</v>
      </c>
      <c r="G35" s="17">
        <f t="shared" si="6"/>
        <v>2165003.3801577878</v>
      </c>
      <c r="H35" s="17">
        <v>1726695.11515695</v>
      </c>
      <c r="I35" s="17">
        <v>438308.26500083797</v>
      </c>
      <c r="J35" s="17">
        <v>1345714</v>
      </c>
      <c r="K35" s="17">
        <v>2180837</v>
      </c>
      <c r="L35" s="17">
        <v>19268.103448275899</v>
      </c>
      <c r="M35" s="17">
        <f>18122+13547</f>
        <v>31669</v>
      </c>
      <c r="N35" s="17">
        <v>24746</v>
      </c>
      <c r="O35" s="17">
        <v>-2281</v>
      </c>
      <c r="P35" s="17">
        <v>1652</v>
      </c>
      <c r="Q35" s="17">
        <v>715</v>
      </c>
      <c r="R35" s="17">
        <v>52485</v>
      </c>
      <c r="S35" s="17">
        <v>55760</v>
      </c>
      <c r="T35" s="17">
        <v>259164</v>
      </c>
      <c r="U35" s="17">
        <v>327974</v>
      </c>
      <c r="V35" s="17">
        <v>40620</v>
      </c>
      <c r="W35" s="17">
        <v>76980</v>
      </c>
      <c r="X35" s="17">
        <v>24306</v>
      </c>
      <c r="Y35" s="17">
        <v>25893</v>
      </c>
      <c r="Z35" s="17">
        <v>6245</v>
      </c>
      <c r="AA35" s="17">
        <v>4383</v>
      </c>
      <c r="AB35" s="17">
        <v>0</v>
      </c>
      <c r="AC35" s="17">
        <v>774</v>
      </c>
      <c r="AD35" s="17">
        <v>0</v>
      </c>
      <c r="AE35" s="17">
        <v>0</v>
      </c>
      <c r="AF35" s="17">
        <f t="shared" si="7"/>
        <v>2702704</v>
      </c>
      <c r="AG35" s="18">
        <f t="shared" si="8"/>
        <v>1.2483601756792748</v>
      </c>
      <c r="AH35" s="17">
        <f t="shared" si="9"/>
        <v>537700.61984221218</v>
      </c>
      <c r="AI35" s="20">
        <f t="shared" si="10"/>
        <v>0.5647568275225805</v>
      </c>
      <c r="AJ35" s="20">
        <f t="shared" si="11"/>
        <v>5.5090669928898349E-2</v>
      </c>
      <c r="AK35" s="21">
        <f t="shared" si="12"/>
        <v>7.1615755792727498E-2</v>
      </c>
      <c r="AL35" s="21">
        <f t="shared" si="13"/>
        <v>0.2036946472160317</v>
      </c>
      <c r="AM35" s="31"/>
      <c r="AO35" s="38">
        <f t="shared" si="14"/>
        <v>46054</v>
      </c>
      <c r="AP35" s="17">
        <f>+Tabla22[[#This Row],[Web + APP 2025]]+Tabla22[[#This Row],[Afiliados 2025]]+Tabla22[[#This Row],[TMK 2025]]+Tabla22[[#This Row],[WA 2025]]+Tabla22[[#This Row],[Ent. en Tienda 2025]]</f>
        <v>1443865.1034482759</v>
      </c>
      <c r="AQ35" s="17">
        <f>+Tabla22[[#This Row],[Meli Drop 2025]]+Tabla22[[#This Row],[Meli Full 2025]]+Tabla22[[#This Row],[Amazon Drop 2025]]+Tabla22[[#This Row],[Amazon Full 2025]]+Tabla22[[#This Row],[TikTok 2025]]+Tabla22[[#This Row],[Shein 2025]]</f>
        <v>330335</v>
      </c>
      <c r="AR35" s="17">
        <f t="shared" si="15"/>
        <v>2266700</v>
      </c>
      <c r="AS35" s="17">
        <f t="shared" si="16"/>
        <v>436004</v>
      </c>
      <c r="AT35" s="18">
        <f t="shared" si="17"/>
        <v>0.56988349852531828</v>
      </c>
      <c r="AU35" s="18">
        <f t="shared" si="18"/>
        <v>0.31988435981654995</v>
      </c>
      <c r="AV35" s="17">
        <f t="shared" si="19"/>
        <v>1726695.11515695</v>
      </c>
      <c r="AW35" s="17">
        <f t="shared" si="20"/>
        <v>438308.26500083797</v>
      </c>
      <c r="AX35" s="39">
        <f t="shared" si="21"/>
        <v>1.3127389891260366</v>
      </c>
      <c r="AY35" s="39">
        <f t="shared" si="22"/>
        <v>0.99474282101243616</v>
      </c>
      <c r="AZ35" s="39">
        <f t="shared" si="23"/>
        <v>1.2483601756792748</v>
      </c>
      <c r="BA35" s="18">
        <v>3.1307733214345601E-2</v>
      </c>
      <c r="BB35" s="20">
        <v>2.1668015982361701E-2</v>
      </c>
      <c r="BC35" s="17">
        <f t="shared" si="24"/>
        <v>540004.88484305004</v>
      </c>
      <c r="BD35" s="17">
        <f t="shared" si="25"/>
        <v>-2304.2650008379715</v>
      </c>
      <c r="BE35" s="32"/>
      <c r="BF35" s="40"/>
      <c r="BG35" s="40"/>
      <c r="BH35" s="32"/>
    </row>
    <row r="36" spans="1:60" ht="14.25" hidden="1" customHeight="1" x14ac:dyDescent="0.35">
      <c r="A36" s="16">
        <v>45690</v>
      </c>
      <c r="B36" s="17">
        <f>+'BD MD'!B35</f>
        <v>31352601</v>
      </c>
      <c r="C36" s="17">
        <f t="shared" si="4"/>
        <v>1727235.7931034483</v>
      </c>
      <c r="D36" s="18">
        <f t="shared" si="26"/>
        <v>2.2377287372813828E-2</v>
      </c>
      <c r="E36" s="17">
        <v>33698919</v>
      </c>
      <c r="F36" s="19">
        <v>46055</v>
      </c>
      <c r="G36" s="17">
        <f t="shared" si="6"/>
        <v>2103380.961465802</v>
      </c>
      <c r="H36" s="17">
        <v>1720370.9096490799</v>
      </c>
      <c r="I36" s="17">
        <v>383010.05181672203</v>
      </c>
      <c r="J36" s="17">
        <v>1308491</v>
      </c>
      <c r="K36" s="17">
        <v>2671764</v>
      </c>
      <c r="L36" s="17">
        <v>20338.793103448301</v>
      </c>
      <c r="M36" s="17">
        <f>17032+13323</f>
        <v>30355</v>
      </c>
      <c r="N36" s="17">
        <v>36076</v>
      </c>
      <c r="O36" s="17">
        <v>15499</v>
      </c>
      <c r="P36" s="17">
        <v>6773</v>
      </c>
      <c r="Q36" s="17">
        <v>3214</v>
      </c>
      <c r="R36" s="17">
        <v>66898</v>
      </c>
      <c r="S36" s="17">
        <v>64407</v>
      </c>
      <c r="T36" s="17">
        <v>214500</v>
      </c>
      <c r="U36" s="17">
        <v>374619</v>
      </c>
      <c r="V36" s="17">
        <v>45990</v>
      </c>
      <c r="W36" s="17">
        <v>115869</v>
      </c>
      <c r="X36" s="17">
        <v>25758</v>
      </c>
      <c r="Y36" s="17">
        <v>34782</v>
      </c>
      <c r="Z36" s="17">
        <v>2411</v>
      </c>
      <c r="AA36" s="17">
        <v>5635</v>
      </c>
      <c r="AB36" s="17">
        <v>0</v>
      </c>
      <c r="AC36" s="17">
        <v>-148</v>
      </c>
      <c r="AD36" s="17">
        <v>0</v>
      </c>
      <c r="AE36" s="17">
        <v>0</v>
      </c>
      <c r="AF36" s="17">
        <f t="shared" si="7"/>
        <v>3315996</v>
      </c>
      <c r="AG36" s="18">
        <f t="shared" si="8"/>
        <v>1.5765075660327132</v>
      </c>
      <c r="AH36" s="17">
        <f t="shared" si="9"/>
        <v>1212615.038534198</v>
      </c>
      <c r="AI36" s="20">
        <f t="shared" si="10"/>
        <v>0.3746834449610974</v>
      </c>
      <c r="AJ36" s="20">
        <f t="shared" si="11"/>
        <v>6.6206441467751315E-2</v>
      </c>
      <c r="AK36" s="21">
        <f t="shared" ref="AK36:AK67" si="27">+AF36/E36</f>
        <v>9.8400663831382837E-2</v>
      </c>
      <c r="AL36" s="21">
        <f t="shared" si="13"/>
        <v>-7.5078404029252366E-2</v>
      </c>
      <c r="AM36" s="31"/>
      <c r="AO36" s="38">
        <f t="shared" si="14"/>
        <v>46055</v>
      </c>
      <c r="AP36" s="17">
        <f>+Tabla22[[#This Row],[Web + APP 2025]]+Tabla22[[#This Row],[Afiliados 2025]]+Tabla22[[#This Row],[TMK 2025]]+Tabla22[[#This Row],[WA 2025]]+Tabla22[[#This Row],[Ent. en Tienda 2025]]</f>
        <v>1438576.7931034483</v>
      </c>
      <c r="AQ36" s="17">
        <f>+Tabla22[[#This Row],[Meli Drop 2025]]+Tabla22[[#This Row],[Meli Full 2025]]+Tabla22[[#This Row],[Amazon Drop 2025]]+Tabla22[[#This Row],[Amazon Full 2025]]+Tabla22[[#This Row],[TikTok 2025]]+Tabla22[[#This Row],[Shein 2025]]</f>
        <v>288659</v>
      </c>
      <c r="AR36" s="17">
        <f t="shared" si="15"/>
        <v>2785239</v>
      </c>
      <c r="AS36" s="17">
        <f t="shared" si="16"/>
        <v>530757</v>
      </c>
      <c r="AT36" s="18">
        <f t="shared" si="17"/>
        <v>0.93610727863292653</v>
      </c>
      <c r="AU36" s="18">
        <f t="shared" si="18"/>
        <v>0.83869894927925337</v>
      </c>
      <c r="AV36" s="17">
        <f t="shared" si="19"/>
        <v>1720370.9096490799</v>
      </c>
      <c r="AW36" s="17">
        <f t="shared" si="20"/>
        <v>383010.05181672203</v>
      </c>
      <c r="AX36" s="39">
        <f t="shared" si="21"/>
        <v>1.6189758757128316</v>
      </c>
      <c r="AY36" s="39">
        <f t="shared" si="22"/>
        <v>1.3857521427504933</v>
      </c>
      <c r="AZ36" s="39">
        <f t="shared" si="23"/>
        <v>1.5765075660327132</v>
      </c>
      <c r="BA36" s="18">
        <v>2.7357860844051601E-2</v>
      </c>
      <c r="BB36" s="20">
        <v>2.1588654556700899E-2</v>
      </c>
      <c r="BC36" s="17">
        <f t="shared" si="24"/>
        <v>1064868.0903509201</v>
      </c>
      <c r="BD36" s="17">
        <f t="shared" si="25"/>
        <v>147746.94818327797</v>
      </c>
      <c r="BE36" s="32"/>
      <c r="BF36" s="40"/>
      <c r="BG36" s="40"/>
      <c r="BH36" s="32"/>
    </row>
    <row r="37" spans="1:60" ht="14.25" hidden="1" customHeight="1" x14ac:dyDescent="0.35">
      <c r="A37" s="19">
        <v>45691</v>
      </c>
      <c r="B37" s="17">
        <f>+'BD MD'!B36</f>
        <v>36434352</v>
      </c>
      <c r="C37" s="17">
        <f t="shared" si="4"/>
        <v>2412188.7931034481</v>
      </c>
      <c r="D37" s="18">
        <f t="shared" si="26"/>
        <v>3.1251229297286756E-2</v>
      </c>
      <c r="E37" s="17">
        <v>22551540</v>
      </c>
      <c r="F37" s="19">
        <v>46056</v>
      </c>
      <c r="G37" s="17">
        <f t="shared" si="6"/>
        <v>2922007.819726577</v>
      </c>
      <c r="H37" s="17">
        <v>2544037.1818093001</v>
      </c>
      <c r="I37" s="17">
        <v>377970.637917277</v>
      </c>
      <c r="J37" s="17">
        <v>2010759</v>
      </c>
      <c r="K37" s="17">
        <v>3181814</v>
      </c>
      <c r="L37" s="17">
        <v>23738.793103448301</v>
      </c>
      <c r="M37" s="17">
        <f>13064+9710</f>
        <v>22774</v>
      </c>
      <c r="N37" s="17">
        <v>37153</v>
      </c>
      <c r="O37" s="17">
        <v>13358</v>
      </c>
      <c r="P37" s="17">
        <v>756</v>
      </c>
      <c r="Q37" s="17">
        <v>6483</v>
      </c>
      <c r="R37" s="17">
        <v>54921</v>
      </c>
      <c r="S37" s="17">
        <v>67690</v>
      </c>
      <c r="T37" s="17">
        <v>213227</v>
      </c>
      <c r="U37" s="17">
        <v>395638</v>
      </c>
      <c r="V37" s="17">
        <v>32459</v>
      </c>
      <c r="W37" s="17">
        <v>87196</v>
      </c>
      <c r="X37" s="17">
        <v>34007</v>
      </c>
      <c r="Y37" s="17">
        <v>25879</v>
      </c>
      <c r="Z37" s="17">
        <v>5168</v>
      </c>
      <c r="AA37" s="17">
        <v>4357</v>
      </c>
      <c r="AB37" s="17">
        <v>0</v>
      </c>
      <c r="AC37" s="17">
        <v>4453</v>
      </c>
      <c r="AD37" s="17">
        <v>0</v>
      </c>
      <c r="AE37" s="17">
        <v>0</v>
      </c>
      <c r="AF37" s="17">
        <f t="shared" si="7"/>
        <v>3809642</v>
      </c>
      <c r="AG37" s="18">
        <f t="shared" si="8"/>
        <v>1.3037754294430608</v>
      </c>
      <c r="AH37" s="17">
        <f t="shared" si="9"/>
        <v>887634.18027342297</v>
      </c>
      <c r="AI37" s="20">
        <f t="shared" si="10"/>
        <v>0.38293318112670693</v>
      </c>
      <c r="AJ37" s="20">
        <f t="shared" si="11"/>
        <v>0.12300746706274648</v>
      </c>
      <c r="AK37" s="21">
        <f t="shared" si="27"/>
        <v>0.16893045885114719</v>
      </c>
      <c r="AL37" s="21">
        <f t="shared" si="13"/>
        <v>6.9889638867066672E-3</v>
      </c>
      <c r="AM37" s="31"/>
      <c r="AO37" s="38">
        <f t="shared" si="14"/>
        <v>46056</v>
      </c>
      <c r="AP37" s="17">
        <f>+Tabla22[[#This Row],[Web + APP 2025]]+Tabla22[[#This Row],[Afiliados 2025]]+Tabla22[[#This Row],[TMK 2025]]+Tabla22[[#This Row],[WA 2025]]+Tabla22[[#This Row],[Ent. en Tienda 2025]]</f>
        <v>2127327.7931034481</v>
      </c>
      <c r="AQ37" s="17">
        <f>+Tabla22[[#This Row],[Meli Drop 2025]]+Tabla22[[#This Row],[Meli Full 2025]]+Tabla22[[#This Row],[Amazon Drop 2025]]+Tabla22[[#This Row],[Amazon Full 2025]]+Tabla22[[#This Row],[TikTok 2025]]+Tabla22[[#This Row],[Shein 2025]]</f>
        <v>284861</v>
      </c>
      <c r="AR37" s="17">
        <f t="shared" si="15"/>
        <v>3292119</v>
      </c>
      <c r="AS37" s="17">
        <f t="shared" si="16"/>
        <v>517523</v>
      </c>
      <c r="AT37" s="18">
        <f t="shared" si="17"/>
        <v>0.5475372486894925</v>
      </c>
      <c r="AU37" s="18">
        <f t="shared" si="18"/>
        <v>0.81675624251828083</v>
      </c>
      <c r="AV37" s="17">
        <f t="shared" si="19"/>
        <v>2544037.1818093001</v>
      </c>
      <c r="AW37" s="17">
        <f t="shared" si="20"/>
        <v>377970.637917277</v>
      </c>
      <c r="AX37" s="39">
        <f t="shared" si="21"/>
        <v>1.2940530207418863</v>
      </c>
      <c r="AY37" s="39">
        <f t="shared" si="22"/>
        <v>1.3692148227483891</v>
      </c>
      <c r="AZ37" s="39">
        <f t="shared" si="23"/>
        <v>1.3037754294430608</v>
      </c>
      <c r="BA37" s="18">
        <v>2.6997902708377E-2</v>
      </c>
      <c r="BB37" s="20">
        <v>3.1924708555253901E-2</v>
      </c>
      <c r="BC37" s="17">
        <f t="shared" si="24"/>
        <v>748081.81819069991</v>
      </c>
      <c r="BD37" s="17">
        <f t="shared" si="25"/>
        <v>139552.362082723</v>
      </c>
      <c r="BE37" s="32"/>
      <c r="BF37" s="40"/>
      <c r="BG37" s="40"/>
      <c r="BH37" s="32"/>
    </row>
    <row r="38" spans="1:60" ht="14.25" hidden="1" customHeight="1" x14ac:dyDescent="0.35">
      <c r="A38" s="16">
        <v>45692</v>
      </c>
      <c r="B38" s="17">
        <f>+'BD MD'!B37</f>
        <v>22395022</v>
      </c>
      <c r="C38" s="17">
        <f t="shared" si="4"/>
        <v>2754754.931034483</v>
      </c>
      <c r="D38" s="18">
        <f t="shared" si="26"/>
        <v>3.5689361568100944E-2</v>
      </c>
      <c r="E38" s="17">
        <v>25170911</v>
      </c>
      <c r="F38" s="19">
        <v>46057</v>
      </c>
      <c r="G38" s="17">
        <f t="shared" si="6"/>
        <v>3319448.0760512371</v>
      </c>
      <c r="H38" s="17">
        <v>3065365.0201185001</v>
      </c>
      <c r="I38" s="17">
        <v>254083.05593273701</v>
      </c>
      <c r="J38" s="17">
        <v>2354728</v>
      </c>
      <c r="K38" s="17">
        <v>3050065</v>
      </c>
      <c r="L38" s="17">
        <v>23787.931034482801</v>
      </c>
      <c r="M38" s="17">
        <f>11845+11364</f>
        <v>23209</v>
      </c>
      <c r="N38" s="17">
        <v>132035</v>
      </c>
      <c r="O38" s="17">
        <v>39499</v>
      </c>
      <c r="P38" s="17">
        <v>2563</v>
      </c>
      <c r="Q38" s="17">
        <v>6199</v>
      </c>
      <c r="R38" s="17">
        <v>50149</v>
      </c>
      <c r="S38" s="17">
        <v>60063</v>
      </c>
      <c r="T38" s="17">
        <v>79913</v>
      </c>
      <c r="U38" s="17">
        <v>318098</v>
      </c>
      <c r="V38" s="17">
        <v>56003</v>
      </c>
      <c r="W38" s="17">
        <v>80270</v>
      </c>
      <c r="X38" s="17">
        <v>51486</v>
      </c>
      <c r="Y38" s="17">
        <v>22916</v>
      </c>
      <c r="Z38" s="17">
        <v>4090</v>
      </c>
      <c r="AA38" s="17">
        <v>4100</v>
      </c>
      <c r="AB38" s="17">
        <v>0</v>
      </c>
      <c r="AC38" s="17">
        <v>2376</v>
      </c>
      <c r="AD38" s="17">
        <v>0</v>
      </c>
      <c r="AE38" s="17">
        <v>0</v>
      </c>
      <c r="AF38" s="17">
        <f t="shared" si="7"/>
        <v>3606795</v>
      </c>
      <c r="AG38" s="18">
        <f t="shared" si="8"/>
        <v>1.0865646689947885</v>
      </c>
      <c r="AH38" s="17">
        <f t="shared" si="9"/>
        <v>287346.92394876294</v>
      </c>
      <c r="AI38" s="20">
        <f t="shared" si="10"/>
        <v>0.28456237872379608</v>
      </c>
      <c r="AJ38" s="20">
        <f t="shared" si="11"/>
        <v>0.10993904630214808</v>
      </c>
      <c r="AK38" s="21">
        <f t="shared" si="27"/>
        <v>0.14329219153013573</v>
      </c>
      <c r="AL38" s="21">
        <f t="shared" si="13"/>
        <v>-1.4436437014000103E-2</v>
      </c>
      <c r="AM38" s="31"/>
      <c r="AO38" s="38">
        <f t="shared" si="14"/>
        <v>46057</v>
      </c>
      <c r="AP38" s="17">
        <f>+Tabla22[[#This Row],[Web + APP 2025]]+Tabla22[[#This Row],[Afiliados 2025]]+Tabla22[[#This Row],[TMK 2025]]+Tabla22[[#This Row],[WA 2025]]+Tabla22[[#This Row],[Ent. en Tienda 2025]]</f>
        <v>2563262.931034483</v>
      </c>
      <c r="AQ38" s="17">
        <f>+Tabla22[[#This Row],[Meli Drop 2025]]+Tabla22[[#This Row],[Meli Full 2025]]+Tabla22[[#This Row],[Amazon Drop 2025]]+Tabla22[[#This Row],[Amazon Full 2025]]+Tabla22[[#This Row],[TikTok 2025]]+Tabla22[[#This Row],[Shein 2025]]</f>
        <v>191492</v>
      </c>
      <c r="AR38" s="17">
        <f t="shared" si="15"/>
        <v>3179035</v>
      </c>
      <c r="AS38" s="17">
        <f t="shared" si="16"/>
        <v>427760</v>
      </c>
      <c r="AT38" s="18">
        <f t="shared" si="17"/>
        <v>0.24022977179208205</v>
      </c>
      <c r="AU38" s="18">
        <f t="shared" si="18"/>
        <v>1.2338270006057694</v>
      </c>
      <c r="AV38" s="17">
        <f t="shared" si="19"/>
        <v>3065365.0201185001</v>
      </c>
      <c r="AW38" s="17">
        <f t="shared" si="20"/>
        <v>254083.05593273701</v>
      </c>
      <c r="AX38" s="39">
        <f t="shared" si="21"/>
        <v>1.0370820372567264</v>
      </c>
      <c r="AY38" s="39">
        <f t="shared" si="22"/>
        <v>1.6835439830086119</v>
      </c>
      <c r="AZ38" s="39">
        <f t="shared" si="23"/>
        <v>1.0865646689947885</v>
      </c>
      <c r="BA38" s="18">
        <v>1.8148789709481201E-2</v>
      </c>
      <c r="BB38" s="20">
        <v>3.84667667526601E-2</v>
      </c>
      <c r="BC38" s="17">
        <f t="shared" si="24"/>
        <v>113669.97988149989</v>
      </c>
      <c r="BD38" s="17">
        <f t="shared" si="25"/>
        <v>173676.94406726299</v>
      </c>
      <c r="BE38" s="32"/>
      <c r="BF38" s="40"/>
      <c r="BG38" s="40"/>
      <c r="BH38" s="32"/>
    </row>
    <row r="39" spans="1:60" ht="14.25" hidden="1" customHeight="1" x14ac:dyDescent="0.35">
      <c r="A39" s="19">
        <v>45693</v>
      </c>
      <c r="B39" s="17">
        <f>+'BD MD'!B38</f>
        <v>25539612</v>
      </c>
      <c r="C39" s="17">
        <f t="shared" si="4"/>
        <v>2807800.5862068967</v>
      </c>
      <c r="D39" s="18">
        <f t="shared" si="26"/>
        <v>3.637659713513345E-2</v>
      </c>
      <c r="E39" s="17">
        <v>29563607</v>
      </c>
      <c r="F39" s="19">
        <v>46058</v>
      </c>
      <c r="G39" s="17">
        <f t="shared" si="6"/>
        <v>3392250.4827303328</v>
      </c>
      <c r="H39" s="17">
        <v>3043285.0022227098</v>
      </c>
      <c r="I39" s="17">
        <v>348965.480507623</v>
      </c>
      <c r="J39" s="17">
        <v>2362602</v>
      </c>
      <c r="K39" s="17">
        <v>2711541</v>
      </c>
      <c r="L39" s="17">
        <v>24452.5862068965</v>
      </c>
      <c r="M39" s="17">
        <f>13034+9391</f>
        <v>22425</v>
      </c>
      <c r="N39" s="17">
        <v>110188</v>
      </c>
      <c r="O39" s="17">
        <v>48724</v>
      </c>
      <c r="P39" s="17">
        <v>-697</v>
      </c>
      <c r="Q39" s="17">
        <v>4521</v>
      </c>
      <c r="R39" s="17">
        <v>48254</v>
      </c>
      <c r="S39" s="17">
        <v>63963</v>
      </c>
      <c r="T39" s="17">
        <v>151535</v>
      </c>
      <c r="U39" s="17">
        <v>334593</v>
      </c>
      <c r="V39" s="17">
        <v>57305</v>
      </c>
      <c r="W39" s="17">
        <v>91963</v>
      </c>
      <c r="X39" s="17">
        <v>46066</v>
      </c>
      <c r="Y39" s="17">
        <v>28657</v>
      </c>
      <c r="Z39" s="17">
        <v>8095</v>
      </c>
      <c r="AA39" s="17">
        <v>3153</v>
      </c>
      <c r="AB39" s="17">
        <v>0</v>
      </c>
      <c r="AC39" s="17">
        <v>5982</v>
      </c>
      <c r="AD39" s="17">
        <v>0</v>
      </c>
      <c r="AE39" s="17">
        <v>0</v>
      </c>
      <c r="AF39" s="17">
        <f t="shared" si="7"/>
        <v>3315522</v>
      </c>
      <c r="AG39" s="18">
        <f t="shared" si="8"/>
        <v>0.97738124495200129</v>
      </c>
      <c r="AH39" s="17">
        <f t="shared" si="9"/>
        <v>-76728.482730332762</v>
      </c>
      <c r="AI39" s="20">
        <f t="shared" si="10"/>
        <v>0.43416881489632564</v>
      </c>
      <c r="AJ39" s="20">
        <f t="shared" si="11"/>
        <v>7.8628449947565418E-2</v>
      </c>
      <c r="AK39" s="21">
        <f t="shared" si="27"/>
        <v>0.11214876452660191</v>
      </c>
      <c r="AL39" s="21">
        <f t="shared" si="13"/>
        <v>5.5079193644305136E-3</v>
      </c>
      <c r="AM39" s="31"/>
      <c r="AO39" s="38">
        <f t="shared" si="14"/>
        <v>46058</v>
      </c>
      <c r="AP39" s="17">
        <f>+Tabla22[[#This Row],[Web + APP 2025]]+Tabla22[[#This Row],[Afiliados 2025]]+Tabla22[[#This Row],[TMK 2025]]+Tabla22[[#This Row],[WA 2025]]+Tabla22[[#This Row],[Ent. en Tienda 2025]]</f>
        <v>2544799.5862068967</v>
      </c>
      <c r="AQ39" s="17">
        <f>+Tabla22[[#This Row],[Meli Drop 2025]]+Tabla22[[#This Row],[Meli Full 2025]]+Tabla22[[#This Row],[Amazon Drop 2025]]+Tabla22[[#This Row],[Amazon Full 2025]]+Tabla22[[#This Row],[TikTok 2025]]+Tabla22[[#This Row],[Shein 2025]]</f>
        <v>263001</v>
      </c>
      <c r="AR39" s="17">
        <f t="shared" si="15"/>
        <v>2851174</v>
      </c>
      <c r="AS39" s="17">
        <f t="shared" si="16"/>
        <v>464348</v>
      </c>
      <c r="AT39" s="18">
        <f t="shared" si="17"/>
        <v>0.12039235445246366</v>
      </c>
      <c r="AU39" s="18">
        <f t="shared" si="18"/>
        <v>0.76557503583636555</v>
      </c>
      <c r="AV39" s="17">
        <f t="shared" si="19"/>
        <v>3043285.0022227098</v>
      </c>
      <c r="AW39" s="17">
        <f t="shared" si="20"/>
        <v>348965.480507623</v>
      </c>
      <c r="AX39" s="39">
        <f t="shared" si="21"/>
        <v>0.93687380508812068</v>
      </c>
      <c r="AY39" s="39">
        <f t="shared" si="22"/>
        <v>1.3306416420459002</v>
      </c>
      <c r="AZ39" s="39">
        <f t="shared" si="23"/>
        <v>0.97738124495200129</v>
      </c>
      <c r="BA39" s="18">
        <v>2.4926105750544499E-2</v>
      </c>
      <c r="BB39" s="20">
        <v>3.8189688201584603E-2</v>
      </c>
      <c r="BC39" s="17">
        <f t="shared" si="24"/>
        <v>-192111.00222270982</v>
      </c>
      <c r="BD39" s="17">
        <f t="shared" si="25"/>
        <v>115382.519492377</v>
      </c>
      <c r="BE39" s="32"/>
      <c r="BF39" s="40"/>
      <c r="BG39" s="40"/>
      <c r="BH39" s="32"/>
    </row>
    <row r="40" spans="1:60" ht="14.25" hidden="1" customHeight="1" x14ac:dyDescent="0.35">
      <c r="A40" s="16">
        <v>45694</v>
      </c>
      <c r="B40" s="17">
        <f>+'BD MD'!B39</f>
        <v>29401665</v>
      </c>
      <c r="C40" s="17">
        <f t="shared" si="4"/>
        <v>2311807.3448275859</v>
      </c>
      <c r="D40" s="18">
        <f t="shared" si="26"/>
        <v>2.9950732559124452E-2</v>
      </c>
      <c r="E40" s="17">
        <v>30256382</v>
      </c>
      <c r="F40" s="19">
        <v>46059</v>
      </c>
      <c r="G40" s="17">
        <f t="shared" si="6"/>
        <v>2791498.0163448001</v>
      </c>
      <c r="H40" s="17">
        <v>2519546.1381414402</v>
      </c>
      <c r="I40" s="17">
        <v>271951.87820336001</v>
      </c>
      <c r="J40" s="17">
        <v>1988730</v>
      </c>
      <c r="K40" s="17">
        <v>2349247</v>
      </c>
      <c r="L40" s="17">
        <v>22460.344827586199</v>
      </c>
      <c r="M40" s="17">
        <f>13643+8748</f>
        <v>22391</v>
      </c>
      <c r="N40" s="17">
        <v>52855</v>
      </c>
      <c r="O40" s="17">
        <v>29006</v>
      </c>
      <c r="P40" s="17">
        <v>2503</v>
      </c>
      <c r="Q40" s="17">
        <v>4581</v>
      </c>
      <c r="R40" s="17">
        <v>40300</v>
      </c>
      <c r="S40" s="17">
        <v>74959</v>
      </c>
      <c r="T40" s="17">
        <v>119932</v>
      </c>
      <c r="U40" s="17">
        <v>291618</v>
      </c>
      <c r="V40" s="17">
        <v>56342</v>
      </c>
      <c r="W40" s="17">
        <v>85249</v>
      </c>
      <c r="X40" s="17">
        <v>22237</v>
      </c>
      <c r="Y40" s="17">
        <v>20982</v>
      </c>
      <c r="Z40" s="17">
        <v>6448</v>
      </c>
      <c r="AA40" s="17">
        <v>3548</v>
      </c>
      <c r="AB40" s="17">
        <v>0</v>
      </c>
      <c r="AC40" s="17">
        <v>3560</v>
      </c>
      <c r="AD40" s="17">
        <v>0</v>
      </c>
      <c r="AE40" s="17">
        <v>0</v>
      </c>
      <c r="AF40" s="17">
        <f t="shared" si="7"/>
        <v>2885141</v>
      </c>
      <c r="AG40" s="18">
        <f t="shared" si="8"/>
        <v>1.0335457819088176</v>
      </c>
      <c r="AH40" s="17">
        <f t="shared" si="9"/>
        <v>93642.983655199874</v>
      </c>
      <c r="AI40" s="20">
        <f t="shared" si="10"/>
        <v>0.35482282992813063</v>
      </c>
      <c r="AJ40" s="20">
        <f t="shared" si="11"/>
        <v>6.6513666103679037E-2</v>
      </c>
      <c r="AK40" s="21">
        <f t="shared" si="27"/>
        <v>9.5356444137967317E-2</v>
      </c>
      <c r="AL40" s="21">
        <f t="shared" si="13"/>
        <v>-5.4974898087656987E-2</v>
      </c>
      <c r="AM40" s="31"/>
      <c r="AO40" s="38">
        <f t="shared" si="14"/>
        <v>46059</v>
      </c>
      <c r="AP40" s="17">
        <f>+Tabla22[[#This Row],[Web + APP 2025]]+Tabla22[[#This Row],[Afiliados 2025]]+Tabla22[[#This Row],[TMK 2025]]+Tabla22[[#This Row],[WA 2025]]+Tabla22[[#This Row],[Ent. en Tienda 2025]]</f>
        <v>2106848.3448275859</v>
      </c>
      <c r="AQ40" s="17">
        <f>+Tabla22[[#This Row],[Meli Drop 2025]]+Tabla22[[#This Row],[Meli Full 2025]]+Tabla22[[#This Row],[Amazon Drop 2025]]+Tabla22[[#This Row],[Amazon Full 2025]]+Tabla22[[#This Row],[TikTok 2025]]+Tabla22[[#This Row],[Shein 2025]]</f>
        <v>204959</v>
      </c>
      <c r="AR40" s="17">
        <f t="shared" si="15"/>
        <v>2480184</v>
      </c>
      <c r="AS40" s="17">
        <f t="shared" si="16"/>
        <v>404957</v>
      </c>
      <c r="AT40" s="18">
        <f t="shared" si="17"/>
        <v>0.17720101026206803</v>
      </c>
      <c r="AU40" s="18">
        <f t="shared" si="18"/>
        <v>0.97579515903180636</v>
      </c>
      <c r="AV40" s="17">
        <f t="shared" si="19"/>
        <v>2519546.1381414402</v>
      </c>
      <c r="AW40" s="17">
        <f t="shared" si="20"/>
        <v>271951.87820336001</v>
      </c>
      <c r="AX40" s="39">
        <f t="shared" si="21"/>
        <v>0.98437729020097409</v>
      </c>
      <c r="AY40" s="39">
        <f t="shared" si="22"/>
        <v>1.4890759448889759</v>
      </c>
      <c r="AZ40" s="39">
        <f t="shared" si="23"/>
        <v>1.0335457819088176</v>
      </c>
      <c r="BA40" s="18">
        <v>1.9425134157382801E-2</v>
      </c>
      <c r="BB40" s="20">
        <v>3.1617374434156603E-2</v>
      </c>
      <c r="BC40" s="17">
        <f t="shared" si="24"/>
        <v>-39362.138141440228</v>
      </c>
      <c r="BD40" s="17">
        <f t="shared" si="25"/>
        <v>133005.12179663999</v>
      </c>
      <c r="BE40" s="32"/>
      <c r="BF40" s="40"/>
      <c r="BG40" s="40"/>
      <c r="BH40" s="32"/>
    </row>
    <row r="41" spans="1:60" ht="14.25" hidden="1" customHeight="1" x14ac:dyDescent="0.35">
      <c r="A41" s="19">
        <v>45695</v>
      </c>
      <c r="B41" s="17">
        <f>+'BD MD'!B40</f>
        <v>32016485</v>
      </c>
      <c r="C41" s="17">
        <f t="shared" si="4"/>
        <v>2129533.7931034481</v>
      </c>
      <c r="D41" s="18">
        <f t="shared" si="26"/>
        <v>2.758927868949046E-2</v>
      </c>
      <c r="E41" s="17">
        <v>41295456</v>
      </c>
      <c r="F41" s="19">
        <v>46060</v>
      </c>
      <c r="G41" s="17">
        <f t="shared" si="6"/>
        <v>2583432.1280934871</v>
      </c>
      <c r="H41" s="17">
        <v>2211064.8195330701</v>
      </c>
      <c r="I41" s="17">
        <v>372367.30856041698</v>
      </c>
      <c r="J41" s="17">
        <v>1675481</v>
      </c>
      <c r="K41" s="17">
        <v>2093587</v>
      </c>
      <c r="L41" s="17">
        <v>23913.793103448301</v>
      </c>
      <c r="M41" s="17">
        <f>14334+12342</f>
        <v>26676</v>
      </c>
      <c r="N41" s="17">
        <v>91347</v>
      </c>
      <c r="O41" s="17">
        <v>31006</v>
      </c>
      <c r="P41" s="17">
        <v>4838</v>
      </c>
      <c r="Q41" s="17">
        <v>2429</v>
      </c>
      <c r="R41" s="17">
        <v>53316</v>
      </c>
      <c r="S41" s="17">
        <v>69984</v>
      </c>
      <c r="T41" s="17">
        <v>166819</v>
      </c>
      <c r="U41" s="17">
        <v>282237</v>
      </c>
      <c r="V41" s="17">
        <v>60494</v>
      </c>
      <c r="W41" s="17">
        <v>81965</v>
      </c>
      <c r="X41" s="17">
        <v>49141</v>
      </c>
      <c r="Y41" s="17">
        <v>25885</v>
      </c>
      <c r="Z41" s="17">
        <v>4184</v>
      </c>
      <c r="AA41" s="17">
        <v>5353</v>
      </c>
      <c r="AB41" s="17">
        <v>0</v>
      </c>
      <c r="AC41" s="17">
        <v>-930</v>
      </c>
      <c r="AD41" s="17">
        <v>0</v>
      </c>
      <c r="AE41" s="17">
        <v>0</v>
      </c>
      <c r="AF41" s="17">
        <f t="shared" si="7"/>
        <v>2618192</v>
      </c>
      <c r="AG41" s="18">
        <f t="shared" si="8"/>
        <v>1.013454919728108</v>
      </c>
      <c r="AH41" s="17">
        <f t="shared" si="9"/>
        <v>34759.871906512883</v>
      </c>
      <c r="AI41" s="20">
        <f t="shared" si="10"/>
        <v>0.32527597447820367</v>
      </c>
      <c r="AJ41" s="20">
        <f t="shared" si="11"/>
        <v>4.6322878643969896E-2</v>
      </c>
      <c r="AK41" s="21">
        <f t="shared" si="27"/>
        <v>6.3401455114092939E-2</v>
      </c>
      <c r="AL41" s="21">
        <f t="shared" si="13"/>
        <v>-3.1716259113478751E-2</v>
      </c>
      <c r="AM41" s="31"/>
      <c r="AO41" s="38">
        <f t="shared" si="14"/>
        <v>46060</v>
      </c>
      <c r="AP41" s="17">
        <f>+Tabla22[[#This Row],[Web + APP 2025]]+Tabla22[[#This Row],[Afiliados 2025]]+Tabla22[[#This Row],[TMK 2025]]+Tabla22[[#This Row],[WA 2025]]+Tabla22[[#This Row],[Ent. en Tienda 2025]]</f>
        <v>1848895.7931034483</v>
      </c>
      <c r="AQ41" s="17">
        <f>+Tabla22[[#This Row],[Meli Drop 2025]]+Tabla22[[#This Row],[Meli Full 2025]]+Tabla22[[#This Row],[Amazon Drop 2025]]+Tabla22[[#This Row],[Amazon Full 2025]]+Tabla22[[#This Row],[TikTok 2025]]+Tabla22[[#This Row],[Shein 2025]]</f>
        <v>280638</v>
      </c>
      <c r="AR41" s="17">
        <f t="shared" si="15"/>
        <v>2223682</v>
      </c>
      <c r="AS41" s="17">
        <f t="shared" si="16"/>
        <v>394510</v>
      </c>
      <c r="AT41" s="18">
        <f t="shared" si="17"/>
        <v>0.2027081289786794</v>
      </c>
      <c r="AU41" s="18">
        <f t="shared" si="18"/>
        <v>0.40576115850312511</v>
      </c>
      <c r="AV41" s="17">
        <f t="shared" si="19"/>
        <v>2211064.8195330701</v>
      </c>
      <c r="AW41" s="17">
        <f t="shared" si="20"/>
        <v>372367.30856041698</v>
      </c>
      <c r="AX41" s="39">
        <f t="shared" si="21"/>
        <v>1.0057063819909153</v>
      </c>
      <c r="AY41" s="39">
        <f t="shared" si="22"/>
        <v>1.0594646493678173</v>
      </c>
      <c r="AZ41" s="39">
        <f t="shared" si="23"/>
        <v>1.013454919728108</v>
      </c>
      <c r="BA41" s="18">
        <v>2.65976648971726E-2</v>
      </c>
      <c r="BB41" s="20">
        <v>2.77462925719376E-2</v>
      </c>
      <c r="BC41" s="17">
        <f t="shared" si="24"/>
        <v>12617.180466929916</v>
      </c>
      <c r="BD41" s="17">
        <f t="shared" si="25"/>
        <v>22142.691439583024</v>
      </c>
      <c r="BE41" s="32"/>
      <c r="BF41" s="40"/>
      <c r="BG41" s="40"/>
      <c r="BH41" s="32"/>
    </row>
    <row r="42" spans="1:60" ht="14.25" hidden="1" customHeight="1" x14ac:dyDescent="0.35">
      <c r="A42" s="16">
        <v>45696</v>
      </c>
      <c r="B42" s="17">
        <f>+'BD MD'!B41</f>
        <v>42648094</v>
      </c>
      <c r="C42" s="17">
        <f t="shared" si="4"/>
        <v>1975582.4827586208</v>
      </c>
      <c r="D42" s="18">
        <f t="shared" si="26"/>
        <v>2.5594754996337052E-2</v>
      </c>
      <c r="E42" s="17">
        <v>41339084</v>
      </c>
      <c r="F42" s="19">
        <v>46061</v>
      </c>
      <c r="G42" s="17">
        <f t="shared" si="6"/>
        <v>2409947.8152849339</v>
      </c>
      <c r="H42" s="17">
        <v>1929957.57339174</v>
      </c>
      <c r="I42" s="17">
        <v>479990.24189319398</v>
      </c>
      <c r="J42" s="17">
        <v>1541898</v>
      </c>
      <c r="K42" s="17">
        <v>2397497</v>
      </c>
      <c r="L42" s="17">
        <v>17559.482758620699</v>
      </c>
      <c r="M42" s="17">
        <f>13709+11462</f>
        <v>25171</v>
      </c>
      <c r="N42" s="17">
        <v>13396</v>
      </c>
      <c r="O42" s="17">
        <v>5807</v>
      </c>
      <c r="P42" s="17">
        <v>921</v>
      </c>
      <c r="Q42" s="17">
        <v>4467</v>
      </c>
      <c r="R42" s="17">
        <v>40059</v>
      </c>
      <c r="S42" s="17">
        <v>69643</v>
      </c>
      <c r="T42" s="17">
        <v>260206</v>
      </c>
      <c r="U42" s="17">
        <v>234501</v>
      </c>
      <c r="V42" s="17">
        <v>70792</v>
      </c>
      <c r="W42" s="17">
        <v>58072</v>
      </c>
      <c r="X42" s="17">
        <v>28263</v>
      </c>
      <c r="Y42" s="17">
        <v>17667</v>
      </c>
      <c r="Z42" s="17">
        <v>2488</v>
      </c>
      <c r="AA42" s="17">
        <v>2741</v>
      </c>
      <c r="AB42" s="17">
        <v>0</v>
      </c>
      <c r="AC42" s="17">
        <v>0</v>
      </c>
      <c r="AD42" s="17">
        <v>0</v>
      </c>
      <c r="AE42" s="17">
        <v>0</v>
      </c>
      <c r="AF42" s="17">
        <f t="shared" si="7"/>
        <v>2815566</v>
      </c>
      <c r="AG42" s="18">
        <f t="shared" si="8"/>
        <v>1.1683099451956842</v>
      </c>
      <c r="AH42" s="17">
        <f t="shared" si="9"/>
        <v>405618.18471506611</v>
      </c>
      <c r="AI42" s="20">
        <f t="shared" si="10"/>
        <v>0.21078873712828927</v>
      </c>
      <c r="AJ42" s="20">
        <f t="shared" si="11"/>
        <v>5.5642586853894366E-2</v>
      </c>
      <c r="AK42" s="21">
        <f t="shared" si="27"/>
        <v>6.8109056310971958E-2</v>
      </c>
      <c r="AL42" s="21">
        <f t="shared" si="13"/>
        <v>-1.0830260813277759E-2</v>
      </c>
      <c r="AM42" s="31"/>
      <c r="AO42" s="38">
        <f t="shared" si="14"/>
        <v>46061</v>
      </c>
      <c r="AP42" s="17">
        <f>+Tabla22[[#This Row],[Web + APP 2025]]+Tabla22[[#This Row],[Afiliados 2025]]+Tabla22[[#This Row],[TMK 2025]]+Tabla22[[#This Row],[WA 2025]]+Tabla22[[#This Row],[Ent. en Tienda 2025]]</f>
        <v>1613833.4827586208</v>
      </c>
      <c r="AQ42" s="17">
        <f>+Tabla22[[#This Row],[Meli Drop 2025]]+Tabla22[[#This Row],[Meli Full 2025]]+Tabla22[[#This Row],[Amazon Drop 2025]]+Tabla22[[#This Row],[Amazon Full 2025]]+Tabla22[[#This Row],[TikTok 2025]]+Tabla22[[#This Row],[Shein 2025]]</f>
        <v>361749</v>
      </c>
      <c r="AR42" s="17">
        <f t="shared" si="15"/>
        <v>2502585</v>
      </c>
      <c r="AS42" s="17">
        <f t="shared" si="16"/>
        <v>312981</v>
      </c>
      <c r="AT42" s="18">
        <f t="shared" si="17"/>
        <v>0.55070831454195868</v>
      </c>
      <c r="AU42" s="18">
        <f t="shared" si="18"/>
        <v>-0.13481170645945117</v>
      </c>
      <c r="AV42" s="17">
        <f t="shared" si="19"/>
        <v>1929957.57339174</v>
      </c>
      <c r="AW42" s="17">
        <f t="shared" si="20"/>
        <v>479990.24189319398</v>
      </c>
      <c r="AX42" s="39">
        <f t="shared" si="21"/>
        <v>1.2967046708710364</v>
      </c>
      <c r="AY42" s="39">
        <f t="shared" si="22"/>
        <v>0.65205700592064042</v>
      </c>
      <c r="AZ42" s="39">
        <f t="shared" si="23"/>
        <v>1.1683099451956842</v>
      </c>
      <c r="BA42" s="18">
        <v>3.4285017278085299E-2</v>
      </c>
      <c r="BB42" s="20">
        <v>2.4218723490007001E-2</v>
      </c>
      <c r="BC42" s="17">
        <f t="shared" si="24"/>
        <v>572627.42660826002</v>
      </c>
      <c r="BD42" s="17">
        <f t="shared" si="25"/>
        <v>-167009.24189319398</v>
      </c>
      <c r="BE42" s="32"/>
      <c r="BF42" s="40"/>
      <c r="BG42" s="40"/>
      <c r="BH42" s="32"/>
    </row>
    <row r="43" spans="1:60" ht="14.25" hidden="1" customHeight="1" x14ac:dyDescent="0.35">
      <c r="A43" s="19">
        <v>45697</v>
      </c>
      <c r="B43" s="17">
        <f>+'BD MD'!B42</f>
        <v>41791699</v>
      </c>
      <c r="C43" s="17">
        <f t="shared" si="4"/>
        <v>2325398.2413793104</v>
      </c>
      <c r="D43" s="18">
        <f t="shared" si="26"/>
        <v>3.0126810080796044E-2</v>
      </c>
      <c r="E43" s="17">
        <v>22422064</v>
      </c>
      <c r="F43" s="19">
        <v>46062</v>
      </c>
      <c r="G43" s="17">
        <f t="shared" si="6"/>
        <v>2824472.7189859231</v>
      </c>
      <c r="H43" s="17">
        <v>2383121.9642348401</v>
      </c>
      <c r="I43" s="17">
        <v>441350.75475108298</v>
      </c>
      <c r="J43" s="17">
        <v>1896294</v>
      </c>
      <c r="K43" s="17">
        <v>2252123</v>
      </c>
      <c r="L43" s="17">
        <v>21667.241379310301</v>
      </c>
      <c r="M43" s="17">
        <f>6100+3966</f>
        <v>10066</v>
      </c>
      <c r="N43" s="17">
        <v>30139</v>
      </c>
      <c r="O43" s="17">
        <v>16050</v>
      </c>
      <c r="P43" s="17">
        <v>3695</v>
      </c>
      <c r="Q43" s="17">
        <v>1868</v>
      </c>
      <c r="R43" s="17">
        <v>40975</v>
      </c>
      <c r="S43" s="17">
        <v>58213</v>
      </c>
      <c r="T43" s="17">
        <v>191313</v>
      </c>
      <c r="U43" s="17">
        <v>451605</v>
      </c>
      <c r="V43" s="17">
        <v>87339</v>
      </c>
      <c r="W43" s="17">
        <v>67176</v>
      </c>
      <c r="X43" s="17">
        <v>48851</v>
      </c>
      <c r="Y43" s="17">
        <v>11686</v>
      </c>
      <c r="Z43" s="17">
        <v>5125</v>
      </c>
      <c r="AA43" s="17">
        <v>3093</v>
      </c>
      <c r="AB43" s="17">
        <v>0</v>
      </c>
      <c r="AC43" s="17">
        <v>586</v>
      </c>
      <c r="AD43" s="17">
        <v>0</v>
      </c>
      <c r="AE43" s="17">
        <v>0</v>
      </c>
      <c r="AF43" s="17">
        <f t="shared" si="7"/>
        <v>2872466</v>
      </c>
      <c r="AG43" s="18">
        <f t="shared" si="8"/>
        <v>1.0169919435551524</v>
      </c>
      <c r="AH43" s="17">
        <f t="shared" si="9"/>
        <v>47993.2810140769</v>
      </c>
      <c r="AI43" s="20">
        <f t="shared" si="10"/>
        <v>-0.32071831501279491</v>
      </c>
      <c r="AJ43" s="20">
        <f t="shared" si="11"/>
        <v>0.16013515436776288</v>
      </c>
      <c r="AK43" s="21">
        <f t="shared" si="27"/>
        <v>0.12810890201722733</v>
      </c>
      <c r="AL43" s="21">
        <f t="shared" si="13"/>
        <v>-0.15090305379408775</v>
      </c>
      <c r="AM43" s="31"/>
      <c r="AO43" s="38">
        <f t="shared" si="14"/>
        <v>46062</v>
      </c>
      <c r="AP43" s="17">
        <f>+Tabla22[[#This Row],[Web + APP 2025]]+Tabla22[[#This Row],[Afiliados 2025]]+Tabla22[[#This Row],[TMK 2025]]+Tabla22[[#This Row],[WA 2025]]+Tabla22[[#This Row],[Ent. en Tienda 2025]]</f>
        <v>1992770.2413793104</v>
      </c>
      <c r="AQ43" s="17">
        <f>+Tabla22[[#This Row],[Meli Drop 2025]]+Tabla22[[#This Row],[Meli Full 2025]]+Tabla22[[#This Row],[Amazon Drop 2025]]+Tabla22[[#This Row],[Amazon Full 2025]]+Tabla22[[#This Row],[TikTok 2025]]+Tabla22[[#This Row],[Shein 2025]]</f>
        <v>332628</v>
      </c>
      <c r="AR43" s="17">
        <f t="shared" si="15"/>
        <v>2338320</v>
      </c>
      <c r="AS43" s="17">
        <f t="shared" si="16"/>
        <v>534146</v>
      </c>
      <c r="AT43" s="18">
        <f t="shared" si="17"/>
        <v>0.17340170554810919</v>
      </c>
      <c r="AU43" s="18">
        <f t="shared" si="18"/>
        <v>0.60583594886780423</v>
      </c>
      <c r="AV43" s="17">
        <f t="shared" si="19"/>
        <v>2383121.9642348401</v>
      </c>
      <c r="AW43" s="17">
        <f t="shared" si="20"/>
        <v>441350.75475108298</v>
      </c>
      <c r="AX43" s="39">
        <f t="shared" si="21"/>
        <v>0.98120030577233808</v>
      </c>
      <c r="AY43" s="39">
        <f t="shared" si="22"/>
        <v>1.210252830090327</v>
      </c>
      <c r="AZ43" s="39">
        <f t="shared" si="23"/>
        <v>1.0169919435551524</v>
      </c>
      <c r="BA43" s="18">
        <v>3.1525053910791599E-2</v>
      </c>
      <c r="BB43" s="20">
        <v>2.9905409678687801E-2</v>
      </c>
      <c r="BC43" s="17">
        <f t="shared" si="24"/>
        <v>-44801.964234840125</v>
      </c>
      <c r="BD43" s="17">
        <f t="shared" si="25"/>
        <v>92795.245248917025</v>
      </c>
      <c r="BE43" s="32"/>
      <c r="BF43" s="40"/>
      <c r="BG43" s="40"/>
      <c r="BH43" s="32"/>
    </row>
    <row r="44" spans="1:60" ht="14.25" hidden="1" customHeight="1" x14ac:dyDescent="0.35">
      <c r="A44" s="16">
        <v>45698</v>
      </c>
      <c r="B44" s="17">
        <f>+'BD MD'!B43</f>
        <v>26406954</v>
      </c>
      <c r="C44" s="17">
        <f t="shared" si="4"/>
        <v>4228681.6551724132</v>
      </c>
      <c r="D44" s="18">
        <f t="shared" si="26"/>
        <v>5.4784890970744092E-2</v>
      </c>
      <c r="E44" s="17">
        <v>27571599</v>
      </c>
      <c r="F44" s="19">
        <v>46063</v>
      </c>
      <c r="G44" s="17">
        <f t="shared" si="6"/>
        <v>5112241.9672708018</v>
      </c>
      <c r="H44" s="17">
        <v>4552736.9921622202</v>
      </c>
      <c r="I44" s="17">
        <v>559504.97510858194</v>
      </c>
      <c r="J44" s="17">
        <v>3630208</v>
      </c>
      <c r="K44" s="17">
        <v>4002151</v>
      </c>
      <c r="L44" s="17">
        <v>20464.655172413801</v>
      </c>
      <c r="M44" s="17">
        <f>10914+11047</f>
        <v>21961</v>
      </c>
      <c r="N44" s="17">
        <v>83992</v>
      </c>
      <c r="O44" s="17">
        <v>55589</v>
      </c>
      <c r="P44" s="17">
        <v>8959</v>
      </c>
      <c r="Q44" s="17">
        <v>3319</v>
      </c>
      <c r="R44" s="17">
        <v>63382</v>
      </c>
      <c r="S44" s="17">
        <v>62975</v>
      </c>
      <c r="T44" s="17">
        <v>281151</v>
      </c>
      <c r="U44" s="17">
        <v>557077</v>
      </c>
      <c r="V44" s="17">
        <v>78555</v>
      </c>
      <c r="W44" s="17">
        <v>78209</v>
      </c>
      <c r="X44" s="17">
        <v>59569</v>
      </c>
      <c r="Y44" s="17">
        <v>21078</v>
      </c>
      <c r="Z44" s="17">
        <v>2401</v>
      </c>
      <c r="AA44" s="17">
        <v>953</v>
      </c>
      <c r="AB44" s="17">
        <v>0</v>
      </c>
      <c r="AC44" s="17">
        <v>844</v>
      </c>
      <c r="AD44" s="17">
        <v>0</v>
      </c>
      <c r="AE44" s="17">
        <v>0</v>
      </c>
      <c r="AF44" s="17">
        <f t="shared" si="7"/>
        <v>4804156</v>
      </c>
      <c r="AG44" s="18">
        <f t="shared" si="8"/>
        <v>0.93973564450915947</v>
      </c>
      <c r="AH44" s="17">
        <f t="shared" si="9"/>
        <v>-308085.96727080178</v>
      </c>
      <c r="AI44" s="20">
        <f t="shared" si="10"/>
        <v>0.34016253170717681</v>
      </c>
      <c r="AJ44" s="20">
        <f t="shared" si="11"/>
        <v>0.12462434560396962</v>
      </c>
      <c r="AK44" s="21">
        <f t="shared" si="27"/>
        <v>0.17424292294400481</v>
      </c>
      <c r="AL44" s="21">
        <f t="shared" si="13"/>
        <v>-4.1471092799337916E-2</v>
      </c>
      <c r="AM44" s="31"/>
      <c r="AO44" s="38">
        <f t="shared" si="14"/>
        <v>46063</v>
      </c>
      <c r="AP44" s="17">
        <f>+Tabla22[[#This Row],[Web + APP 2025]]+Tabla22[[#This Row],[Afiliados 2025]]+Tabla22[[#This Row],[TMK 2025]]+Tabla22[[#This Row],[WA 2025]]+Tabla22[[#This Row],[Ent. en Tienda 2025]]</f>
        <v>3807005.6551724137</v>
      </c>
      <c r="AQ44" s="17">
        <f>+Tabla22[[#This Row],[Meli Drop 2025]]+Tabla22[[#This Row],[Meli Full 2025]]+Tabla22[[#This Row],[Amazon Drop 2025]]+Tabla22[[#This Row],[Amazon Full 2025]]+Tabla22[[#This Row],[TikTok 2025]]+Tabla22[[#This Row],[Shein 2025]]</f>
        <v>421676</v>
      </c>
      <c r="AR44" s="17">
        <f t="shared" si="15"/>
        <v>4145995</v>
      </c>
      <c r="AS44" s="17">
        <f t="shared" si="16"/>
        <v>658161</v>
      </c>
      <c r="AT44" s="18">
        <f t="shared" si="17"/>
        <v>8.9043562193561909E-2</v>
      </c>
      <c r="AU44" s="18">
        <f t="shared" si="18"/>
        <v>0.56082157865280458</v>
      </c>
      <c r="AV44" s="17">
        <f t="shared" si="19"/>
        <v>4552736.9921622202</v>
      </c>
      <c r="AW44" s="17">
        <f t="shared" si="20"/>
        <v>559504.97510858194</v>
      </c>
      <c r="AX44" s="39">
        <f t="shared" si="21"/>
        <v>0.9106598969230052</v>
      </c>
      <c r="AY44" s="39">
        <f t="shared" si="22"/>
        <v>1.1763273416331501</v>
      </c>
      <c r="AZ44" s="39">
        <f t="shared" si="23"/>
        <v>0.93973564450915947</v>
      </c>
      <c r="BA44" s="18">
        <v>3.9964641079184397E-2</v>
      </c>
      <c r="BB44" s="20">
        <v>5.7131555561673798E-2</v>
      </c>
      <c r="BC44" s="17">
        <f t="shared" si="24"/>
        <v>-406741.99216222018</v>
      </c>
      <c r="BD44" s="17">
        <f t="shared" si="25"/>
        <v>98656.024891418056</v>
      </c>
      <c r="BE44" s="32"/>
      <c r="BF44" s="40"/>
      <c r="BG44" s="40"/>
      <c r="BH44" s="32"/>
    </row>
    <row r="45" spans="1:60" ht="14.25" hidden="1" customHeight="1" x14ac:dyDescent="0.35">
      <c r="A45" s="19">
        <v>45699</v>
      </c>
      <c r="B45" s="17">
        <f>+'BD MD'!B44</f>
        <v>28764494</v>
      </c>
      <c r="C45" s="17">
        <f t="shared" si="4"/>
        <v>3584756.2413793104</v>
      </c>
      <c r="D45" s="18">
        <f t="shared" si="26"/>
        <v>4.6442483935966235E-2</v>
      </c>
      <c r="E45" s="17">
        <v>29524043</v>
      </c>
      <c r="F45" s="19">
        <v>46064</v>
      </c>
      <c r="G45" s="17">
        <f t="shared" si="6"/>
        <v>4365978.1275330884</v>
      </c>
      <c r="H45" s="17">
        <v>3565403.93838902</v>
      </c>
      <c r="I45" s="17">
        <v>800574.18914406805</v>
      </c>
      <c r="J45" s="17">
        <v>2855454</v>
      </c>
      <c r="K45" s="17">
        <v>3104553</v>
      </c>
      <c r="L45" s="17">
        <v>16592.241379310301</v>
      </c>
      <c r="M45" s="17">
        <f>12075+10720</f>
        <v>22795</v>
      </c>
      <c r="N45" s="17">
        <v>62364</v>
      </c>
      <c r="O45" s="17">
        <v>17436</v>
      </c>
      <c r="P45" s="17">
        <v>4603</v>
      </c>
      <c r="Q45" s="17">
        <v>696</v>
      </c>
      <c r="R45" s="17">
        <v>42383</v>
      </c>
      <c r="S45" s="17">
        <v>83559</v>
      </c>
      <c r="T45" s="17">
        <v>448251</v>
      </c>
      <c r="U45" s="17">
        <v>555761</v>
      </c>
      <c r="V45" s="17">
        <v>107546</v>
      </c>
      <c r="W45" s="17">
        <v>71762</v>
      </c>
      <c r="X45" s="17">
        <v>43052</v>
      </c>
      <c r="Y45" s="17">
        <v>24671</v>
      </c>
      <c r="Z45" s="17">
        <v>4511</v>
      </c>
      <c r="AA45" s="17">
        <v>4503</v>
      </c>
      <c r="AB45" s="17">
        <v>0</v>
      </c>
      <c r="AC45" s="17">
        <v>-435</v>
      </c>
      <c r="AD45" s="17">
        <v>0</v>
      </c>
      <c r="AE45" s="17">
        <v>0</v>
      </c>
      <c r="AF45" s="17">
        <f t="shared" si="7"/>
        <v>3885301</v>
      </c>
      <c r="AG45" s="18">
        <f t="shared" si="8"/>
        <v>0.88990390847315448</v>
      </c>
      <c r="AH45" s="17">
        <f t="shared" si="9"/>
        <v>-480677.12753308844</v>
      </c>
      <c r="AI45" s="20">
        <f t="shared" si="10"/>
        <v>0.10155406762092167</v>
      </c>
      <c r="AJ45" s="20">
        <f t="shared" si="11"/>
        <v>0.10342440514974581</v>
      </c>
      <c r="AK45" s="21">
        <f t="shared" si="27"/>
        <v>0.13159786415430977</v>
      </c>
      <c r="AL45" s="21">
        <f t="shared" si="13"/>
        <v>-0.13427489939816295</v>
      </c>
      <c r="AM45" s="31"/>
      <c r="AO45" s="38">
        <f t="shared" si="14"/>
        <v>46064</v>
      </c>
      <c r="AP45" s="17">
        <f>+Tabla22[[#This Row],[Web + APP 2025]]+Tabla22[[#This Row],[Afiliados 2025]]+Tabla22[[#This Row],[TMK 2025]]+Tabla22[[#This Row],[WA 2025]]+Tabla22[[#This Row],[Ent. en Tienda 2025]]</f>
        <v>2981396.2413793104</v>
      </c>
      <c r="AQ45" s="17">
        <f>+Tabla22[[#This Row],[Meli Drop 2025]]+Tabla22[[#This Row],[Meli Full 2025]]+Tabla22[[#This Row],[Amazon Drop 2025]]+Tabla22[[#This Row],[Amazon Full 2025]]+Tabla22[[#This Row],[TikTok 2025]]+Tabla22[[#This Row],[Shein 2025]]</f>
        <v>603360</v>
      </c>
      <c r="AR45" s="17">
        <f t="shared" si="15"/>
        <v>3229039</v>
      </c>
      <c r="AS45" s="17">
        <f t="shared" si="16"/>
        <v>656262</v>
      </c>
      <c r="AT45" s="18">
        <f t="shared" si="17"/>
        <v>8.3062678883005558E-2</v>
      </c>
      <c r="AU45" s="18">
        <f t="shared" si="18"/>
        <v>8.7678997613365173E-2</v>
      </c>
      <c r="AV45" s="17">
        <f t="shared" si="19"/>
        <v>3565403.93838902</v>
      </c>
      <c r="AW45" s="17">
        <f t="shared" si="20"/>
        <v>800574.18914406805</v>
      </c>
      <c r="AX45" s="39">
        <f t="shared" si="21"/>
        <v>0.90565867312610815</v>
      </c>
      <c r="AY45" s="39">
        <f t="shared" si="22"/>
        <v>0.81973914335364839</v>
      </c>
      <c r="AZ45" s="39">
        <f t="shared" si="23"/>
        <v>0.88990390847315448</v>
      </c>
      <c r="BA45" s="18">
        <v>5.71838706531477E-2</v>
      </c>
      <c r="BB45" s="20">
        <v>4.4741673757249398E-2</v>
      </c>
      <c r="BC45" s="17">
        <f t="shared" si="24"/>
        <v>-336364.93838902004</v>
      </c>
      <c r="BD45" s="17">
        <f t="shared" si="25"/>
        <v>-144312.18914406805</v>
      </c>
      <c r="BE45" s="32"/>
      <c r="BF45" s="40"/>
      <c r="BG45" s="40"/>
      <c r="BH45" s="32"/>
    </row>
    <row r="46" spans="1:60" ht="14.25" hidden="1" customHeight="1" x14ac:dyDescent="0.35">
      <c r="A46" s="16">
        <v>45700</v>
      </c>
      <c r="B46" s="17">
        <f>+'BD MD'!B45</f>
        <v>34103254</v>
      </c>
      <c r="C46" s="17">
        <f t="shared" si="4"/>
        <v>3527108.7586206896</v>
      </c>
      <c r="D46" s="18">
        <f t="shared" si="26"/>
        <v>4.5695629167694457E-2</v>
      </c>
      <c r="E46" s="17">
        <v>33200957</v>
      </c>
      <c r="F46" s="19">
        <v>46065</v>
      </c>
      <c r="G46" s="17">
        <f t="shared" si="6"/>
        <v>4277322.4882151699</v>
      </c>
      <c r="H46" s="17">
        <v>3676481.8466480798</v>
      </c>
      <c r="I46" s="17">
        <v>600840.64156708994</v>
      </c>
      <c r="J46" s="17">
        <v>2929364</v>
      </c>
      <c r="K46" s="17">
        <v>2317644</v>
      </c>
      <c r="L46" s="17">
        <v>19632.758620689601</v>
      </c>
      <c r="M46" s="17">
        <f>13963+11447</f>
        <v>25410</v>
      </c>
      <c r="N46" s="17">
        <v>23666</v>
      </c>
      <c r="O46" s="17">
        <v>26530</v>
      </c>
      <c r="P46" s="17">
        <v>8628</v>
      </c>
      <c r="Q46" s="17">
        <v>5396</v>
      </c>
      <c r="R46" s="17">
        <v>92989</v>
      </c>
      <c r="S46" s="17">
        <v>99852</v>
      </c>
      <c r="T46" s="17">
        <v>286849</v>
      </c>
      <c r="U46" s="17">
        <v>459284</v>
      </c>
      <c r="V46" s="17">
        <v>127459</v>
      </c>
      <c r="W46" s="17">
        <v>89138</v>
      </c>
      <c r="X46" s="17">
        <v>36103</v>
      </c>
      <c r="Y46" s="17">
        <v>11692</v>
      </c>
      <c r="Z46" s="17">
        <v>2418</v>
      </c>
      <c r="AA46" s="17">
        <v>1959</v>
      </c>
      <c r="AB46" s="17">
        <v>0</v>
      </c>
      <c r="AC46" s="17">
        <v>3313</v>
      </c>
      <c r="AD46" s="17">
        <v>0</v>
      </c>
      <c r="AE46" s="17">
        <v>0</v>
      </c>
      <c r="AF46" s="17">
        <f t="shared" si="7"/>
        <v>3040218</v>
      </c>
      <c r="AG46" s="18">
        <f t="shared" si="8"/>
        <v>0.7107759605165086</v>
      </c>
      <c r="AH46" s="17">
        <f t="shared" si="9"/>
        <v>-1237104.4882151699</v>
      </c>
      <c r="AI46" s="20">
        <f t="shared" si="10"/>
        <v>0.39384321814183254</v>
      </c>
      <c r="AJ46" s="20">
        <f t="shared" si="11"/>
        <v>5.521319907078874E-2</v>
      </c>
      <c r="AK46" s="21">
        <f t="shared" si="27"/>
        <v>9.1570191786941563E-2</v>
      </c>
      <c r="AL46" s="21">
        <f t="shared" si="13"/>
        <v>-0.15956774169704713</v>
      </c>
      <c r="AM46" s="31"/>
      <c r="AO46" s="38">
        <f t="shared" si="14"/>
        <v>46065</v>
      </c>
      <c r="AP46" s="17">
        <f>+Tabla22[[#This Row],[Web + APP 2025]]+Tabla22[[#This Row],[Afiliados 2025]]+Tabla22[[#This Row],[TMK 2025]]+Tabla22[[#This Row],[WA 2025]]+Tabla22[[#This Row],[Ent. en Tienda 2025]]</f>
        <v>3074279.7586206896</v>
      </c>
      <c r="AQ46" s="17">
        <f>+Tabla22[[#This Row],[Meli Drop 2025]]+Tabla22[[#This Row],[Meli Full 2025]]+Tabla22[[#This Row],[Amazon Drop 2025]]+Tabla22[[#This Row],[Amazon Full 2025]]+Tabla22[[#This Row],[TikTok 2025]]+Tabla22[[#This Row],[Shein 2025]]</f>
        <v>452829</v>
      </c>
      <c r="AR46" s="17">
        <f t="shared" si="15"/>
        <v>2474832</v>
      </c>
      <c r="AS46" s="17">
        <f t="shared" si="16"/>
        <v>565386</v>
      </c>
      <c r="AT46" s="18">
        <f t="shared" si="17"/>
        <v>-0.19498803156731537</v>
      </c>
      <c r="AU46" s="18">
        <f t="shared" si="18"/>
        <v>0.24856402748057205</v>
      </c>
      <c r="AV46" s="17">
        <f t="shared" si="19"/>
        <v>3676481.8466480798</v>
      </c>
      <c r="AW46" s="17">
        <f t="shared" si="20"/>
        <v>600840.64156708994</v>
      </c>
      <c r="AX46" s="39">
        <f t="shared" si="21"/>
        <v>0.67315224261377837</v>
      </c>
      <c r="AY46" s="39">
        <f t="shared" si="22"/>
        <v>0.94099160557012507</v>
      </c>
      <c r="AZ46" s="39">
        <f t="shared" si="23"/>
        <v>0.7107759605165086</v>
      </c>
      <c r="BA46" s="18">
        <v>4.2917188683363597E-2</v>
      </c>
      <c r="BB46" s="20">
        <v>4.6135572350184097E-2</v>
      </c>
      <c r="BC46" s="17">
        <f t="shared" si="24"/>
        <v>-1201649.8466480798</v>
      </c>
      <c r="BD46" s="17">
        <f t="shared" si="25"/>
        <v>-35454.641567089944</v>
      </c>
      <c r="BE46" s="32"/>
      <c r="BF46" s="40"/>
      <c r="BG46" s="40"/>
      <c r="BH46" s="32"/>
    </row>
    <row r="47" spans="1:60" ht="14.25" hidden="1" customHeight="1" x14ac:dyDescent="0.35">
      <c r="A47" s="19">
        <v>45701</v>
      </c>
      <c r="B47" s="17">
        <f>+'BD MD'!B46</f>
        <v>39504620</v>
      </c>
      <c r="C47" s="17">
        <f t="shared" si="4"/>
        <v>2181176.4482758623</v>
      </c>
      <c r="D47" s="18">
        <f t="shared" si="26"/>
        <v>2.825833762174652E-2</v>
      </c>
      <c r="E47" s="17">
        <v>35824613</v>
      </c>
      <c r="F47" s="19">
        <v>46066</v>
      </c>
      <c r="G47" s="17">
        <f t="shared" si="6"/>
        <v>2657293.8448046688</v>
      </c>
      <c r="H47" s="17">
        <v>2162315.3934833198</v>
      </c>
      <c r="I47" s="17">
        <v>494978.45132134901</v>
      </c>
      <c r="J47" s="17">
        <v>1665220</v>
      </c>
      <c r="K47" s="17">
        <v>1758784</v>
      </c>
      <c r="L47" s="17">
        <v>18078.448275862102</v>
      </c>
      <c r="M47" s="17">
        <f>8886+9726</f>
        <v>18612</v>
      </c>
      <c r="N47" s="17">
        <v>39150</v>
      </c>
      <c r="O47" s="17">
        <v>25664</v>
      </c>
      <c r="P47" s="17">
        <v>4561</v>
      </c>
      <c r="Q47" s="17">
        <v>3330</v>
      </c>
      <c r="R47" s="17">
        <v>81122</v>
      </c>
      <c r="S47" s="17">
        <v>68260</v>
      </c>
      <c r="T47" s="17">
        <v>288539</v>
      </c>
      <c r="U47" s="17">
        <v>399606</v>
      </c>
      <c r="V47" s="17">
        <v>74526</v>
      </c>
      <c r="W47" s="17">
        <v>59102</v>
      </c>
      <c r="X47" s="17">
        <v>6407</v>
      </c>
      <c r="Y47" s="17">
        <v>14235</v>
      </c>
      <c r="Z47" s="17">
        <v>3573</v>
      </c>
      <c r="AA47" s="17">
        <v>7832</v>
      </c>
      <c r="AB47" s="17">
        <v>0</v>
      </c>
      <c r="AC47" s="17">
        <v>2440</v>
      </c>
      <c r="AD47" s="17">
        <v>0</v>
      </c>
      <c r="AE47" s="17">
        <v>0</v>
      </c>
      <c r="AF47" s="17">
        <f t="shared" si="7"/>
        <v>2357865</v>
      </c>
      <c r="AG47" s="18">
        <f t="shared" si="8"/>
        <v>0.88731812803085797</v>
      </c>
      <c r="AH47" s="17">
        <f t="shared" si="9"/>
        <v>-299428.8448046688</v>
      </c>
      <c r="AI47" s="20">
        <f t="shared" si="10"/>
        <v>0.26356387324255204</v>
      </c>
      <c r="AJ47" s="20">
        <f t="shared" si="11"/>
        <v>5.7251596949853857E-2</v>
      </c>
      <c r="AK47" s="21">
        <f t="shared" si="27"/>
        <v>6.5816900799458747E-2</v>
      </c>
      <c r="AL47" s="21">
        <f t="shared" si="13"/>
        <v>9.912573689391535E-2</v>
      </c>
      <c r="AM47" s="31"/>
      <c r="AO47" s="38">
        <f t="shared" si="14"/>
        <v>46066</v>
      </c>
      <c r="AP47" s="17">
        <f>+Tabla22[[#This Row],[Web + APP 2025]]+Tabla22[[#This Row],[Afiliados 2025]]+Tabla22[[#This Row],[TMK 2025]]+Tabla22[[#This Row],[WA 2025]]+Tabla22[[#This Row],[Ent. en Tienda 2025]]</f>
        <v>1808131.448275862</v>
      </c>
      <c r="AQ47" s="17">
        <f>+Tabla22[[#This Row],[Meli Drop 2025]]+Tabla22[[#This Row],[Meli Full 2025]]+Tabla22[[#This Row],[Amazon Drop 2025]]+Tabla22[[#This Row],[Amazon Full 2025]]+Tabla22[[#This Row],[TikTok 2025]]+Tabla22[[#This Row],[Shein 2025]]</f>
        <v>373045</v>
      </c>
      <c r="AR47" s="17">
        <f t="shared" si="15"/>
        <v>1874650</v>
      </c>
      <c r="AS47" s="17">
        <f t="shared" si="16"/>
        <v>483215</v>
      </c>
      <c r="AT47" s="18">
        <f t="shared" si="17"/>
        <v>3.6788559696567802E-2</v>
      </c>
      <c r="AU47" s="18">
        <f t="shared" si="18"/>
        <v>0.29532630111648728</v>
      </c>
      <c r="AV47" s="17">
        <f t="shared" si="19"/>
        <v>2162315.3934833198</v>
      </c>
      <c r="AW47" s="17">
        <f t="shared" si="20"/>
        <v>494978.45132134901</v>
      </c>
      <c r="AX47" s="39">
        <f t="shared" si="21"/>
        <v>0.8669641836938905</v>
      </c>
      <c r="AY47" s="39">
        <f t="shared" si="22"/>
        <v>0.97623441729645732</v>
      </c>
      <c r="AZ47" s="39">
        <f t="shared" si="23"/>
        <v>0.88731812803085797</v>
      </c>
      <c r="BA47" s="18">
        <v>3.53556036658106E-2</v>
      </c>
      <c r="BB47" s="20">
        <v>2.7134543958355101E-2</v>
      </c>
      <c r="BC47" s="17">
        <f t="shared" si="24"/>
        <v>-287665.39348331979</v>
      </c>
      <c r="BD47" s="17">
        <f t="shared" si="25"/>
        <v>-11763.451321349014</v>
      </c>
      <c r="BE47" s="32"/>
      <c r="BF47" s="40"/>
      <c r="BG47" s="40"/>
      <c r="BH47" s="32"/>
    </row>
    <row r="48" spans="1:60" ht="14.25" hidden="1" customHeight="1" x14ac:dyDescent="0.35">
      <c r="A48" s="16">
        <v>45702</v>
      </c>
      <c r="B48" s="17">
        <f>+'BD MD'!B47</f>
        <v>32593735</v>
      </c>
      <c r="C48" s="17">
        <f t="shared" si="4"/>
        <v>1866043.3793103448</v>
      </c>
      <c r="D48" s="18">
        <f t="shared" si="26"/>
        <v>2.4175615810934793E-2</v>
      </c>
      <c r="E48" s="17">
        <v>40028256</v>
      </c>
      <c r="F48" s="19">
        <v>46067</v>
      </c>
      <c r="G48" s="17">
        <f t="shared" si="6"/>
        <v>2270349.9137066589</v>
      </c>
      <c r="H48" s="17">
        <v>1877501.19573291</v>
      </c>
      <c r="I48" s="17">
        <v>392848.71797374898</v>
      </c>
      <c r="J48" s="17">
        <v>1401802</v>
      </c>
      <c r="K48" s="17">
        <v>1400645</v>
      </c>
      <c r="L48" s="17">
        <v>14241.379310344801</v>
      </c>
      <c r="M48" s="17">
        <f>11423+8165</f>
        <v>19588</v>
      </c>
      <c r="N48" s="17">
        <v>55802</v>
      </c>
      <c r="O48" s="17">
        <v>-861</v>
      </c>
      <c r="P48" s="17">
        <v>2882</v>
      </c>
      <c r="Q48" s="17">
        <v>1446</v>
      </c>
      <c r="R48" s="17">
        <v>95242</v>
      </c>
      <c r="S48" s="17">
        <v>76825</v>
      </c>
      <c r="T48" s="17">
        <v>211719</v>
      </c>
      <c r="U48" s="17">
        <v>365354</v>
      </c>
      <c r="V48" s="17">
        <v>60511</v>
      </c>
      <c r="W48" s="17">
        <v>48474</v>
      </c>
      <c r="X48" s="17">
        <v>20710</v>
      </c>
      <c r="Y48" s="17">
        <v>16510</v>
      </c>
      <c r="Z48" s="17">
        <v>3134</v>
      </c>
      <c r="AA48" s="17">
        <v>7433</v>
      </c>
      <c r="AB48" s="17">
        <v>0</v>
      </c>
      <c r="AC48" s="17">
        <v>0</v>
      </c>
      <c r="AD48" s="17">
        <v>0</v>
      </c>
      <c r="AE48" s="17">
        <v>0</v>
      </c>
      <c r="AF48" s="17">
        <f t="shared" si="7"/>
        <v>1935414</v>
      </c>
      <c r="AG48" s="18">
        <f t="shared" si="8"/>
        <v>0.85247388004616875</v>
      </c>
      <c r="AH48" s="17">
        <f t="shared" si="9"/>
        <v>-334935.91370665887</v>
      </c>
      <c r="AI48" s="20">
        <f t="shared" si="10"/>
        <v>4.2515562088233816E-2</v>
      </c>
      <c r="AJ48" s="20">
        <f t="shared" si="11"/>
        <v>4.3829553983324686E-2</v>
      </c>
      <c r="AK48" s="21">
        <f t="shared" si="27"/>
        <v>4.8351194716052578E-2</v>
      </c>
      <c r="AL48" s="21">
        <f t="shared" si="13"/>
        <v>-5.4976978845317603E-2</v>
      </c>
      <c r="AM48" s="31"/>
      <c r="AO48" s="38">
        <f t="shared" si="14"/>
        <v>46067</v>
      </c>
      <c r="AP48" s="17">
        <f>+Tabla22[[#This Row],[Web + APP 2025]]+Tabla22[[#This Row],[Afiliados 2025]]+Tabla22[[#This Row],[TMK 2025]]+Tabla22[[#This Row],[WA 2025]]+Tabla22[[#This Row],[Ent. en Tienda 2025]]</f>
        <v>1569969.3793103448</v>
      </c>
      <c r="AQ48" s="17">
        <f>+Tabla22[[#This Row],[Meli Drop 2025]]+Tabla22[[#This Row],[Meli Full 2025]]+Tabla22[[#This Row],[Amazon Drop 2025]]+Tabla22[[#This Row],[Amazon Full 2025]]+Tabla22[[#This Row],[TikTok 2025]]+Tabla22[[#This Row],[Shein 2025]]</f>
        <v>296074</v>
      </c>
      <c r="AR48" s="17">
        <f t="shared" si="15"/>
        <v>1497643</v>
      </c>
      <c r="AS48" s="17">
        <f t="shared" si="16"/>
        <v>437771</v>
      </c>
      <c r="AT48" s="18">
        <f t="shared" si="17"/>
        <v>-4.6068656028257271E-2</v>
      </c>
      <c r="AU48" s="18">
        <f t="shared" si="18"/>
        <v>0.47858643447246307</v>
      </c>
      <c r="AV48" s="17">
        <f t="shared" si="19"/>
        <v>1877501.19573291</v>
      </c>
      <c r="AW48" s="17">
        <f t="shared" si="20"/>
        <v>392848.71797374898</v>
      </c>
      <c r="AX48" s="39">
        <f t="shared" si="21"/>
        <v>0.79767885283043627</v>
      </c>
      <c r="AY48" s="39">
        <f t="shared" si="22"/>
        <v>1.1143500792313972</v>
      </c>
      <c r="AZ48" s="39">
        <f t="shared" si="23"/>
        <v>0.85247388004616875</v>
      </c>
      <c r="BA48" s="18">
        <v>2.80606227124106E-2</v>
      </c>
      <c r="BB48" s="20">
        <v>2.3560456943984599E-2</v>
      </c>
      <c r="BC48" s="17">
        <f t="shared" si="24"/>
        <v>-379858.19573290995</v>
      </c>
      <c r="BD48" s="17">
        <f t="shared" si="25"/>
        <v>44922.282026251021</v>
      </c>
      <c r="BE48" s="32"/>
      <c r="BF48" s="40"/>
      <c r="BG48" s="40"/>
      <c r="BH48" s="32"/>
    </row>
    <row r="49" spans="1:60" ht="14.25" hidden="1" customHeight="1" x14ac:dyDescent="0.35">
      <c r="A49" s="19">
        <v>45703</v>
      </c>
      <c r="B49" s="17">
        <f>+'BD MD'!B48</f>
        <v>42356911</v>
      </c>
      <c r="C49" s="17">
        <f t="shared" si="4"/>
        <v>1856484.5172413792</v>
      </c>
      <c r="D49" s="18">
        <f t="shared" si="26"/>
        <v>2.4051775508221979E-2</v>
      </c>
      <c r="E49" s="17">
        <v>41384863</v>
      </c>
      <c r="F49" s="19">
        <v>46068</v>
      </c>
      <c r="G49" s="17">
        <f t="shared" si="6"/>
        <v>2257526.4806165611</v>
      </c>
      <c r="H49" s="17">
        <v>1878780.9565178</v>
      </c>
      <c r="I49" s="17">
        <v>378745.52409876097</v>
      </c>
      <c r="J49" s="17">
        <v>1480367</v>
      </c>
      <c r="K49" s="17">
        <v>2149329</v>
      </c>
      <c r="L49" s="17">
        <v>20915.517241379301</v>
      </c>
      <c r="M49" s="17">
        <f>17478+10892</f>
        <v>28370</v>
      </c>
      <c r="N49" s="17">
        <v>13567</v>
      </c>
      <c r="O49" s="17">
        <v>178</v>
      </c>
      <c r="P49" s="17">
        <v>1142</v>
      </c>
      <c r="Q49" s="17">
        <v>0</v>
      </c>
      <c r="R49" s="17">
        <v>55048</v>
      </c>
      <c r="S49" s="17">
        <v>68941</v>
      </c>
      <c r="T49" s="17">
        <v>234704</v>
      </c>
      <c r="U49" s="17">
        <v>492948</v>
      </c>
      <c r="V49" s="17">
        <v>34552</v>
      </c>
      <c r="W49" s="17">
        <v>50253</v>
      </c>
      <c r="X49" s="17">
        <v>16189</v>
      </c>
      <c r="Y49" s="17">
        <v>25710</v>
      </c>
      <c r="Z49" s="17">
        <v>0</v>
      </c>
      <c r="AA49" s="17">
        <v>9189</v>
      </c>
      <c r="AB49" s="17">
        <v>0</v>
      </c>
      <c r="AC49" s="17">
        <v>0</v>
      </c>
      <c r="AD49" s="17">
        <v>0</v>
      </c>
      <c r="AE49" s="17">
        <v>0</v>
      </c>
      <c r="AF49" s="17">
        <f t="shared" si="7"/>
        <v>2824918</v>
      </c>
      <c r="AG49" s="18">
        <f t="shared" si="8"/>
        <v>1.2513332730557722</v>
      </c>
      <c r="AH49" s="17">
        <f t="shared" si="9"/>
        <v>567391.51938343886</v>
      </c>
      <c r="AI49" s="20">
        <f t="shared" si="10"/>
        <v>0.10856448943964403</v>
      </c>
      <c r="AJ49" s="20">
        <f t="shared" si="11"/>
        <v>5.7415459552348488E-2</v>
      </c>
      <c r="AK49" s="21">
        <f t="shared" si="27"/>
        <v>6.8259691955486243E-2</v>
      </c>
      <c r="AL49" s="21">
        <f t="shared" si="13"/>
        <v>-6.7550148833097734E-2</v>
      </c>
      <c r="AM49" s="31"/>
      <c r="AO49" s="38">
        <f t="shared" si="14"/>
        <v>46068</v>
      </c>
      <c r="AP49" s="17">
        <f>+Tabla22[[#This Row],[Web + APP 2025]]+Tabla22[[#This Row],[Afiliados 2025]]+Tabla22[[#This Row],[TMK 2025]]+Tabla22[[#This Row],[WA 2025]]+Tabla22[[#This Row],[Ent. en Tienda 2025]]</f>
        <v>1571039.5172413792</v>
      </c>
      <c r="AQ49" s="17">
        <f>+Tabla22[[#This Row],[Meli Drop 2025]]+Tabla22[[#This Row],[Meli Full 2025]]+Tabla22[[#This Row],[Amazon Drop 2025]]+Tabla22[[#This Row],[Amazon Full 2025]]+Tabla22[[#This Row],[TikTok 2025]]+Tabla22[[#This Row],[Shein 2025]]</f>
        <v>285445</v>
      </c>
      <c r="AR49" s="17">
        <f t="shared" si="15"/>
        <v>2246818</v>
      </c>
      <c r="AS49" s="17">
        <f t="shared" si="16"/>
        <v>578100</v>
      </c>
      <c r="AT49" s="18">
        <f t="shared" si="17"/>
        <v>0.43014734851815439</v>
      </c>
      <c r="AU49" s="18">
        <f t="shared" si="18"/>
        <v>1.0252588064250556</v>
      </c>
      <c r="AV49" s="17">
        <f t="shared" si="19"/>
        <v>1878780.9565178</v>
      </c>
      <c r="AW49" s="17">
        <f t="shared" si="20"/>
        <v>378745.52409876097</v>
      </c>
      <c r="AX49" s="39">
        <f t="shared" si="21"/>
        <v>1.1958914061830459</v>
      </c>
      <c r="AY49" s="39">
        <f t="shared" si="22"/>
        <v>1.5263546714528453</v>
      </c>
      <c r="AZ49" s="39">
        <f t="shared" si="23"/>
        <v>1.2513332730557722</v>
      </c>
      <c r="BA49" s="18">
        <v>2.7053251721340099E-2</v>
      </c>
      <c r="BB49" s="20">
        <v>2.3576516453794501E-2</v>
      </c>
      <c r="BC49" s="17">
        <f t="shared" si="24"/>
        <v>368037.04348220001</v>
      </c>
      <c r="BD49" s="17">
        <f t="shared" si="25"/>
        <v>199354.47590123903</v>
      </c>
      <c r="BE49" s="32"/>
      <c r="BF49" s="40"/>
      <c r="BG49" s="40"/>
      <c r="BH49" s="32"/>
    </row>
    <row r="50" spans="1:60" ht="14.25" hidden="1" customHeight="1" x14ac:dyDescent="0.35">
      <c r="A50" s="16">
        <v>45704</v>
      </c>
      <c r="B50" s="17">
        <f>+'BD MD'!B49</f>
        <v>44382937</v>
      </c>
      <c r="C50" s="17">
        <f t="shared" si="4"/>
        <v>2548266.7241379311</v>
      </c>
      <c r="D50" s="18">
        <f t="shared" si="26"/>
        <v>3.3014193554983903E-2</v>
      </c>
      <c r="E50" s="17">
        <v>23766868</v>
      </c>
      <c r="F50" s="19">
        <v>46069</v>
      </c>
      <c r="G50" s="17">
        <f t="shared" si="6"/>
        <v>3113257.5784652401</v>
      </c>
      <c r="H50" s="17">
        <v>2446400.3494434399</v>
      </c>
      <c r="I50" s="17">
        <v>666857.22902179998</v>
      </c>
      <c r="J50" s="17">
        <v>1932100</v>
      </c>
      <c r="K50" s="17">
        <v>3080170</v>
      </c>
      <c r="L50" s="17">
        <v>24901.724137931</v>
      </c>
      <c r="M50" s="17">
        <f>12628+12367</f>
        <v>24995</v>
      </c>
      <c r="N50" s="17">
        <v>13663</v>
      </c>
      <c r="O50" s="17">
        <v>27259</v>
      </c>
      <c r="P50" s="17">
        <v>2471</v>
      </c>
      <c r="Q50" s="17">
        <v>2265</v>
      </c>
      <c r="R50" s="17">
        <v>72548</v>
      </c>
      <c r="S50" s="17">
        <v>98172</v>
      </c>
      <c r="T50" s="17">
        <v>370770</v>
      </c>
      <c r="U50" s="17">
        <v>460199</v>
      </c>
      <c r="V50" s="17">
        <v>101714</v>
      </c>
      <c r="W50" s="17">
        <v>48934</v>
      </c>
      <c r="X50" s="17">
        <v>26966</v>
      </c>
      <c r="Y50" s="17">
        <v>24099</v>
      </c>
      <c r="Z50" s="17">
        <v>3133</v>
      </c>
      <c r="AA50" s="17">
        <v>5432</v>
      </c>
      <c r="AB50" s="17">
        <v>0</v>
      </c>
      <c r="AC50" s="17">
        <v>430</v>
      </c>
      <c r="AD50" s="17">
        <v>0</v>
      </c>
      <c r="AE50" s="17">
        <v>0</v>
      </c>
      <c r="AF50" s="17">
        <f t="shared" si="7"/>
        <v>3771955</v>
      </c>
      <c r="AG50" s="18">
        <f t="shared" si="8"/>
        <v>1.2115781958071974</v>
      </c>
      <c r="AH50" s="17">
        <f t="shared" si="9"/>
        <v>658697.42153475992</v>
      </c>
      <c r="AI50" s="20">
        <f t="shared" si="10"/>
        <v>1.1901192684481643E-2</v>
      </c>
      <c r="AJ50" s="20">
        <f t="shared" si="11"/>
        <v>0.15490853877118541</v>
      </c>
      <c r="AK50" s="21">
        <f t="shared" si="27"/>
        <v>0.15870643956957223</v>
      </c>
      <c r="AL50" s="21">
        <f t="shared" si="13"/>
        <v>-1.2313957992503122E-2</v>
      </c>
      <c r="AM50" s="31"/>
      <c r="AO50" s="38">
        <f t="shared" si="14"/>
        <v>46069</v>
      </c>
      <c r="AP50" s="17">
        <f>+Tabla22[[#This Row],[Web + APP 2025]]+Tabla22[[#This Row],[Afiliados 2025]]+Tabla22[[#This Row],[TMK 2025]]+Tabla22[[#This Row],[WA 2025]]+Tabla22[[#This Row],[Ent. en Tienda 2025]]</f>
        <v>2045683.7241379309</v>
      </c>
      <c r="AQ50" s="17">
        <f>+Tabla22[[#This Row],[Meli Drop 2025]]+Tabla22[[#This Row],[Meli Full 2025]]+Tabla22[[#This Row],[Amazon Drop 2025]]+Tabla22[[#This Row],[Amazon Full 2025]]+Tabla22[[#This Row],[TikTok 2025]]+Tabla22[[#This Row],[Shein 2025]]</f>
        <v>502583</v>
      </c>
      <c r="AR50" s="17">
        <f t="shared" si="15"/>
        <v>3232861</v>
      </c>
      <c r="AS50" s="17">
        <f t="shared" si="16"/>
        <v>539094</v>
      </c>
      <c r="AT50" s="18">
        <f t="shared" si="17"/>
        <v>0.5803327571383774</v>
      </c>
      <c r="AU50" s="18">
        <f t="shared" si="18"/>
        <v>7.2646707111064135E-2</v>
      </c>
      <c r="AV50" s="17">
        <f t="shared" si="19"/>
        <v>2446400.3494434399</v>
      </c>
      <c r="AW50" s="17">
        <f t="shared" si="20"/>
        <v>666857.22902179998</v>
      </c>
      <c r="AX50" s="39">
        <f t="shared" si="21"/>
        <v>1.3214766752038281</v>
      </c>
      <c r="AY50" s="39">
        <f t="shared" si="22"/>
        <v>0.80840992125223954</v>
      </c>
      <c r="AZ50" s="39">
        <f t="shared" si="23"/>
        <v>1.2115781958071974</v>
      </c>
      <c r="BA50" s="18">
        <v>4.76326592158429E-2</v>
      </c>
      <c r="BB50" s="20">
        <v>3.0699479836182399E-2</v>
      </c>
      <c r="BC50" s="17">
        <f t="shared" si="24"/>
        <v>786460.65055656014</v>
      </c>
      <c r="BD50" s="17">
        <f t="shared" si="25"/>
        <v>-127763.22902179998</v>
      </c>
      <c r="BE50" s="32"/>
      <c r="BF50" s="40"/>
      <c r="BG50" s="40"/>
      <c r="BH50" s="32"/>
    </row>
    <row r="51" spans="1:60" ht="14.25" hidden="1" customHeight="1" x14ac:dyDescent="0.35">
      <c r="A51" s="19">
        <v>45705</v>
      </c>
      <c r="B51" s="17">
        <f>+'BD MD'!B50</f>
        <v>24063181</v>
      </c>
      <c r="C51" s="17">
        <f t="shared" si="4"/>
        <v>3727592.2068965519</v>
      </c>
      <c r="D51" s="18">
        <f t="shared" si="26"/>
        <v>4.8293002238281896E-2</v>
      </c>
      <c r="E51" s="17">
        <v>26877030</v>
      </c>
      <c r="F51" s="19">
        <v>46070</v>
      </c>
      <c r="G51" s="17">
        <f t="shared" si="6"/>
        <v>4527911.4958415478</v>
      </c>
      <c r="H51" s="17">
        <v>3817315.6570827002</v>
      </c>
      <c r="I51" s="17">
        <v>710595.83875884803</v>
      </c>
      <c r="J51" s="17">
        <v>3064112</v>
      </c>
      <c r="K51" s="17">
        <v>3594147</v>
      </c>
      <c r="L51" s="17">
        <v>18136.206896551699</v>
      </c>
      <c r="M51" s="17">
        <f>15370+11491</f>
        <v>26861</v>
      </c>
      <c r="N51" s="17">
        <v>41372</v>
      </c>
      <c r="O51" s="17">
        <v>48038</v>
      </c>
      <c r="P51" s="17">
        <v>9059</v>
      </c>
      <c r="Q51" s="17">
        <v>4918</v>
      </c>
      <c r="R51" s="17">
        <v>59366</v>
      </c>
      <c r="S51" s="17">
        <v>78213</v>
      </c>
      <c r="T51" s="17">
        <v>381579</v>
      </c>
      <c r="U51" s="17">
        <v>470863</v>
      </c>
      <c r="V51" s="17">
        <v>106292</v>
      </c>
      <c r="W51" s="17">
        <v>44216</v>
      </c>
      <c r="X51" s="17">
        <v>40654</v>
      </c>
      <c r="Y51" s="17">
        <v>21475</v>
      </c>
      <c r="Z51" s="17">
        <v>7022</v>
      </c>
      <c r="AA51" s="17">
        <v>6664</v>
      </c>
      <c r="AB51" s="17">
        <v>0</v>
      </c>
      <c r="AC51" s="17">
        <v>0</v>
      </c>
      <c r="AD51" s="17">
        <v>0</v>
      </c>
      <c r="AE51" s="17">
        <v>947</v>
      </c>
      <c r="AF51" s="17">
        <f t="shared" si="7"/>
        <v>4296342</v>
      </c>
      <c r="AG51" s="18">
        <f t="shared" si="8"/>
        <v>0.94885732725689931</v>
      </c>
      <c r="AH51" s="17">
        <f t="shared" si="9"/>
        <v>-231569.49584154785</v>
      </c>
      <c r="AI51" s="20">
        <f t="shared" si="10"/>
        <v>0.18106489174471552</v>
      </c>
      <c r="AJ51" s="20">
        <f t="shared" si="11"/>
        <v>0.12968883163442441</v>
      </c>
      <c r="AK51" s="21">
        <f t="shared" si="27"/>
        <v>0.15985181398391116</v>
      </c>
      <c r="AL51" s="21">
        <f t="shared" si="13"/>
        <v>-4.1794258836333698E-2</v>
      </c>
      <c r="AM51" s="31"/>
      <c r="AO51" s="38">
        <f t="shared" si="14"/>
        <v>46070</v>
      </c>
      <c r="AP51" s="17">
        <f>+Tabla22[[#This Row],[Web + APP 2025]]+Tabla22[[#This Row],[Afiliados 2025]]+Tabla22[[#This Row],[TMK 2025]]+Tabla22[[#This Row],[WA 2025]]+Tabla22[[#This Row],[Ent. en Tienda 2025]]</f>
        <v>3192045.2068965519</v>
      </c>
      <c r="AQ51" s="17">
        <f>+Tabla22[[#This Row],[Meli Drop 2025]]+Tabla22[[#This Row],[Meli Full 2025]]+Tabla22[[#This Row],[Amazon Drop 2025]]+Tabla22[[#This Row],[Amazon Full 2025]]+Tabla22[[#This Row],[TikTok 2025]]+Tabla22[[#This Row],[Shein 2025]]</f>
        <v>535547</v>
      </c>
      <c r="AR51" s="17">
        <f t="shared" si="15"/>
        <v>3752177</v>
      </c>
      <c r="AS51" s="17">
        <f t="shared" si="16"/>
        <v>544165</v>
      </c>
      <c r="AT51" s="18">
        <f t="shared" si="17"/>
        <v>0.1754773998479906</v>
      </c>
      <c r="AU51" s="18">
        <f t="shared" si="18"/>
        <v>1.6091958315516575E-2</v>
      </c>
      <c r="AV51" s="17">
        <f t="shared" si="19"/>
        <v>3817315.6570827002</v>
      </c>
      <c r="AW51" s="17">
        <f t="shared" si="20"/>
        <v>710595.83875884803</v>
      </c>
      <c r="AX51" s="39">
        <f t="shared" si="21"/>
        <v>0.98293600452929775</v>
      </c>
      <c r="AY51" s="39">
        <f t="shared" si="22"/>
        <v>0.76578692179011065</v>
      </c>
      <c r="AZ51" s="39">
        <f t="shared" si="23"/>
        <v>0.94885732725689931</v>
      </c>
      <c r="BA51" s="18">
        <v>5.0756845625631999E-2</v>
      </c>
      <c r="BB51" s="20">
        <v>4.7902872916779499E-2</v>
      </c>
      <c r="BC51" s="17">
        <f t="shared" si="24"/>
        <v>-65138.657082700171</v>
      </c>
      <c r="BD51" s="17">
        <f t="shared" si="25"/>
        <v>-166430.83875884803</v>
      </c>
      <c r="BE51" s="32"/>
      <c r="BF51" s="40"/>
      <c r="BG51" s="40"/>
      <c r="BH51" s="32"/>
    </row>
    <row r="52" spans="1:60" ht="14.25" hidden="1" customHeight="1" x14ac:dyDescent="0.35">
      <c r="A52" s="16">
        <v>45706</v>
      </c>
      <c r="B52" s="17">
        <f>+'BD MD'!B51</f>
        <v>28049331</v>
      </c>
      <c r="C52" s="17">
        <f t="shared" si="4"/>
        <v>3637684.9655172415</v>
      </c>
      <c r="D52" s="18">
        <f t="shared" si="26"/>
        <v>4.7128204597291098E-2</v>
      </c>
      <c r="E52" s="17">
        <v>29417270</v>
      </c>
      <c r="F52" s="19">
        <v>46071</v>
      </c>
      <c r="G52" s="17">
        <f t="shared" si="6"/>
        <v>4405712.1677858885</v>
      </c>
      <c r="H52" s="17">
        <v>3843840.0746160601</v>
      </c>
      <c r="I52" s="17">
        <v>561872.09316982795</v>
      </c>
      <c r="J52" s="17">
        <v>3088415</v>
      </c>
      <c r="K52" s="17">
        <v>3559563</v>
      </c>
      <c r="L52" s="17">
        <v>23043.965517241399</v>
      </c>
      <c r="M52" s="17">
        <f>13096+10747</f>
        <v>23843</v>
      </c>
      <c r="N52" s="17">
        <v>65981</v>
      </c>
      <c r="O52" s="17">
        <v>14662</v>
      </c>
      <c r="P52" s="17">
        <v>7052</v>
      </c>
      <c r="Q52" s="17">
        <v>1851</v>
      </c>
      <c r="R52" s="17">
        <v>29733</v>
      </c>
      <c r="S52" s="17">
        <v>91613</v>
      </c>
      <c r="T52" s="17">
        <v>361184</v>
      </c>
      <c r="U52" s="17">
        <v>453814</v>
      </c>
      <c r="V52" s="17">
        <v>44740</v>
      </c>
      <c r="W52" s="17">
        <v>39979</v>
      </c>
      <c r="X52" s="17">
        <v>15384</v>
      </c>
      <c r="Y52" s="17">
        <v>30090</v>
      </c>
      <c r="Z52" s="17">
        <v>2152</v>
      </c>
      <c r="AA52" s="17">
        <v>3873</v>
      </c>
      <c r="AB52" s="17">
        <v>0</v>
      </c>
      <c r="AC52" s="17">
        <v>3359</v>
      </c>
      <c r="AD52" s="17">
        <v>0</v>
      </c>
      <c r="AE52" s="17">
        <v>0</v>
      </c>
      <c r="AF52" s="17">
        <f t="shared" si="7"/>
        <v>4222647</v>
      </c>
      <c r="AG52" s="18">
        <f t="shared" si="8"/>
        <v>0.9584482233940651</v>
      </c>
      <c r="AH52" s="17">
        <f t="shared" si="9"/>
        <v>-183065.16778588854</v>
      </c>
      <c r="AI52" s="20">
        <f t="shared" si="10"/>
        <v>0.16932575788320281</v>
      </c>
      <c r="AJ52" s="20">
        <f t="shared" si="11"/>
        <v>0.12503380727632435</v>
      </c>
      <c r="AK52" s="21">
        <f t="shared" si="27"/>
        <v>0.14354312959700202</v>
      </c>
      <c r="AL52" s="21">
        <f t="shared" si="13"/>
        <v>1.8545797802250519E-2</v>
      </c>
      <c r="AM52" s="31"/>
      <c r="AO52" s="38">
        <f t="shared" si="14"/>
        <v>46071</v>
      </c>
      <c r="AP52" s="17">
        <f>+Tabla22[[#This Row],[Web + APP 2025]]+Tabla22[[#This Row],[Afiliados 2025]]+Tabla22[[#This Row],[TMK 2025]]+Tabla22[[#This Row],[WA 2025]]+Tabla22[[#This Row],[Ent. en Tienda 2025]]</f>
        <v>3214224.9655172415</v>
      </c>
      <c r="AQ52" s="17">
        <f>+Tabla22[[#This Row],[Meli Drop 2025]]+Tabla22[[#This Row],[Meli Full 2025]]+Tabla22[[#This Row],[Amazon Drop 2025]]+Tabla22[[#This Row],[Amazon Full 2025]]+Tabla22[[#This Row],[TikTok 2025]]+Tabla22[[#This Row],[Shein 2025]]</f>
        <v>423460</v>
      </c>
      <c r="AR52" s="17">
        <f t="shared" si="15"/>
        <v>3691532</v>
      </c>
      <c r="AS52" s="17">
        <f t="shared" si="16"/>
        <v>531115</v>
      </c>
      <c r="AT52" s="18">
        <f t="shared" si="17"/>
        <v>0.14849832840059118</v>
      </c>
      <c r="AU52" s="18">
        <f t="shared" si="18"/>
        <v>0.25422708166060559</v>
      </c>
      <c r="AV52" s="17">
        <f t="shared" si="19"/>
        <v>3843840.0746160601</v>
      </c>
      <c r="AW52" s="17">
        <f t="shared" si="20"/>
        <v>561872.09316982795</v>
      </c>
      <c r="AX52" s="39">
        <f t="shared" si="21"/>
        <v>0.96037606360840255</v>
      </c>
      <c r="AY52" s="39">
        <f t="shared" si="22"/>
        <v>0.9452596177248983</v>
      </c>
      <c r="AZ52" s="39">
        <f t="shared" si="23"/>
        <v>0.9584482233940651</v>
      </c>
      <c r="BA52" s="18">
        <v>4.0133720940702E-2</v>
      </c>
      <c r="BB52" s="20">
        <v>4.8235723515585603E-2</v>
      </c>
      <c r="BC52" s="17">
        <f t="shared" si="24"/>
        <v>-152308.07461606013</v>
      </c>
      <c r="BD52" s="17">
        <f t="shared" si="25"/>
        <v>-30757.093169827946</v>
      </c>
      <c r="BE52" s="32"/>
      <c r="BF52" s="40"/>
      <c r="BG52" s="40"/>
      <c r="BH52" s="32"/>
    </row>
    <row r="53" spans="1:60" ht="14.25" hidden="1" customHeight="1" x14ac:dyDescent="0.35">
      <c r="A53" s="19">
        <v>45707</v>
      </c>
      <c r="B53" s="17">
        <f>+'BD MD'!B52</f>
        <v>28881637</v>
      </c>
      <c r="C53" s="17">
        <f t="shared" si="4"/>
        <v>3611181.0344827585</v>
      </c>
      <c r="D53" s="18">
        <f t="shared" si="26"/>
        <v>4.6784831628970291E-2</v>
      </c>
      <c r="E53" s="17">
        <v>35456665</v>
      </c>
      <c r="F53" s="19">
        <v>46072</v>
      </c>
      <c r="G53" s="17">
        <f t="shared" si="6"/>
        <v>4363204.7398105757</v>
      </c>
      <c r="H53" s="17">
        <v>3910862.27764954</v>
      </c>
      <c r="I53" s="17">
        <v>452342.46216103598</v>
      </c>
      <c r="J53" s="17">
        <v>3113676</v>
      </c>
      <c r="K53" s="17">
        <v>3329797</v>
      </c>
      <c r="L53" s="17">
        <v>21506.034482758601</v>
      </c>
      <c r="M53" s="17">
        <f>15937+12034</f>
        <v>27971</v>
      </c>
      <c r="N53" s="17">
        <v>65670</v>
      </c>
      <c r="O53" s="17">
        <v>23965</v>
      </c>
      <c r="P53" s="17">
        <v>2633</v>
      </c>
      <c r="Q53" s="17">
        <v>344</v>
      </c>
      <c r="R53" s="17">
        <v>66784</v>
      </c>
      <c r="S53" s="17">
        <v>65256</v>
      </c>
      <c r="T53" s="17">
        <v>295101</v>
      </c>
      <c r="U53" s="17">
        <v>368888</v>
      </c>
      <c r="V53" s="17">
        <v>30136</v>
      </c>
      <c r="W53" s="17">
        <v>35313</v>
      </c>
      <c r="X53" s="17">
        <v>13695</v>
      </c>
      <c r="Y53" s="17">
        <v>25716</v>
      </c>
      <c r="Z53" s="17">
        <v>1980</v>
      </c>
      <c r="AA53" s="17">
        <v>7482</v>
      </c>
      <c r="AB53" s="17">
        <v>0</v>
      </c>
      <c r="AC53" s="17">
        <v>1990</v>
      </c>
      <c r="AD53" s="17">
        <v>0</v>
      </c>
      <c r="AE53" s="17">
        <v>689</v>
      </c>
      <c r="AF53" s="17">
        <f t="shared" si="7"/>
        <v>3887411</v>
      </c>
      <c r="AG53" s="18">
        <f t="shared" si="8"/>
        <v>0.89095314838899087</v>
      </c>
      <c r="AH53" s="17">
        <f t="shared" si="9"/>
        <v>-475793.73981057573</v>
      </c>
      <c r="AI53" s="20">
        <f t="shared" si="10"/>
        <v>0.30409152807698292</v>
      </c>
      <c r="AJ53" s="20">
        <f t="shared" si="11"/>
        <v>8.2832267329381856E-2</v>
      </c>
      <c r="AK53" s="21">
        <f t="shared" si="27"/>
        <v>0.10963837123429403</v>
      </c>
      <c r="AL53" s="21">
        <f t="shared" si="13"/>
        <v>-1.4753166618853841E-2</v>
      </c>
      <c r="AM53" s="31"/>
      <c r="AO53" s="38">
        <f t="shared" si="14"/>
        <v>46072</v>
      </c>
      <c r="AP53" s="17">
        <f>+Tabla22[[#This Row],[Web + APP 2025]]+Tabla22[[#This Row],[Afiliados 2025]]+Tabla22[[#This Row],[TMK 2025]]+Tabla22[[#This Row],[WA 2025]]+Tabla22[[#This Row],[Ent. en Tienda 2025]]</f>
        <v>3270269.0344827585</v>
      </c>
      <c r="AQ53" s="17">
        <f>+Tabla22[[#This Row],[Meli Drop 2025]]+Tabla22[[#This Row],[Meli Full 2025]]+Tabla22[[#This Row],[Amazon Drop 2025]]+Tabla22[[#This Row],[Amazon Full 2025]]+Tabla22[[#This Row],[TikTok 2025]]+Tabla22[[#This Row],[Shein 2025]]</f>
        <v>340912</v>
      </c>
      <c r="AR53" s="17">
        <f t="shared" si="15"/>
        <v>3447333</v>
      </c>
      <c r="AS53" s="17">
        <f t="shared" si="16"/>
        <v>440078</v>
      </c>
      <c r="AT53" s="18">
        <f t="shared" si="17"/>
        <v>5.4143547105826029E-2</v>
      </c>
      <c r="AU53" s="18">
        <f t="shared" si="18"/>
        <v>0.29088445111935046</v>
      </c>
      <c r="AV53" s="17">
        <f t="shared" si="19"/>
        <v>3910862.27764954</v>
      </c>
      <c r="AW53" s="17">
        <f t="shared" si="20"/>
        <v>452342.46216103598</v>
      </c>
      <c r="AX53" s="39">
        <f t="shared" si="21"/>
        <v>0.88147645078207026</v>
      </c>
      <c r="AY53" s="39">
        <f t="shared" si="22"/>
        <v>0.97288677675219049</v>
      </c>
      <c r="AZ53" s="39">
        <f t="shared" si="23"/>
        <v>0.89095314838899087</v>
      </c>
      <c r="BA53" s="18">
        <v>3.2310175868645402E-2</v>
      </c>
      <c r="BB53" s="20">
        <v>4.9076774233662503E-2</v>
      </c>
      <c r="BC53" s="17">
        <f t="shared" si="24"/>
        <v>-463529.27764953999</v>
      </c>
      <c r="BD53" s="17">
        <f t="shared" si="25"/>
        <v>-12264.462161035975</v>
      </c>
      <c r="BE53" s="32"/>
      <c r="BF53" s="40"/>
      <c r="BG53" s="40"/>
      <c r="BH53" s="32"/>
    </row>
    <row r="54" spans="1:60" ht="14.25" hidden="1" customHeight="1" x14ac:dyDescent="0.35">
      <c r="A54" s="16">
        <v>45708</v>
      </c>
      <c r="B54" s="17">
        <f>+'BD MD'!B53</f>
        <v>35987596</v>
      </c>
      <c r="C54" s="17">
        <f t="shared" si="4"/>
        <v>2980934.1724137929</v>
      </c>
      <c r="D54" s="18">
        <f t="shared" si="26"/>
        <v>3.861963773671593E-2</v>
      </c>
      <c r="E54" s="17">
        <v>36977163</v>
      </c>
      <c r="F54" s="19">
        <v>46073</v>
      </c>
      <c r="G54" s="17">
        <f t="shared" si="6"/>
        <v>3619504.3435171871</v>
      </c>
      <c r="H54" s="17">
        <v>3065838.8788276301</v>
      </c>
      <c r="I54" s="17">
        <v>553665.46468955697</v>
      </c>
      <c r="J54" s="17">
        <v>2421357</v>
      </c>
      <c r="K54" s="17">
        <v>2545784</v>
      </c>
      <c r="L54" s="17">
        <v>22405.172413793101</v>
      </c>
      <c r="M54" s="17">
        <f>11741+8386</f>
        <v>20127</v>
      </c>
      <c r="N54" s="17">
        <v>55891</v>
      </c>
      <c r="O54" s="17">
        <v>11485</v>
      </c>
      <c r="P54" s="17">
        <v>2576</v>
      </c>
      <c r="Q54" s="17">
        <v>1656</v>
      </c>
      <c r="R54" s="17">
        <v>61430</v>
      </c>
      <c r="S54" s="17">
        <v>148228</v>
      </c>
      <c r="T54" s="17">
        <v>357973</v>
      </c>
      <c r="U54" s="17">
        <v>360812</v>
      </c>
      <c r="V54" s="17">
        <v>24350</v>
      </c>
      <c r="W54" s="17">
        <v>21316</v>
      </c>
      <c r="X54" s="17">
        <v>28074</v>
      </c>
      <c r="Y54" s="17">
        <v>16275</v>
      </c>
      <c r="Z54" s="17">
        <v>6878</v>
      </c>
      <c r="AA54" s="17">
        <v>3147</v>
      </c>
      <c r="AB54" s="17">
        <v>0</v>
      </c>
      <c r="AC54" s="17">
        <v>1306</v>
      </c>
      <c r="AD54" s="17">
        <v>0</v>
      </c>
      <c r="AE54" s="17">
        <v>0</v>
      </c>
      <c r="AF54" s="17">
        <f t="shared" si="7"/>
        <v>3130136</v>
      </c>
      <c r="AG54" s="18">
        <f t="shared" si="8"/>
        <v>0.86479686247823306</v>
      </c>
      <c r="AH54" s="17">
        <f t="shared" si="9"/>
        <v>-489368.34351718705</v>
      </c>
      <c r="AI54" s="20">
        <f t="shared" si="10"/>
        <v>0.2648172257583794</v>
      </c>
      <c r="AJ54" s="20">
        <f t="shared" si="11"/>
        <v>6.8589700146051091E-2</v>
      </c>
      <c r="AK54" s="21">
        <f t="shared" si="27"/>
        <v>8.4650517942655573E-2</v>
      </c>
      <c r="AL54" s="21">
        <f t="shared" si="13"/>
        <v>2.4842332483971941E-2</v>
      </c>
      <c r="AM54" s="31"/>
      <c r="AO54" s="38">
        <f t="shared" si="14"/>
        <v>46073</v>
      </c>
      <c r="AP54" s="17">
        <f>+Tabla22[[#This Row],[Web + APP 2025]]+Tabla22[[#This Row],[Afiliados 2025]]+Tabla22[[#This Row],[TMK 2025]]+Tabla22[[#This Row],[WA 2025]]+Tabla22[[#This Row],[Ent. en Tienda 2025]]</f>
        <v>2563659.1724137929</v>
      </c>
      <c r="AQ54" s="17">
        <f>+Tabla22[[#This Row],[Meli Drop 2025]]+Tabla22[[#This Row],[Meli Full 2025]]+Tabla22[[#This Row],[Amazon Drop 2025]]+Tabla22[[#This Row],[Amazon Full 2025]]+Tabla22[[#This Row],[TikTok 2025]]+Tabla22[[#This Row],[Shein 2025]]</f>
        <v>417275</v>
      </c>
      <c r="AR54" s="17">
        <f t="shared" si="15"/>
        <v>2727280</v>
      </c>
      <c r="AS54" s="17">
        <f t="shared" si="16"/>
        <v>402856</v>
      </c>
      <c r="AT54" s="18">
        <f t="shared" si="17"/>
        <v>6.3823159235379734E-2</v>
      </c>
      <c r="AU54" s="18">
        <f t="shared" si="18"/>
        <v>-3.4555149481756642E-2</v>
      </c>
      <c r="AV54" s="17">
        <f t="shared" si="19"/>
        <v>3065838.8788276301</v>
      </c>
      <c r="AW54" s="17">
        <f t="shared" si="20"/>
        <v>553665.46468955697</v>
      </c>
      <c r="AX54" s="39">
        <f t="shared" si="21"/>
        <v>0.8895705572899858</v>
      </c>
      <c r="AY54" s="39">
        <f t="shared" si="22"/>
        <v>0.72761626955707526</v>
      </c>
      <c r="AZ54" s="39">
        <f t="shared" si="23"/>
        <v>0.86479686247823306</v>
      </c>
      <c r="BA54" s="18">
        <v>3.9547533192111198E-2</v>
      </c>
      <c r="BB54" s="20">
        <v>3.8472713128481002E-2</v>
      </c>
      <c r="BC54" s="17">
        <f t="shared" si="24"/>
        <v>-338558.87882763008</v>
      </c>
      <c r="BD54" s="17">
        <f t="shared" si="25"/>
        <v>-150809.46468955697</v>
      </c>
      <c r="BE54" s="32"/>
      <c r="BF54" s="40"/>
      <c r="BG54" s="40"/>
      <c r="BH54" s="32"/>
    </row>
    <row r="55" spans="1:60" ht="14.25" hidden="1" customHeight="1" x14ac:dyDescent="0.35">
      <c r="A55" s="19">
        <v>45709</v>
      </c>
      <c r="B55" s="17">
        <f>+'BD MD'!B54</f>
        <v>36080831</v>
      </c>
      <c r="C55" s="17">
        <f t="shared" si="4"/>
        <v>2474773.3793103448</v>
      </c>
      <c r="D55" s="18">
        <f t="shared" si="26"/>
        <v>3.2062046949544898E-2</v>
      </c>
      <c r="E55" s="17">
        <v>49550104</v>
      </c>
      <c r="F55" s="19">
        <v>46074</v>
      </c>
      <c r="G55" s="17">
        <f t="shared" si="6"/>
        <v>3012995.8169579371</v>
      </c>
      <c r="H55" s="17">
        <v>2471476.4277911601</v>
      </c>
      <c r="I55" s="17">
        <v>541519.38916677702</v>
      </c>
      <c r="J55" s="17">
        <v>1897795</v>
      </c>
      <c r="K55" s="17">
        <v>2157328</v>
      </c>
      <c r="L55" s="17">
        <v>20191.379310344801</v>
      </c>
      <c r="M55" s="17">
        <f>16471+12358</f>
        <v>28829</v>
      </c>
      <c r="N55" s="17">
        <v>54966</v>
      </c>
      <c r="O55" s="17">
        <v>12510</v>
      </c>
      <c r="P55" s="17">
        <v>2375</v>
      </c>
      <c r="Q55" s="17">
        <v>215</v>
      </c>
      <c r="R55" s="17">
        <v>91325</v>
      </c>
      <c r="S55" s="17">
        <v>61838</v>
      </c>
      <c r="T55" s="17">
        <v>346747</v>
      </c>
      <c r="U55" s="17">
        <v>366612</v>
      </c>
      <c r="V55" s="17">
        <v>33465</v>
      </c>
      <c r="W55" s="17">
        <v>23690</v>
      </c>
      <c r="X55" s="17">
        <v>19690</v>
      </c>
      <c r="Y55" s="17">
        <v>14858</v>
      </c>
      <c r="Z55" s="17">
        <v>8219</v>
      </c>
      <c r="AA55" s="17">
        <v>4463</v>
      </c>
      <c r="AB55" s="17">
        <v>0</v>
      </c>
      <c r="AC55" s="17">
        <v>1379</v>
      </c>
      <c r="AD55" s="17">
        <v>0</v>
      </c>
      <c r="AE55" s="17">
        <v>0</v>
      </c>
      <c r="AF55" s="17">
        <f t="shared" si="7"/>
        <v>2671722</v>
      </c>
      <c r="AG55" s="18">
        <f t="shared" si="8"/>
        <v>0.88673272792575486</v>
      </c>
      <c r="AH55" s="17">
        <f t="shared" si="9"/>
        <v>-341273.81695793709</v>
      </c>
      <c r="AI55" s="20">
        <f t="shared" si="10"/>
        <v>0.20995999008294253</v>
      </c>
      <c r="AJ55" s="20">
        <f t="shared" si="11"/>
        <v>4.6938850337801472E-2</v>
      </c>
      <c r="AK55" s="21">
        <f t="shared" si="27"/>
        <v>5.3919604285795245E-2</v>
      </c>
      <c r="AL55" s="21">
        <f t="shared" si="13"/>
        <v>5.3311344575149633E-2</v>
      </c>
      <c r="AM55" s="31"/>
      <c r="AO55" s="38">
        <f t="shared" si="14"/>
        <v>46074</v>
      </c>
      <c r="AP55" s="17">
        <f>+Tabla22[[#This Row],[Web + APP 2025]]+Tabla22[[#This Row],[Afiliados 2025]]+Tabla22[[#This Row],[TMK 2025]]+Tabla22[[#This Row],[WA 2025]]+Tabla22[[#This Row],[Ent. en Tienda 2025]]</f>
        <v>2066652.3793103448</v>
      </c>
      <c r="AQ55" s="17">
        <f>+Tabla22[[#This Row],[Meli Drop 2025]]+Tabla22[[#This Row],[Meli Full 2025]]+Tabla22[[#This Row],[Amazon Drop 2025]]+Tabla22[[#This Row],[Amazon Full 2025]]+Tabla22[[#This Row],[TikTok 2025]]+Tabla22[[#This Row],[Shein 2025]]</f>
        <v>408121</v>
      </c>
      <c r="AR55" s="17">
        <f t="shared" si="15"/>
        <v>2260720</v>
      </c>
      <c r="AS55" s="17">
        <f t="shared" si="16"/>
        <v>411002</v>
      </c>
      <c r="AT55" s="18">
        <f t="shared" si="17"/>
        <v>9.3904336613406025E-2</v>
      </c>
      <c r="AU55" s="18">
        <f t="shared" si="18"/>
        <v>7.0591809781903603E-3</v>
      </c>
      <c r="AV55" s="17">
        <f t="shared" si="19"/>
        <v>2471476.4277911601</v>
      </c>
      <c r="AW55" s="17">
        <f t="shared" si="20"/>
        <v>541519.38916677702</v>
      </c>
      <c r="AX55" s="39">
        <f t="shared" si="21"/>
        <v>0.91472448394762962</v>
      </c>
      <c r="AY55" s="39">
        <f t="shared" si="22"/>
        <v>0.75897928720963992</v>
      </c>
      <c r="AZ55" s="39">
        <f t="shared" si="23"/>
        <v>0.88673272792575486</v>
      </c>
      <c r="BA55" s="18">
        <v>3.8679956369055503E-2</v>
      </c>
      <c r="BB55" s="20">
        <v>3.1014155462263701E-2</v>
      </c>
      <c r="BC55" s="17">
        <f t="shared" si="24"/>
        <v>-210756.42779116007</v>
      </c>
      <c r="BD55" s="17">
        <f t="shared" si="25"/>
        <v>-130517.38916677702</v>
      </c>
      <c r="BE55" s="32"/>
      <c r="BF55" s="40"/>
      <c r="BG55" s="40"/>
      <c r="BH55" s="32"/>
    </row>
    <row r="56" spans="1:60" ht="14.25" hidden="1" customHeight="1" x14ac:dyDescent="0.35">
      <c r="A56" s="16">
        <v>45710</v>
      </c>
      <c r="B56" s="17">
        <f>+'BD MD'!B55</f>
        <v>47042220</v>
      </c>
      <c r="C56" s="17">
        <f t="shared" si="4"/>
        <v>2208107.7241379311</v>
      </c>
      <c r="D56" s="18">
        <f t="shared" si="26"/>
        <v>2.860724707677768E-2</v>
      </c>
      <c r="E56" s="17">
        <v>40534030</v>
      </c>
      <c r="F56" s="19">
        <v>46075</v>
      </c>
      <c r="G56" s="17">
        <f t="shared" si="6"/>
        <v>2692009.8936478598</v>
      </c>
      <c r="H56" s="17">
        <v>2171610.1335062198</v>
      </c>
      <c r="I56" s="17">
        <v>520399.76014164003</v>
      </c>
      <c r="J56" s="17">
        <v>1719612</v>
      </c>
      <c r="K56" s="17">
        <v>2371363</v>
      </c>
      <c r="L56" s="17">
        <v>22776.724137931</v>
      </c>
      <c r="M56" s="17">
        <f>18154+11801</f>
        <v>29955</v>
      </c>
      <c r="N56" s="17">
        <v>25877</v>
      </c>
      <c r="O56" s="17">
        <v>-835</v>
      </c>
      <c r="P56" s="17">
        <v>3459</v>
      </c>
      <c r="Q56" s="17">
        <v>361</v>
      </c>
      <c r="R56" s="17">
        <v>44179</v>
      </c>
      <c r="S56" s="17">
        <v>73803</v>
      </c>
      <c r="T56" s="17">
        <v>327055</v>
      </c>
      <c r="U56" s="17">
        <v>303085</v>
      </c>
      <c r="V56" s="17">
        <v>34049</v>
      </c>
      <c r="W56" s="17">
        <v>29461</v>
      </c>
      <c r="X56" s="17">
        <v>21382</v>
      </c>
      <c r="Y56" s="17">
        <v>21582</v>
      </c>
      <c r="Z56" s="17">
        <v>9718</v>
      </c>
      <c r="AA56" s="17">
        <v>4347</v>
      </c>
      <c r="AB56" s="17">
        <v>0</v>
      </c>
      <c r="AC56" s="17">
        <v>413</v>
      </c>
      <c r="AD56" s="17">
        <v>0</v>
      </c>
      <c r="AE56" s="17">
        <v>0</v>
      </c>
      <c r="AF56" s="17">
        <f t="shared" si="7"/>
        <v>2833535</v>
      </c>
      <c r="AG56" s="18">
        <f t="shared" si="8"/>
        <v>1.0525722831428246</v>
      </c>
      <c r="AH56" s="17">
        <f t="shared" si="9"/>
        <v>141525.1063521402</v>
      </c>
      <c r="AI56" s="20">
        <f t="shared" si="10"/>
        <v>0.11313551139709799</v>
      </c>
      <c r="AJ56" s="20">
        <f t="shared" si="11"/>
        <v>5.5149192652612408E-2</v>
      </c>
      <c r="AK56" s="21">
        <f t="shared" si="27"/>
        <v>6.9905089624693134E-2</v>
      </c>
      <c r="AL56" s="21">
        <f t="shared" si="13"/>
        <v>-0.12183039752776392</v>
      </c>
      <c r="AM56" s="31"/>
      <c r="AO56" s="38">
        <f t="shared" si="14"/>
        <v>46075</v>
      </c>
      <c r="AP56" s="17">
        <f>+Tabla22[[#This Row],[Web + APP 2025]]+Tabla22[[#This Row],[Afiliados 2025]]+Tabla22[[#This Row],[TMK 2025]]+Tabla22[[#This Row],[WA 2025]]+Tabla22[[#This Row],[Ent. en Tienda 2025]]</f>
        <v>1815903.7241379309</v>
      </c>
      <c r="AQ56" s="17">
        <f>+Tabla22[[#This Row],[Meli Drop 2025]]+Tabla22[[#This Row],[Meli Full 2025]]+Tabla22[[#This Row],[Amazon Drop 2025]]+Tabla22[[#This Row],[Amazon Full 2025]]+Tabla22[[#This Row],[TikTok 2025]]+Tabla22[[#This Row],[Shein 2025]]</f>
        <v>392204</v>
      </c>
      <c r="AR56" s="17">
        <f t="shared" si="15"/>
        <v>2474647</v>
      </c>
      <c r="AS56" s="17">
        <f t="shared" si="16"/>
        <v>358888</v>
      </c>
      <c r="AT56" s="18">
        <f t="shared" si="17"/>
        <v>0.36276332665973032</v>
      </c>
      <c r="AU56" s="18">
        <f t="shared" si="18"/>
        <v>-8.4945589540137312E-2</v>
      </c>
      <c r="AV56" s="17">
        <f t="shared" si="19"/>
        <v>2171610.1335062198</v>
      </c>
      <c r="AW56" s="17">
        <f t="shared" si="20"/>
        <v>520399.76014164003</v>
      </c>
      <c r="AX56" s="39">
        <f t="shared" si="21"/>
        <v>1.1395447837612112</v>
      </c>
      <c r="AY56" s="39">
        <f t="shared" si="22"/>
        <v>0.68963905729379948</v>
      </c>
      <c r="AZ56" s="39">
        <f t="shared" si="23"/>
        <v>1.0525722831428246</v>
      </c>
      <c r="BA56" s="18">
        <v>3.7171411438688601E-2</v>
      </c>
      <c r="BB56" s="20">
        <v>2.7251182138193601E-2</v>
      </c>
      <c r="BC56" s="17">
        <f t="shared" si="24"/>
        <v>303036.86649378017</v>
      </c>
      <c r="BD56" s="17">
        <f t="shared" si="25"/>
        <v>-161511.76014164003</v>
      </c>
      <c r="BE56" s="32"/>
      <c r="BF56" s="40"/>
      <c r="BG56" s="40"/>
      <c r="BH56" s="32"/>
    </row>
    <row r="57" spans="1:60" ht="14.25" hidden="1" customHeight="1" x14ac:dyDescent="0.35">
      <c r="A57" s="19">
        <v>45711</v>
      </c>
      <c r="B57" s="17">
        <f>+'BD MD'!B56</f>
        <v>46157405</v>
      </c>
      <c r="C57" s="17">
        <f t="shared" si="4"/>
        <v>2545543.6206896552</v>
      </c>
      <c r="D57" s="18">
        <f t="shared" si="26"/>
        <v>3.2978914255740989E-2</v>
      </c>
      <c r="E57" s="17">
        <v>22062756</v>
      </c>
      <c r="F57" s="19">
        <v>46076</v>
      </c>
      <c r="G57" s="17">
        <f t="shared" si="6"/>
        <v>3100444.4031627239</v>
      </c>
      <c r="H57" s="17">
        <v>2530401.5067299199</v>
      </c>
      <c r="I57" s="17">
        <v>570042.89643280394</v>
      </c>
      <c r="J57" s="17">
        <v>1980647</v>
      </c>
      <c r="K57" s="17">
        <v>3389716</v>
      </c>
      <c r="L57" s="17">
        <v>20783.620689655199</v>
      </c>
      <c r="M57" s="17">
        <f>12794+10935</f>
        <v>23729</v>
      </c>
      <c r="N57" s="17">
        <v>20320</v>
      </c>
      <c r="O57" s="17">
        <v>28866</v>
      </c>
      <c r="P57" s="17">
        <v>1308</v>
      </c>
      <c r="Q57" s="17">
        <v>2677</v>
      </c>
      <c r="R57" s="17">
        <v>92867</v>
      </c>
      <c r="S57" s="17">
        <v>76508</v>
      </c>
      <c r="T57" s="17">
        <v>375118</v>
      </c>
      <c r="U57" s="17">
        <v>327888</v>
      </c>
      <c r="V57" s="17">
        <v>29980</v>
      </c>
      <c r="W57" s="17">
        <v>34023</v>
      </c>
      <c r="X57" s="17">
        <v>15301</v>
      </c>
      <c r="Y57" s="17">
        <v>20904</v>
      </c>
      <c r="Z57" s="17">
        <v>9219</v>
      </c>
      <c r="AA57" s="17">
        <v>3447</v>
      </c>
      <c r="AB57" s="17">
        <v>0</v>
      </c>
      <c r="AC57" s="17">
        <v>430</v>
      </c>
      <c r="AD57" s="17">
        <v>0</v>
      </c>
      <c r="AE57" s="17">
        <v>0</v>
      </c>
      <c r="AF57" s="17">
        <f t="shared" si="7"/>
        <v>3908188</v>
      </c>
      <c r="AG57" s="18">
        <f t="shared" si="8"/>
        <v>1.2605251027927826</v>
      </c>
      <c r="AH57" s="17">
        <f t="shared" si="9"/>
        <v>807743.59683727613</v>
      </c>
      <c r="AI57" s="20">
        <f t="shared" si="10"/>
        <v>0.17535265131514843</v>
      </c>
      <c r="AJ57" s="20">
        <f t="shared" si="11"/>
        <v>0.12579301541915833</v>
      </c>
      <c r="AK57" s="21">
        <f t="shared" si="27"/>
        <v>0.17713961030072581</v>
      </c>
      <c r="AL57" s="21">
        <f t="shared" si="13"/>
        <v>-0.16534108921865864</v>
      </c>
      <c r="AM57" s="31"/>
      <c r="AO57" s="38">
        <f t="shared" si="14"/>
        <v>46076</v>
      </c>
      <c r="AP57" s="17">
        <f>+Tabla22[[#This Row],[Web + APP 2025]]+Tabla22[[#This Row],[Afiliados 2025]]+Tabla22[[#This Row],[TMK 2025]]+Tabla22[[#This Row],[WA 2025]]+Tabla22[[#This Row],[Ent. en Tienda 2025]]</f>
        <v>2115925.6206896552</v>
      </c>
      <c r="AQ57" s="17">
        <f>+Tabla22[[#This Row],[Meli Drop 2025]]+Tabla22[[#This Row],[Meli Full 2025]]+Tabla22[[#This Row],[Amazon Drop 2025]]+Tabla22[[#This Row],[Amazon Full 2025]]+Tabla22[[#This Row],[TikTok 2025]]+Tabla22[[#This Row],[Shein 2025]]</f>
        <v>429618</v>
      </c>
      <c r="AR57" s="17">
        <f t="shared" si="15"/>
        <v>3521496</v>
      </c>
      <c r="AS57" s="17">
        <f t="shared" si="16"/>
        <v>386692</v>
      </c>
      <c r="AT57" s="18">
        <f t="shared" si="17"/>
        <v>0.66428156338133459</v>
      </c>
      <c r="AU57" s="18">
        <f t="shared" si="18"/>
        <v>-9.9916670158140541E-2</v>
      </c>
      <c r="AV57" s="17">
        <f t="shared" si="19"/>
        <v>2530401.5067299199</v>
      </c>
      <c r="AW57" s="17">
        <f t="shared" si="20"/>
        <v>570042.89643280394</v>
      </c>
      <c r="AX57" s="39">
        <f t="shared" si="21"/>
        <v>1.3916747957326694</v>
      </c>
      <c r="AY57" s="39">
        <f t="shared" si="22"/>
        <v>0.67835596657695185</v>
      </c>
      <c r="AZ57" s="39">
        <f t="shared" si="23"/>
        <v>1.2605251027927826</v>
      </c>
      <c r="BA57" s="18">
        <v>4.0717349745200297E-2</v>
      </c>
      <c r="BB57" s="20">
        <v>3.1753596687874003E-2</v>
      </c>
      <c r="BC57" s="17">
        <f t="shared" si="24"/>
        <v>991094.49327008007</v>
      </c>
      <c r="BD57" s="17">
        <f t="shared" si="25"/>
        <v>-183350.89643280394</v>
      </c>
      <c r="BE57" s="32"/>
      <c r="BF57" s="40"/>
      <c r="BG57" s="40"/>
      <c r="BH57" s="32"/>
    </row>
    <row r="58" spans="1:60" ht="14.25" hidden="1" customHeight="1" x14ac:dyDescent="0.35">
      <c r="A58" s="16">
        <v>45712</v>
      </c>
      <c r="B58" s="17">
        <f>+'BD MD'!B57</f>
        <v>26433260</v>
      </c>
      <c r="C58" s="17">
        <f t="shared" si="4"/>
        <v>3325119.4827586208</v>
      </c>
      <c r="D58" s="18">
        <f t="shared" si="26"/>
        <v>4.307874727453341E-2</v>
      </c>
      <c r="E58" s="17">
        <v>27778475</v>
      </c>
      <c r="F58" s="19">
        <v>46077</v>
      </c>
      <c r="G58" s="17">
        <f t="shared" si="6"/>
        <v>4033025.0340803908</v>
      </c>
      <c r="H58" s="17">
        <v>3459959.5507958401</v>
      </c>
      <c r="I58" s="17">
        <v>573065.48328455095</v>
      </c>
      <c r="J58" s="17">
        <v>2773046</v>
      </c>
      <c r="K58" s="17">
        <v>3790804</v>
      </c>
      <c r="L58" s="17">
        <v>19384.482758620699</v>
      </c>
      <c r="M58" s="17">
        <f>11627+12049</f>
        <v>23676</v>
      </c>
      <c r="N58" s="17">
        <v>44133</v>
      </c>
      <c r="O58" s="17">
        <v>53511</v>
      </c>
      <c r="P58" s="17">
        <v>1728</v>
      </c>
      <c r="Q58" s="17">
        <v>3950</v>
      </c>
      <c r="R58" s="17">
        <v>54932</v>
      </c>
      <c r="S58" s="17">
        <v>71433</v>
      </c>
      <c r="T58" s="17">
        <v>362431</v>
      </c>
      <c r="U58" s="17">
        <v>328991</v>
      </c>
      <c r="V58" s="17">
        <v>32310</v>
      </c>
      <c r="W58" s="17">
        <v>44374</v>
      </c>
      <c r="X58" s="17">
        <v>32251</v>
      </c>
      <c r="Y58" s="17">
        <v>15412</v>
      </c>
      <c r="Z58" s="17">
        <v>4904</v>
      </c>
      <c r="AA58" s="17">
        <v>2538</v>
      </c>
      <c r="AB58" s="17">
        <v>0</v>
      </c>
      <c r="AC58" s="17">
        <v>-680</v>
      </c>
      <c r="AD58" s="17">
        <v>0</v>
      </c>
      <c r="AE58" s="17">
        <v>0</v>
      </c>
      <c r="AF58" s="17">
        <f t="shared" si="7"/>
        <v>4334009</v>
      </c>
      <c r="AG58" s="18">
        <f t="shared" si="8"/>
        <v>1.0746298283239493</v>
      </c>
      <c r="AH58" s="17">
        <f t="shared" si="9"/>
        <v>300983.96591960918</v>
      </c>
      <c r="AI58" s="20">
        <f t="shared" si="10"/>
        <v>0.14375854625265472</v>
      </c>
      <c r="AJ58" s="20">
        <f t="shared" si="11"/>
        <v>0.12892126095068315</v>
      </c>
      <c r="AK58" s="21">
        <f t="shared" si="27"/>
        <v>0.15602040788776203</v>
      </c>
      <c r="AL58" s="21">
        <f t="shared" si="13"/>
        <v>-5.4900599208223211E-2</v>
      </c>
      <c r="AM58" s="31"/>
      <c r="AO58" s="38">
        <f t="shared" si="14"/>
        <v>46077</v>
      </c>
      <c r="AP58" s="17">
        <f>+Tabla22[[#This Row],[Web + APP 2025]]+Tabla22[[#This Row],[Afiliados 2025]]+Tabla22[[#This Row],[TMK 2025]]+Tabla22[[#This Row],[WA 2025]]+Tabla22[[#This Row],[Ent. en Tienda 2025]]</f>
        <v>2893223.4827586208</v>
      </c>
      <c r="AQ58" s="17">
        <f>+Tabla22[[#This Row],[Meli Drop 2025]]+Tabla22[[#This Row],[Meli Full 2025]]+Tabla22[[#This Row],[Amazon Drop 2025]]+Tabla22[[#This Row],[Amazon Full 2025]]+Tabla22[[#This Row],[TikTok 2025]]+Tabla22[[#This Row],[Shein 2025]]</f>
        <v>431896</v>
      </c>
      <c r="AR58" s="17">
        <f t="shared" si="15"/>
        <v>3943374</v>
      </c>
      <c r="AS58" s="17">
        <f t="shared" si="16"/>
        <v>390635</v>
      </c>
      <c r="AT58" s="18">
        <f t="shared" si="17"/>
        <v>0.36296902866282754</v>
      </c>
      <c r="AU58" s="18">
        <f t="shared" si="18"/>
        <v>-9.5534573137977641E-2</v>
      </c>
      <c r="AV58" s="17">
        <f t="shared" si="19"/>
        <v>3459959.5507958401</v>
      </c>
      <c r="AW58" s="17">
        <f t="shared" si="20"/>
        <v>573065.48328455095</v>
      </c>
      <c r="AX58" s="39">
        <f t="shared" si="21"/>
        <v>1.1397167920916786</v>
      </c>
      <c r="AY58" s="39">
        <f t="shared" si="22"/>
        <v>0.68165857374807792</v>
      </c>
      <c r="AZ58" s="39">
        <f t="shared" si="23"/>
        <v>1.0746298283239493</v>
      </c>
      <c r="BA58" s="18">
        <v>4.0933248806039303E-2</v>
      </c>
      <c r="BB58" s="20">
        <v>4.3418469298301503E-2</v>
      </c>
      <c r="BC58" s="17">
        <f t="shared" si="24"/>
        <v>483414.4492041599</v>
      </c>
      <c r="BD58" s="17">
        <f t="shared" si="25"/>
        <v>-182430.48328455095</v>
      </c>
      <c r="BE58" s="32"/>
      <c r="BF58" s="40"/>
      <c r="BG58" s="40"/>
      <c r="BH58" s="32"/>
    </row>
    <row r="59" spans="1:60" ht="14.25" hidden="1" customHeight="1" x14ac:dyDescent="0.35">
      <c r="A59" s="19">
        <v>45713</v>
      </c>
      <c r="B59" s="17">
        <f>+'BD MD'!B58</f>
        <v>29392120</v>
      </c>
      <c r="C59" s="17">
        <f t="shared" si="4"/>
        <v>3789269.1724137929</v>
      </c>
      <c r="D59" s="18">
        <f t="shared" si="26"/>
        <v>4.9092061166526195E-2</v>
      </c>
      <c r="E59" s="17">
        <v>31602573</v>
      </c>
      <c r="F59" s="19">
        <v>46078</v>
      </c>
      <c r="G59" s="17">
        <f t="shared" si="6"/>
        <v>4584999.7645929968</v>
      </c>
      <c r="H59" s="17">
        <v>4043282.6733011501</v>
      </c>
      <c r="I59" s="17">
        <v>541717.09129184706</v>
      </c>
      <c r="J59" s="17">
        <v>3237704</v>
      </c>
      <c r="K59" s="17">
        <v>3614722</v>
      </c>
      <c r="L59" s="17">
        <v>19955.172413793101</v>
      </c>
      <c r="M59" s="17">
        <f>16122+15095</f>
        <v>31217</v>
      </c>
      <c r="N59" s="17">
        <v>86781</v>
      </c>
      <c r="O59" s="17">
        <v>80631</v>
      </c>
      <c r="P59" s="17">
        <v>8087</v>
      </c>
      <c r="Q59" s="17">
        <v>-491</v>
      </c>
      <c r="R59" s="17">
        <v>28472</v>
      </c>
      <c r="S59" s="17">
        <v>33888</v>
      </c>
      <c r="T59" s="17">
        <v>347028</v>
      </c>
      <c r="U59" s="17">
        <v>578952</v>
      </c>
      <c r="V59" s="17">
        <v>43531</v>
      </c>
      <c r="W59" s="17">
        <v>54562</v>
      </c>
      <c r="X59" s="17">
        <v>10995</v>
      </c>
      <c r="Y59" s="17">
        <v>28200</v>
      </c>
      <c r="Z59" s="17">
        <v>6716</v>
      </c>
      <c r="AA59" s="17">
        <v>5951</v>
      </c>
      <c r="AB59" s="17">
        <v>0</v>
      </c>
      <c r="AC59" s="17">
        <v>7009</v>
      </c>
      <c r="AD59" s="17">
        <v>0</v>
      </c>
      <c r="AE59" s="17">
        <v>775</v>
      </c>
      <c r="AF59" s="17">
        <f t="shared" si="7"/>
        <v>4435416</v>
      </c>
      <c r="AG59" s="18">
        <f t="shared" si="8"/>
        <v>0.9673754040843936</v>
      </c>
      <c r="AH59" s="17">
        <f t="shared" si="9"/>
        <v>-149583.7645929968</v>
      </c>
      <c r="AI59" s="20">
        <f t="shared" si="10"/>
        <v>0.2920539899438479</v>
      </c>
      <c r="AJ59" s="20">
        <f t="shared" si="11"/>
        <v>0.10405971627835511</v>
      </c>
      <c r="AK59" s="21">
        <f t="shared" si="27"/>
        <v>0.14034983797047157</v>
      </c>
      <c r="AL59" s="21">
        <f t="shared" si="13"/>
        <v>-4.2031159037313692E-2</v>
      </c>
      <c r="AM59" s="31"/>
      <c r="AO59" s="38">
        <f t="shared" si="14"/>
        <v>46078</v>
      </c>
      <c r="AP59" s="17">
        <f>+Tabla22[[#This Row],[Web + APP 2025]]+Tabla22[[#This Row],[Afiliados 2025]]+Tabla22[[#This Row],[TMK 2025]]+Tabla22[[#This Row],[WA 2025]]+Tabla22[[#This Row],[Ent. en Tienda 2025]]</f>
        <v>3380999.1724137929</v>
      </c>
      <c r="AQ59" s="17">
        <f>+Tabla22[[#This Row],[Meli Drop 2025]]+Tabla22[[#This Row],[Meli Full 2025]]+Tabla22[[#This Row],[Amazon Drop 2025]]+Tabla22[[#This Row],[Amazon Full 2025]]+Tabla22[[#This Row],[TikTok 2025]]+Tabla22[[#This Row],[Shein 2025]]</f>
        <v>408270</v>
      </c>
      <c r="AR59" s="17">
        <f t="shared" si="15"/>
        <v>3759967</v>
      </c>
      <c r="AS59" s="17">
        <f t="shared" si="16"/>
        <v>675449</v>
      </c>
      <c r="AT59" s="18">
        <f t="shared" si="17"/>
        <v>0.11208752450408066</v>
      </c>
      <c r="AU59" s="18">
        <f t="shared" si="18"/>
        <v>0.65441741984471058</v>
      </c>
      <c r="AV59" s="17">
        <f t="shared" si="19"/>
        <v>4043282.6733011501</v>
      </c>
      <c r="AW59" s="17">
        <f t="shared" si="20"/>
        <v>541717.09129184706</v>
      </c>
      <c r="AX59" s="39">
        <f t="shared" si="21"/>
        <v>0.92992929354854226</v>
      </c>
      <c r="AY59" s="39">
        <f t="shared" si="22"/>
        <v>1.2468666963954174</v>
      </c>
      <c r="AZ59" s="39">
        <f t="shared" si="23"/>
        <v>0.9673754040843936</v>
      </c>
      <c r="BA59" s="18">
        <v>3.86940779494176E-2</v>
      </c>
      <c r="BB59" s="20">
        <v>5.0738496227419903E-2</v>
      </c>
      <c r="BC59" s="17">
        <f t="shared" si="24"/>
        <v>-283315.67330115009</v>
      </c>
      <c r="BD59" s="17">
        <f t="shared" si="25"/>
        <v>133731.90870815294</v>
      </c>
      <c r="BE59" s="32"/>
      <c r="BF59" s="40"/>
      <c r="BG59" s="40"/>
      <c r="BH59" s="32"/>
    </row>
    <row r="60" spans="1:60" ht="14.25" hidden="1" customHeight="1" x14ac:dyDescent="0.35">
      <c r="A60" s="16">
        <v>45714</v>
      </c>
      <c r="B60" s="17">
        <f>+'BD MD'!B59</f>
        <v>32989145</v>
      </c>
      <c r="C60" s="17">
        <f t="shared" si="4"/>
        <v>3432841.068965517</v>
      </c>
      <c r="D60" s="18">
        <f t="shared" si="26"/>
        <v>4.4474339526866198E-2</v>
      </c>
      <c r="E60" s="17">
        <v>36200123</v>
      </c>
      <c r="F60" s="19">
        <v>46079</v>
      </c>
      <c r="G60" s="17">
        <f t="shared" si="6"/>
        <v>4156960.4456820181</v>
      </c>
      <c r="H60" s="17">
        <v>3633404.08583875</v>
      </c>
      <c r="I60" s="17">
        <v>523556.359843268</v>
      </c>
      <c r="J60" s="17">
        <v>2904631</v>
      </c>
      <c r="K60" s="17">
        <v>2872787</v>
      </c>
      <c r="L60" s="17">
        <v>19587.068965517199</v>
      </c>
      <c r="M60" s="17">
        <f>12579+13284</f>
        <v>25863</v>
      </c>
      <c r="N60" s="17">
        <v>64657</v>
      </c>
      <c r="O60" s="17">
        <v>7979</v>
      </c>
      <c r="P60" s="17">
        <v>3724</v>
      </c>
      <c r="Q60" s="17">
        <v>0</v>
      </c>
      <c r="R60" s="17">
        <v>45659</v>
      </c>
      <c r="S60" s="17">
        <v>126103</v>
      </c>
      <c r="T60" s="17">
        <v>329946</v>
      </c>
      <c r="U60" s="17">
        <v>530958</v>
      </c>
      <c r="V60" s="17">
        <v>38488</v>
      </c>
      <c r="W60" s="17">
        <v>91753</v>
      </c>
      <c r="X60" s="17">
        <v>17323</v>
      </c>
      <c r="Y60" s="17">
        <v>15632</v>
      </c>
      <c r="Z60" s="17">
        <v>8826</v>
      </c>
      <c r="AA60" s="17">
        <v>4939</v>
      </c>
      <c r="AB60" s="17">
        <v>0</v>
      </c>
      <c r="AC60" s="17">
        <v>5544</v>
      </c>
      <c r="AD60" s="17">
        <v>0</v>
      </c>
      <c r="AE60" s="17">
        <v>0</v>
      </c>
      <c r="AF60" s="17">
        <f t="shared" si="7"/>
        <v>3681558</v>
      </c>
      <c r="AG60" s="18">
        <f t="shared" si="8"/>
        <v>0.88563700523640165</v>
      </c>
      <c r="AH60" s="17">
        <f t="shared" si="9"/>
        <v>-475402.44568201806</v>
      </c>
      <c r="AI60" s="20">
        <f t="shared" si="10"/>
        <v>0.21363309419086285</v>
      </c>
      <c r="AJ60" s="20">
        <f t="shared" si="11"/>
        <v>8.2068617583025028E-2</v>
      </c>
      <c r="AK60" s="21">
        <f t="shared" si="27"/>
        <v>0.10170015168180506</v>
      </c>
      <c r="AL60" s="21">
        <f t="shared" si="13"/>
        <v>-2.0638724267775688E-2</v>
      </c>
      <c r="AM60" s="31"/>
      <c r="AO60" s="38">
        <f t="shared" si="14"/>
        <v>46079</v>
      </c>
      <c r="AP60" s="17">
        <f>+Tabla22[[#This Row],[Web + APP 2025]]+Tabla22[[#This Row],[Afiliados 2025]]+Tabla22[[#This Row],[TMK 2025]]+Tabla22[[#This Row],[WA 2025]]+Tabla22[[#This Row],[Ent. en Tienda 2025]]</f>
        <v>3038258.068965517</v>
      </c>
      <c r="AQ60" s="17">
        <f>+Tabla22[[#This Row],[Meli Drop 2025]]+Tabla22[[#This Row],[Meli Full 2025]]+Tabla22[[#This Row],[Amazon Drop 2025]]+Tabla22[[#This Row],[Amazon Full 2025]]+Tabla22[[#This Row],[TikTok 2025]]+Tabla22[[#This Row],[Shein 2025]]</f>
        <v>394583</v>
      </c>
      <c r="AR60" s="17">
        <f t="shared" si="15"/>
        <v>3032732</v>
      </c>
      <c r="AS60" s="17">
        <f t="shared" si="16"/>
        <v>648826</v>
      </c>
      <c r="AT60" s="18">
        <f t="shared" si="17"/>
        <v>-1.8188280389883626E-3</v>
      </c>
      <c r="AU60" s="18">
        <f t="shared" si="18"/>
        <v>0.64433338486452785</v>
      </c>
      <c r="AV60" s="17">
        <f t="shared" si="19"/>
        <v>3633404.08583875</v>
      </c>
      <c r="AW60" s="17">
        <f t="shared" si="20"/>
        <v>523556.359843268</v>
      </c>
      <c r="AX60" s="39">
        <f t="shared" si="21"/>
        <v>0.83468062685901656</v>
      </c>
      <c r="AY60" s="39">
        <f t="shared" si="22"/>
        <v>1.2392667719559987</v>
      </c>
      <c r="AZ60" s="39">
        <f t="shared" si="23"/>
        <v>0.88563700523640165</v>
      </c>
      <c r="BA60" s="18">
        <v>3.73968828459477E-2</v>
      </c>
      <c r="BB60" s="20">
        <v>4.5594996540646297E-2</v>
      </c>
      <c r="BC60" s="17">
        <f t="shared" si="24"/>
        <v>-600672.08583875</v>
      </c>
      <c r="BD60" s="17">
        <f t="shared" si="25"/>
        <v>125269.640156732</v>
      </c>
      <c r="BE60" s="32"/>
      <c r="BF60" s="40"/>
      <c r="BG60" s="40"/>
      <c r="BH60" s="32"/>
    </row>
    <row r="61" spans="1:60" ht="14.25" hidden="1" customHeight="1" x14ac:dyDescent="0.35">
      <c r="A61" s="19">
        <v>45715</v>
      </c>
      <c r="B61" s="17">
        <f>+'BD MD'!B60</f>
        <v>36962992</v>
      </c>
      <c r="C61" s="17">
        <f t="shared" si="4"/>
        <v>3033501.6551724137</v>
      </c>
      <c r="D61" s="18">
        <f t="shared" si="26"/>
        <v>3.9300678317771467E-2</v>
      </c>
      <c r="E61" s="17">
        <v>42656916</v>
      </c>
      <c r="F61" s="19">
        <v>46080</v>
      </c>
      <c r="G61" s="17">
        <f t="shared" si="6"/>
        <v>3684333.3300469159</v>
      </c>
      <c r="H61" s="17">
        <v>3110767.62058014</v>
      </c>
      <c r="I61" s="17">
        <v>573565.709466776</v>
      </c>
      <c r="J61" s="17">
        <v>2452213</v>
      </c>
      <c r="K61" s="17">
        <v>2328816</v>
      </c>
      <c r="L61" s="17">
        <v>20014.655172413801</v>
      </c>
      <c r="M61" s="17">
        <f>11774+8876</f>
        <v>20650</v>
      </c>
      <c r="N61" s="17">
        <v>22443</v>
      </c>
      <c r="O61" s="17">
        <v>23531</v>
      </c>
      <c r="P61" s="17">
        <v>8872</v>
      </c>
      <c r="Q61" s="17">
        <v>6440</v>
      </c>
      <c r="R61" s="17">
        <v>97686</v>
      </c>
      <c r="S61" s="17">
        <v>122038</v>
      </c>
      <c r="T61" s="17">
        <v>371645</v>
      </c>
      <c r="U61" s="17">
        <v>450008</v>
      </c>
      <c r="V61" s="17">
        <v>41902</v>
      </c>
      <c r="W61" s="17">
        <v>106960</v>
      </c>
      <c r="X61" s="17">
        <v>12405</v>
      </c>
      <c r="Y61" s="17">
        <v>15315</v>
      </c>
      <c r="Z61" s="17">
        <v>6321</v>
      </c>
      <c r="AA61" s="17">
        <v>3641</v>
      </c>
      <c r="AB61" s="17">
        <v>0</v>
      </c>
      <c r="AC61" s="17">
        <v>2547</v>
      </c>
      <c r="AD61" s="17">
        <v>0</v>
      </c>
      <c r="AE61" s="17">
        <v>775</v>
      </c>
      <c r="AF61" s="17">
        <f t="shared" si="7"/>
        <v>3080721</v>
      </c>
      <c r="AG61" s="18">
        <f t="shared" si="8"/>
        <v>0.83616782848493532</v>
      </c>
      <c r="AH61" s="17">
        <f t="shared" si="9"/>
        <v>-603612.33004691591</v>
      </c>
      <c r="AI61" s="20">
        <f t="shared" si="10"/>
        <v>0.2786062921043817</v>
      </c>
      <c r="AJ61" s="20">
        <f t="shared" si="11"/>
        <v>5.6436306533633455E-2</v>
      </c>
      <c r="AK61" s="21">
        <f t="shared" si="27"/>
        <v>7.2220903170777742E-2</v>
      </c>
      <c r="AL61" s="21">
        <f t="shared" si="13"/>
        <v>-8.4582899216778529E-4</v>
      </c>
      <c r="AM61" s="31"/>
      <c r="AO61" s="38">
        <f t="shared" si="14"/>
        <v>46080</v>
      </c>
      <c r="AP61" s="17">
        <f>+Tabla22[[#This Row],[Web + APP 2025]]+Tabla22[[#This Row],[Afiliados 2025]]+Tabla22[[#This Row],[TMK 2025]]+Tabla22[[#This Row],[WA 2025]]+Tabla22[[#This Row],[Ent. en Tienda 2025]]</f>
        <v>2601228.6551724137</v>
      </c>
      <c r="AQ61" s="17">
        <f>+Tabla22[[#This Row],[Meli Drop 2025]]+Tabla22[[#This Row],[Meli Full 2025]]+Tabla22[[#This Row],[Amazon Drop 2025]]+Tabla22[[#This Row],[Amazon Full 2025]]+Tabla22[[#This Row],[TikTok 2025]]+Tabla22[[#This Row],[Shein 2025]]</f>
        <v>432273</v>
      </c>
      <c r="AR61" s="17">
        <f t="shared" si="15"/>
        <v>2501475</v>
      </c>
      <c r="AS61" s="17">
        <f t="shared" si="16"/>
        <v>579246</v>
      </c>
      <c r="AT61" s="18">
        <f t="shared" si="17"/>
        <v>-3.8348668416387954E-2</v>
      </c>
      <c r="AU61" s="18">
        <f t="shared" si="18"/>
        <v>0.34000041640352285</v>
      </c>
      <c r="AV61" s="17">
        <f t="shared" si="19"/>
        <v>3110767.62058014</v>
      </c>
      <c r="AW61" s="17">
        <f t="shared" si="20"/>
        <v>573565.709466776</v>
      </c>
      <c r="AX61" s="39">
        <f t="shared" si="21"/>
        <v>0.80413431831127569</v>
      </c>
      <c r="AY61" s="39">
        <f t="shared" si="22"/>
        <v>1.0099034695405775</v>
      </c>
      <c r="AZ61" s="39">
        <f t="shared" si="23"/>
        <v>0.83616782848493532</v>
      </c>
      <c r="BA61" s="18">
        <v>4.0968979247626797E-2</v>
      </c>
      <c r="BB61" s="20">
        <v>3.90365165966296E-2</v>
      </c>
      <c r="BC61" s="17">
        <f t="shared" si="24"/>
        <v>-609292.62058014004</v>
      </c>
      <c r="BD61" s="17">
        <f t="shared" si="25"/>
        <v>5680.2905332240043</v>
      </c>
      <c r="BE61" s="32"/>
      <c r="BF61" s="40"/>
      <c r="BG61" s="40"/>
      <c r="BH61" s="32"/>
    </row>
    <row r="62" spans="1:60" ht="14.25" hidden="1" customHeight="1" x14ac:dyDescent="0.35">
      <c r="A62" s="16">
        <v>45716</v>
      </c>
      <c r="B62" s="17">
        <f>+'BD MD'!B61</f>
        <v>42693027</v>
      </c>
      <c r="C62" s="17">
        <f t="shared" si="4"/>
        <v>2409436.7586206896</v>
      </c>
      <c r="D62" s="18">
        <f t="shared" si="26"/>
        <v>3.1215575180618686E-2</v>
      </c>
      <c r="E62" s="17">
        <v>51597186</v>
      </c>
      <c r="F62" s="19">
        <v>46081</v>
      </c>
      <c r="G62" s="17">
        <f t="shared" si="6"/>
        <v>2942144.765420862</v>
      </c>
      <c r="H62" s="17">
        <v>2326834.7166464399</v>
      </c>
      <c r="I62" s="17">
        <v>615310.04877442203</v>
      </c>
      <c r="J62" s="17">
        <v>1747242</v>
      </c>
      <c r="K62" s="17">
        <v>2298757</v>
      </c>
      <c r="L62" s="17">
        <v>17482.758620689699</v>
      </c>
      <c r="M62" s="17">
        <f>17672+10634</f>
        <v>28306</v>
      </c>
      <c r="N62" s="17">
        <v>73006</v>
      </c>
      <c r="O62" s="17">
        <v>7846</v>
      </c>
      <c r="P62" s="17">
        <v>3125</v>
      </c>
      <c r="Q62" s="17">
        <v>0</v>
      </c>
      <c r="R62" s="17">
        <v>104847</v>
      </c>
      <c r="S62" s="17">
        <v>67232</v>
      </c>
      <c r="T62" s="17">
        <v>394351</v>
      </c>
      <c r="U62" s="17">
        <v>415460</v>
      </c>
      <c r="V62" s="17">
        <v>40984</v>
      </c>
      <c r="W62" s="17">
        <v>103810</v>
      </c>
      <c r="X62" s="17">
        <v>18424</v>
      </c>
      <c r="Y62" s="17">
        <v>16109</v>
      </c>
      <c r="Z62" s="17">
        <v>9975</v>
      </c>
      <c r="AA62" s="17">
        <v>3746</v>
      </c>
      <c r="AB62" s="17">
        <v>0</v>
      </c>
      <c r="AC62" s="17">
        <v>-5</v>
      </c>
      <c r="AD62" s="17">
        <v>0</v>
      </c>
      <c r="AE62" s="17">
        <v>1895</v>
      </c>
      <c r="AF62" s="17">
        <f t="shared" si="7"/>
        <v>2943156</v>
      </c>
      <c r="AG62" s="18">
        <f t="shared" si="8"/>
        <v>1.000343706601736</v>
      </c>
      <c r="AH62" s="17">
        <f t="shared" si="9"/>
        <v>1011.2345791379921</v>
      </c>
      <c r="AI62" s="20">
        <f t="shared" si="10"/>
        <v>0.42723697090105572</v>
      </c>
      <c r="AJ62" s="20">
        <f t="shared" si="11"/>
        <v>4.0564099050365177E-2</v>
      </c>
      <c r="AK62" s="21">
        <f t="shared" si="27"/>
        <v>5.7041017702011886E-2</v>
      </c>
      <c r="AL62" s="21">
        <f t="shared" si="13"/>
        <v>1.4964041462597999E-2</v>
      </c>
      <c r="AM62" s="31"/>
      <c r="AO62" s="38">
        <f t="shared" si="14"/>
        <v>46081</v>
      </c>
      <c r="AP62" s="17">
        <f>+Tabla22[[#This Row],[Web + APP 2025]]+Tabla22[[#This Row],[Afiliados 2025]]+Tabla22[[#This Row],[TMK 2025]]+Tabla22[[#This Row],[WA 2025]]+Tabla22[[#This Row],[Ent. en Tienda 2025]]</f>
        <v>1945702.7586206896</v>
      </c>
      <c r="AQ62" s="17">
        <f>+Tabla22[[#This Row],[Meli Drop 2025]]+Tabla22[[#This Row],[Meli Full 2025]]+Tabla22[[#This Row],[Amazon Drop 2025]]+Tabla22[[#This Row],[Amazon Full 2025]]+Tabla22[[#This Row],[TikTok 2025]]+Tabla22[[#This Row],[Shein 2025]]</f>
        <v>463734</v>
      </c>
      <c r="AR62" s="17">
        <f t="shared" si="15"/>
        <v>2402141</v>
      </c>
      <c r="AS62" s="17">
        <f t="shared" si="16"/>
        <v>541015</v>
      </c>
      <c r="AT62" s="18">
        <f t="shared" si="17"/>
        <v>0.23458785744996313</v>
      </c>
      <c r="AU62" s="18">
        <f t="shared" si="18"/>
        <v>0.16664941539762013</v>
      </c>
      <c r="AV62" s="17">
        <f t="shared" si="19"/>
        <v>2326834.7166464399</v>
      </c>
      <c r="AW62" s="17">
        <f t="shared" si="20"/>
        <v>615310.04877442203</v>
      </c>
      <c r="AX62" s="39">
        <f t="shared" si="21"/>
        <v>1.032364259831096</v>
      </c>
      <c r="AY62" s="39">
        <f t="shared" si="22"/>
        <v>0.87925591509125633</v>
      </c>
      <c r="AZ62" s="39">
        <f t="shared" si="23"/>
        <v>1.000343706601736</v>
      </c>
      <c r="BA62" s="18">
        <v>4.3950717769601598E-2</v>
      </c>
      <c r="BB62" s="20">
        <v>2.9199070169389E-2</v>
      </c>
      <c r="BC62" s="17">
        <f t="shared" si="24"/>
        <v>75306.283353560138</v>
      </c>
      <c r="BD62" s="17">
        <f t="shared" si="25"/>
        <v>-74295.04877442203</v>
      </c>
      <c r="BE62" s="32"/>
      <c r="BF62" s="40"/>
      <c r="BG62" s="40"/>
      <c r="BH62" s="32"/>
    </row>
    <row r="63" spans="1:60" ht="14.25" hidden="1" customHeight="1" x14ac:dyDescent="0.35">
      <c r="A63" s="16">
        <v>45717</v>
      </c>
      <c r="B63" s="17">
        <f>+'BD MD'!B62</f>
        <v>50836467</v>
      </c>
      <c r="C63" s="17">
        <f t="shared" si="4"/>
        <v>2062135.4827586208</v>
      </c>
      <c r="D63" s="18">
        <f t="shared" ref="D63:D93" si="28">+C63/(SUM($C$63:$C$93))</f>
        <v>2.2488732254430814E-2</v>
      </c>
      <c r="E63" s="17">
        <v>52843119</v>
      </c>
      <c r="F63" s="19">
        <v>46082</v>
      </c>
      <c r="G63" s="17">
        <f t="shared" si="6"/>
        <v>2805782.38479015</v>
      </c>
      <c r="H63" s="17">
        <v>2136915.38479015</v>
      </c>
      <c r="I63" s="17">
        <v>668867</v>
      </c>
      <c r="J63" s="17">
        <v>1522696</v>
      </c>
      <c r="K63" s="17">
        <v>2769749</v>
      </c>
      <c r="L63" s="17">
        <v>23759.482758620699</v>
      </c>
      <c r="M63" s="17">
        <f>19644+14270</f>
        <v>33914</v>
      </c>
      <c r="N63" s="17">
        <v>41023</v>
      </c>
      <c r="O63" s="17">
        <v>26512</v>
      </c>
      <c r="P63" s="17">
        <v>2722</v>
      </c>
      <c r="Q63" s="17">
        <v>0</v>
      </c>
      <c r="R63" s="17">
        <v>37541</v>
      </c>
      <c r="S63" s="17">
        <v>96454</v>
      </c>
      <c r="T63" s="17">
        <v>384483</v>
      </c>
      <c r="U63" s="17">
        <v>447295</v>
      </c>
      <c r="V63" s="17">
        <v>29795</v>
      </c>
      <c r="W63" s="17">
        <v>95383</v>
      </c>
      <c r="X63" s="17">
        <v>13746</v>
      </c>
      <c r="Y63" s="17">
        <v>21210</v>
      </c>
      <c r="Z63" s="17">
        <v>6370</v>
      </c>
      <c r="AA63" s="17">
        <v>3536</v>
      </c>
      <c r="AB63" s="17">
        <v>0</v>
      </c>
      <c r="AC63" s="17">
        <v>430</v>
      </c>
      <c r="AD63" s="17">
        <v>0</v>
      </c>
      <c r="AE63" s="17">
        <v>0</v>
      </c>
      <c r="AF63" s="17">
        <f t="shared" si="7"/>
        <v>3494483</v>
      </c>
      <c r="AG63" s="18">
        <f t="shared" si="8"/>
        <v>1.2454576017524464</v>
      </c>
      <c r="AH63" s="17">
        <f t="shared" si="9"/>
        <v>688700.61520985002</v>
      </c>
      <c r="AI63" s="20">
        <f t="shared" si="10"/>
        <v>0.31045607450207369</v>
      </c>
      <c r="AJ63" s="20">
        <f t="shared" si="11"/>
        <v>5.555161841927285E-2</v>
      </c>
      <c r="AK63" s="21">
        <f t="shared" si="27"/>
        <v>6.6129385738945501E-2</v>
      </c>
      <c r="AL63" s="21">
        <f t="shared" si="13"/>
        <v>0.1008412522284261</v>
      </c>
      <c r="AM63" s="31"/>
      <c r="AO63" s="38">
        <f t="shared" si="14"/>
        <v>46082</v>
      </c>
      <c r="AP63" s="17">
        <f>+Tabla22[[#This Row],[Web + APP 2025]]+Tabla22[[#This Row],[Afiliados 2025]]+Tabla22[[#This Row],[TMK 2025]]+Tabla22[[#This Row],[WA 2025]]+Tabla22[[#This Row],[Ent. en Tienda 2025]]</f>
        <v>1627741.4827586208</v>
      </c>
      <c r="AQ63" s="17">
        <f>+Tabla22[[#This Row],[Meli Drop 2025]]+Tabla22[[#This Row],[Meli Full 2025]]+Tabla22[[#This Row],[Amazon Drop 2025]]+Tabla22[[#This Row],[Amazon Full 2025]]+Tabla22[[#This Row],[TikTok 2025]]+Tabla22[[#This Row],[Shein 2025]]</f>
        <v>434394</v>
      </c>
      <c r="AR63" s="17">
        <f t="shared" si="15"/>
        <v>2926629</v>
      </c>
      <c r="AS63" s="17">
        <f t="shared" si="16"/>
        <v>567854</v>
      </c>
      <c r="AT63" s="18">
        <f t="shared" si="17"/>
        <v>0.79796916832277631</v>
      </c>
      <c r="AU63" s="18">
        <f t="shared" si="18"/>
        <v>0.30723260450190382</v>
      </c>
      <c r="AV63" s="17">
        <f t="shared" si="19"/>
        <v>2136915.38479015</v>
      </c>
      <c r="AW63" s="17">
        <f t="shared" si="20"/>
        <v>668867</v>
      </c>
      <c r="AX63" s="39">
        <f t="shared" si="21"/>
        <v>1.3695577376768251</v>
      </c>
      <c r="AY63" s="39">
        <f t="shared" si="22"/>
        <v>0.84897894499205373</v>
      </c>
      <c r="AZ63" s="39">
        <f t="shared" si="23"/>
        <v>1.2454576017524464</v>
      </c>
      <c r="BA63" s="18">
        <f t="shared" ref="BA63:BA93" si="29">+AQ63/(SUM($AQ$63:$AQ$93))</f>
        <v>2.587180213944415E-2</v>
      </c>
      <c r="BB63" s="20">
        <f t="shared" ref="BB63:BB93" si="30">+AP63/(SUM($AP$63:$AP$93))</f>
        <v>2.1730415409978016E-2</v>
      </c>
      <c r="BC63" s="17">
        <f t="shared" si="24"/>
        <v>789713.61520985002</v>
      </c>
      <c r="BD63" s="17">
        <f t="shared" si="25"/>
        <v>-101013</v>
      </c>
      <c r="BE63" s="41" t="s">
        <v>254</v>
      </c>
      <c r="BF63" s="42">
        <f>+AVERAGE(AQ63:AQ88)</f>
        <v>520899.34615384613</v>
      </c>
      <c r="BG63" s="42">
        <f>+AVERAGE(AS63:AS88)</f>
        <v>562175.38461538462</v>
      </c>
      <c r="BH63" s="43">
        <f>+BG63/BF63-1</f>
        <v>7.9239950609090837E-2</v>
      </c>
    </row>
    <row r="64" spans="1:60" ht="14.25" hidden="1" customHeight="1" x14ac:dyDescent="0.35">
      <c r="A64" s="19">
        <v>45718</v>
      </c>
      <c r="B64" s="17">
        <f>+'BD MD'!B63</f>
        <v>48002488</v>
      </c>
      <c r="C64" s="17">
        <f t="shared" si="4"/>
        <v>2666615.8965517241</v>
      </c>
      <c r="D64" s="18">
        <f t="shared" si="28"/>
        <v>2.9080926750136443E-2</v>
      </c>
      <c r="E64" s="17">
        <v>29862876</v>
      </c>
      <c r="F64" s="19">
        <v>46083</v>
      </c>
      <c r="G64" s="17">
        <f t="shared" si="6"/>
        <v>3622374.42120753</v>
      </c>
      <c r="H64" s="17">
        <v>2854571.42120753</v>
      </c>
      <c r="I64" s="17">
        <v>767803</v>
      </c>
      <c r="J64" s="17">
        <v>2021359</v>
      </c>
      <c r="K64" s="17">
        <v>3687641</v>
      </c>
      <c r="L64" s="17">
        <v>23281.896551724101</v>
      </c>
      <c r="M64" s="17">
        <v>26936</v>
      </c>
      <c r="N64" s="17">
        <v>3956</v>
      </c>
      <c r="O64" s="17">
        <v>15825</v>
      </c>
      <c r="P64" s="17">
        <v>7228</v>
      </c>
      <c r="Q64" s="17">
        <v>7457</v>
      </c>
      <c r="R64" s="17">
        <v>118573</v>
      </c>
      <c r="S64" s="17">
        <v>107185</v>
      </c>
      <c r="T64" s="17">
        <v>444525</v>
      </c>
      <c r="U64" s="17">
        <v>452113</v>
      </c>
      <c r="V64" s="17">
        <v>31189</v>
      </c>
      <c r="W64" s="17">
        <v>85564</v>
      </c>
      <c r="X64" s="17">
        <v>12849</v>
      </c>
      <c r="Y64" s="17">
        <v>6520</v>
      </c>
      <c r="Z64" s="17">
        <v>3655</v>
      </c>
      <c r="AA64" s="17">
        <v>4483</v>
      </c>
      <c r="AB64" s="17">
        <v>0</v>
      </c>
      <c r="AC64" s="17">
        <v>515</v>
      </c>
      <c r="AD64" s="17">
        <v>0</v>
      </c>
      <c r="AE64" s="17">
        <v>0</v>
      </c>
      <c r="AF64" s="17">
        <f t="shared" si="7"/>
        <v>4394239</v>
      </c>
      <c r="AG64" s="18">
        <f t="shared" si="8"/>
        <v>1.2130824948060357</v>
      </c>
      <c r="AH64" s="17">
        <f t="shared" si="9"/>
        <v>771864.57879247004</v>
      </c>
      <c r="AI64" s="20">
        <f t="shared" si="10"/>
        <v>0.22894204690263287</v>
      </c>
      <c r="AJ64" s="20">
        <f t="shared" si="11"/>
        <v>0.12385099496173829</v>
      </c>
      <c r="AK64" s="21">
        <f t="shared" si="27"/>
        <v>0.1471472138182538</v>
      </c>
      <c r="AL64" s="21">
        <f t="shared" si="13"/>
        <v>3.4377011359524756E-2</v>
      </c>
      <c r="AM64" s="31"/>
      <c r="AO64" s="38">
        <f t="shared" si="14"/>
        <v>46083</v>
      </c>
      <c r="AP64" s="17">
        <f>+Tabla22[[#This Row],[Web + APP 2025]]+Tabla22[[#This Row],[Afiliados 2025]]+Tabla22[[#This Row],[TMK 2025]]+Tabla22[[#This Row],[WA 2025]]+Tabla22[[#This Row],[Ent. en Tienda 2025]]</f>
        <v>2174397.8965517241</v>
      </c>
      <c r="AQ64" s="17">
        <f>+Tabla22[[#This Row],[Meli Drop 2025]]+Tabla22[[#This Row],[Meli Full 2025]]+Tabla22[[#This Row],[Amazon Drop 2025]]+Tabla22[[#This Row],[Amazon Full 2025]]+Tabla22[[#This Row],[TikTok 2025]]+Tabla22[[#This Row],[Shein 2025]]</f>
        <v>492218</v>
      </c>
      <c r="AR64" s="17">
        <f t="shared" si="15"/>
        <v>3845044</v>
      </c>
      <c r="AS64" s="17">
        <f t="shared" si="16"/>
        <v>549195</v>
      </c>
      <c r="AT64" s="18">
        <f t="shared" si="17"/>
        <v>0.76832584601818987</v>
      </c>
      <c r="AU64" s="18">
        <f t="shared" si="18"/>
        <v>0.11575562047710575</v>
      </c>
      <c r="AV64" s="17">
        <f t="shared" si="19"/>
        <v>2854571.42120753</v>
      </c>
      <c r="AW64" s="17">
        <f t="shared" si="20"/>
        <v>767803</v>
      </c>
      <c r="AX64" s="39">
        <f t="shared" si="21"/>
        <v>1.3469776833867004</v>
      </c>
      <c r="AY64" s="39">
        <f t="shared" si="22"/>
        <v>0.71528113331153953</v>
      </c>
      <c r="AZ64" s="39">
        <f t="shared" si="23"/>
        <v>1.2130824948060357</v>
      </c>
      <c r="BA64" s="18">
        <f t="shared" si="29"/>
        <v>2.9315705800432145E-2</v>
      </c>
      <c r="BB64" s="20">
        <f t="shared" si="30"/>
        <v>2.9028300905972672E-2</v>
      </c>
      <c r="BC64" s="17">
        <f t="shared" si="24"/>
        <v>990472.57879247004</v>
      </c>
      <c r="BD64" s="17">
        <f t="shared" si="25"/>
        <v>-218608</v>
      </c>
      <c r="BE64" s="41" t="s">
        <v>255</v>
      </c>
      <c r="BF64" s="42">
        <f>+AVERAGE(AQ89:AQ93)</f>
        <v>649373.19999999995</v>
      </c>
      <c r="BG64" s="42">
        <f>+AVERAGE(AW89:AW93)</f>
        <v>554581.80000000005</v>
      </c>
      <c r="BH64" s="43">
        <f>+BG64/BF64-1</f>
        <v>-0.14597368662581067</v>
      </c>
    </row>
    <row r="65" spans="1:60" ht="14.25" hidden="1" customHeight="1" x14ac:dyDescent="0.35">
      <c r="A65" s="16">
        <v>45719</v>
      </c>
      <c r="B65" s="17">
        <f>+'BD MD'!B64</f>
        <v>28870398</v>
      </c>
      <c r="C65" s="17">
        <f t="shared" si="4"/>
        <v>3575627.5172413792</v>
      </c>
      <c r="D65" s="18">
        <f t="shared" si="28"/>
        <v>3.8994203120566236E-2</v>
      </c>
      <c r="E65" s="17">
        <v>33171704</v>
      </c>
      <c r="F65" s="19">
        <v>46084</v>
      </c>
      <c r="G65" s="17">
        <f t="shared" si="6"/>
        <v>4645559.2541032098</v>
      </c>
      <c r="H65" s="17">
        <v>3980132.2541032098</v>
      </c>
      <c r="I65" s="17">
        <v>665427</v>
      </c>
      <c r="J65" s="17">
        <v>2894647</v>
      </c>
      <c r="K65" s="17">
        <v>4158362</v>
      </c>
      <c r="L65" s="17">
        <v>17015.517241379301</v>
      </c>
      <c r="M65" s="17">
        <f>15135+6897</f>
        <v>22032</v>
      </c>
      <c r="N65" s="17">
        <v>70126</v>
      </c>
      <c r="O65" s="17">
        <v>47632</v>
      </c>
      <c r="P65" s="17">
        <v>2478</v>
      </c>
      <c r="Q65" s="17">
        <v>2071</v>
      </c>
      <c r="R65" s="17">
        <v>47499</v>
      </c>
      <c r="S65" s="17">
        <v>74989</v>
      </c>
      <c r="T65" s="17">
        <v>481304</v>
      </c>
      <c r="U65" s="17">
        <v>653421</v>
      </c>
      <c r="V65" s="17">
        <v>33324</v>
      </c>
      <c r="W65" s="17">
        <v>126548</v>
      </c>
      <c r="X65" s="17">
        <v>22831</v>
      </c>
      <c r="Y65" s="17">
        <v>5908</v>
      </c>
      <c r="Z65" s="17">
        <v>6403</v>
      </c>
      <c r="AA65" s="17">
        <v>4036</v>
      </c>
      <c r="AB65" s="17">
        <v>0</v>
      </c>
      <c r="AC65" s="17">
        <v>2049</v>
      </c>
      <c r="AD65" s="17">
        <v>0</v>
      </c>
      <c r="AE65" s="17">
        <v>775</v>
      </c>
      <c r="AF65" s="17">
        <f t="shared" si="7"/>
        <v>5097823</v>
      </c>
      <c r="AG65" s="18">
        <f t="shared" si="8"/>
        <v>1.0973539936009484</v>
      </c>
      <c r="AH65" s="17">
        <f t="shared" si="9"/>
        <v>452263.74589679018</v>
      </c>
      <c r="AI65" s="20">
        <f t="shared" si="10"/>
        <v>0.31489767230607613</v>
      </c>
      <c r="AJ65" s="20">
        <f t="shared" si="11"/>
        <v>0.12872553508669304</v>
      </c>
      <c r="AK65" s="21">
        <f t="shared" si="27"/>
        <v>0.15367986522489166</v>
      </c>
      <c r="AL65" s="21">
        <f t="shared" si="13"/>
        <v>0.10138635405590835</v>
      </c>
      <c r="AM65" s="31"/>
      <c r="AO65" s="38">
        <f t="shared" si="14"/>
        <v>46084</v>
      </c>
      <c r="AP65" s="17">
        <f>+Tabla22[[#This Row],[Web + APP 2025]]+Tabla22[[#This Row],[Afiliados 2025]]+Tabla22[[#This Row],[TMK 2025]]+Tabla22[[#This Row],[WA 2025]]+Tabla22[[#This Row],[Ent. en Tienda 2025]]</f>
        <v>3031765.5172413792</v>
      </c>
      <c r="AQ65" s="17">
        <f>+Tabla22[[#This Row],[Meli Drop 2025]]+Tabla22[[#This Row],[Meli Full 2025]]+Tabla22[[#This Row],[Amazon Drop 2025]]+Tabla22[[#This Row],[Amazon Full 2025]]+Tabla22[[#This Row],[TikTok 2025]]+Tabla22[[#This Row],[Shein 2025]]</f>
        <v>543862</v>
      </c>
      <c r="AR65" s="17">
        <f t="shared" si="15"/>
        <v>4305086</v>
      </c>
      <c r="AS65" s="17">
        <f t="shared" si="16"/>
        <v>792737</v>
      </c>
      <c r="AT65" s="18">
        <f t="shared" si="17"/>
        <v>0.419993061969127</v>
      </c>
      <c r="AU65" s="18">
        <f t="shared" si="18"/>
        <v>0.45760689292504342</v>
      </c>
      <c r="AV65" s="17">
        <f t="shared" si="19"/>
        <v>3980132.2541032098</v>
      </c>
      <c r="AW65" s="17">
        <f t="shared" si="20"/>
        <v>665427</v>
      </c>
      <c r="AX65" s="39">
        <f t="shared" si="21"/>
        <v>1.0816439568212308</v>
      </c>
      <c r="AY65" s="39">
        <f t="shared" si="22"/>
        <v>1.1913207609549958</v>
      </c>
      <c r="AZ65" s="39">
        <f t="shared" si="23"/>
        <v>1.0973539936009484</v>
      </c>
      <c r="BA65" s="18">
        <f t="shared" si="29"/>
        <v>3.2391538684149353E-2</v>
      </c>
      <c r="BB65" s="20">
        <f t="shared" si="30"/>
        <v>4.0474193729860032E-2</v>
      </c>
      <c r="BC65" s="17">
        <f t="shared" si="24"/>
        <v>324953.74589679018</v>
      </c>
      <c r="BD65" s="17">
        <f t="shared" si="25"/>
        <v>127310</v>
      </c>
      <c r="BE65" s="44"/>
      <c r="BF65" s="44"/>
      <c r="BG65" s="44"/>
      <c r="BH65" s="44"/>
    </row>
    <row r="66" spans="1:60" ht="14.25" hidden="1" customHeight="1" x14ac:dyDescent="0.35">
      <c r="A66" s="19">
        <v>45720</v>
      </c>
      <c r="B66" s="17">
        <f>+'BD MD'!B65</f>
        <v>30118136</v>
      </c>
      <c r="C66" s="17">
        <f t="shared" si="4"/>
        <v>3876973.1724137929</v>
      </c>
      <c r="D66" s="18">
        <f t="shared" si="28"/>
        <v>4.2280544785248071E-2</v>
      </c>
      <c r="E66" s="17">
        <v>34892813</v>
      </c>
      <c r="F66" s="19">
        <v>46085</v>
      </c>
      <c r="G66" s="17">
        <f t="shared" si="6"/>
        <v>5143890.0375477904</v>
      </c>
      <c r="H66" s="17">
        <v>4515690.0375477904</v>
      </c>
      <c r="I66" s="17">
        <v>628200</v>
      </c>
      <c r="J66" s="17">
        <v>3324837</v>
      </c>
      <c r="K66" s="17">
        <v>4047073</v>
      </c>
      <c r="L66" s="17">
        <v>20705.172413793101</v>
      </c>
      <c r="M66" s="17">
        <v>21637</v>
      </c>
      <c r="N66" s="17">
        <v>55930</v>
      </c>
      <c r="O66" s="17">
        <v>50390</v>
      </c>
      <c r="P66" s="17">
        <v>5121</v>
      </c>
      <c r="Q66" s="17">
        <v>7095</v>
      </c>
      <c r="R66" s="17">
        <v>33120</v>
      </c>
      <c r="S66" s="17">
        <v>81778</v>
      </c>
      <c r="T66" s="17">
        <v>340219</v>
      </c>
      <c r="U66" s="17">
        <v>480522</v>
      </c>
      <c r="V66" s="17">
        <v>73972</v>
      </c>
      <c r="W66" s="17">
        <v>55623</v>
      </c>
      <c r="X66" s="17">
        <v>16003</v>
      </c>
      <c r="Y66" s="17">
        <v>12102</v>
      </c>
      <c r="Z66" s="17">
        <v>7066</v>
      </c>
      <c r="AA66" s="17">
        <v>6133</v>
      </c>
      <c r="AB66" s="17">
        <v>0</v>
      </c>
      <c r="AC66" s="17">
        <v>1534</v>
      </c>
      <c r="AD66" s="17">
        <v>0</v>
      </c>
      <c r="AE66" s="17">
        <v>0</v>
      </c>
      <c r="AF66" s="17">
        <f t="shared" si="7"/>
        <v>4763887</v>
      </c>
      <c r="AG66" s="18">
        <f t="shared" si="8"/>
        <v>0.92612535750687497</v>
      </c>
      <c r="AH66" s="17">
        <f t="shared" si="9"/>
        <v>-380003.03754779045</v>
      </c>
      <c r="AI66" s="20">
        <f t="shared" si="10"/>
        <v>0.29042927228845472</v>
      </c>
      <c r="AJ66" s="20">
        <f t="shared" si="11"/>
        <v>0.11482938776878547</v>
      </c>
      <c r="AK66" s="21">
        <f t="shared" si="27"/>
        <v>0.13652917579330734</v>
      </c>
      <c r="AL66" s="21">
        <f t="shared" si="13"/>
        <v>8.532994823122908E-2</v>
      </c>
      <c r="AM66" s="31"/>
      <c r="AO66" s="38">
        <f t="shared" si="14"/>
        <v>46085</v>
      </c>
      <c r="AP66" s="17">
        <f>+Tabla22[[#This Row],[Web + APP 2025]]+Tabla22[[#This Row],[Afiliados 2025]]+Tabla22[[#This Row],[TMK 2025]]+Tabla22[[#This Row],[WA 2025]]+Tabla22[[#This Row],[Ent. en Tienda 2025]]</f>
        <v>3439713.1724137929</v>
      </c>
      <c r="AQ66" s="17">
        <f>+Tabla22[[#This Row],[Meli Drop 2025]]+Tabla22[[#This Row],[Meli Full 2025]]+Tabla22[[#This Row],[Amazon Drop 2025]]+Tabla22[[#This Row],[Amazon Full 2025]]+Tabla22[[#This Row],[TikTok 2025]]+Tabla22[[#This Row],[Shein 2025]]</f>
        <v>437260</v>
      </c>
      <c r="AR66" s="17">
        <f t="shared" si="15"/>
        <v>4207973</v>
      </c>
      <c r="AS66" s="17">
        <f t="shared" si="16"/>
        <v>555914</v>
      </c>
      <c r="AT66" s="18">
        <f t="shared" si="17"/>
        <v>0.22334996817397035</v>
      </c>
      <c r="AU66" s="18">
        <f t="shared" si="18"/>
        <v>0.2713580021040114</v>
      </c>
      <c r="AV66" s="17">
        <f t="shared" si="19"/>
        <v>4515690.0375477904</v>
      </c>
      <c r="AW66" s="17">
        <f t="shared" si="20"/>
        <v>628200</v>
      </c>
      <c r="AX66" s="39">
        <f t="shared" si="21"/>
        <v>0.93185603197094247</v>
      </c>
      <c r="AY66" s="39">
        <f t="shared" si="22"/>
        <v>0.88493155046163641</v>
      </c>
      <c r="AZ66" s="39">
        <f t="shared" si="23"/>
        <v>0.92612535750687497</v>
      </c>
      <c r="BA66" s="18">
        <f t="shared" si="29"/>
        <v>2.6042496451362931E-2</v>
      </c>
      <c r="BB66" s="20">
        <f t="shared" si="30"/>
        <v>4.5920311621626998E-2</v>
      </c>
      <c r="BC66" s="17">
        <f t="shared" si="24"/>
        <v>-307717.03754779045</v>
      </c>
      <c r="BD66" s="17">
        <f t="shared" si="25"/>
        <v>-72286</v>
      </c>
      <c r="BE66" s="41" t="s">
        <v>256</v>
      </c>
      <c r="BF66" s="42">
        <f>+BF63*26</f>
        <v>13543383</v>
      </c>
      <c r="BG66" s="42">
        <f>+BG63*26</f>
        <v>14616560</v>
      </c>
      <c r="BH66" s="43">
        <f>+BG66/BF66-1</f>
        <v>7.9239950609090837E-2</v>
      </c>
    </row>
    <row r="67" spans="1:60" ht="14.25" hidden="1" customHeight="1" x14ac:dyDescent="0.35">
      <c r="A67" s="16">
        <v>45721</v>
      </c>
      <c r="B67" s="17">
        <f>+'BD MD'!B66</f>
        <v>32149498</v>
      </c>
      <c r="C67" s="17">
        <f t="shared" si="4"/>
        <v>3691707.1724137929</v>
      </c>
      <c r="D67" s="18">
        <f t="shared" si="28"/>
        <v>4.0260116202992274E-2</v>
      </c>
      <c r="E67" s="17">
        <v>38712693</v>
      </c>
      <c r="F67" s="19">
        <v>46086</v>
      </c>
      <c r="G67" s="17">
        <f t="shared" si="6"/>
        <v>4846185.1523354203</v>
      </c>
      <c r="H67" s="17">
        <v>4178769.1523354198</v>
      </c>
      <c r="I67" s="17">
        <v>667416</v>
      </c>
      <c r="J67" s="17">
        <v>3006578</v>
      </c>
      <c r="K67" s="17">
        <v>3273154</v>
      </c>
      <c r="L67" s="17">
        <v>20405.172413793101</v>
      </c>
      <c r="M67" s="17">
        <f>15908+12659</f>
        <v>28567</v>
      </c>
      <c r="N67" s="17">
        <v>61036</v>
      </c>
      <c r="O67" s="17">
        <v>21743</v>
      </c>
      <c r="P67" s="17">
        <v>128</v>
      </c>
      <c r="Q67" s="17">
        <v>154</v>
      </c>
      <c r="R67" s="17">
        <v>94925</v>
      </c>
      <c r="S67" s="17">
        <v>89264</v>
      </c>
      <c r="T67" s="17">
        <v>365903</v>
      </c>
      <c r="U67" s="17">
        <v>393807</v>
      </c>
      <c r="V67" s="17">
        <v>115450</v>
      </c>
      <c r="W67" s="17">
        <v>40051</v>
      </c>
      <c r="X67" s="17">
        <v>19487</v>
      </c>
      <c r="Y67" s="17">
        <v>5342</v>
      </c>
      <c r="Z67" s="17">
        <v>7795</v>
      </c>
      <c r="AA67" s="17">
        <v>5065</v>
      </c>
      <c r="AB67" s="17">
        <v>0</v>
      </c>
      <c r="AC67" s="17">
        <v>560</v>
      </c>
      <c r="AD67" s="17">
        <v>0</v>
      </c>
      <c r="AE67" s="17">
        <v>0</v>
      </c>
      <c r="AF67" s="17">
        <f t="shared" si="7"/>
        <v>3857707</v>
      </c>
      <c r="AG67" s="18">
        <f t="shared" si="8"/>
        <v>0.7960296354217784</v>
      </c>
      <c r="AH67" s="17">
        <f t="shared" si="9"/>
        <v>-988478.15233542025</v>
      </c>
      <c r="AI67" s="20">
        <f t="shared" si="10"/>
        <v>0.38792892478117325</v>
      </c>
      <c r="AJ67" s="20">
        <f t="shared" si="11"/>
        <v>7.4081218780168781E-2</v>
      </c>
      <c r="AK67" s="21">
        <f t="shared" si="27"/>
        <v>9.9649667875081699E-2</v>
      </c>
      <c r="AL67" s="21">
        <f t="shared" si="13"/>
        <v>3.1809423157640682E-2</v>
      </c>
      <c r="AM67" s="31"/>
      <c r="AO67" s="38">
        <f t="shared" si="14"/>
        <v>46086</v>
      </c>
      <c r="AP67" s="17">
        <f>+Tabla22[[#This Row],[Web + APP 2025]]+Tabla22[[#This Row],[Afiliados 2025]]+Tabla22[[#This Row],[TMK 2025]]+Tabla22[[#This Row],[WA 2025]]+Tabla22[[#This Row],[Ent. en Tienda 2025]]</f>
        <v>3183072.1724137929</v>
      </c>
      <c r="AQ67" s="17">
        <f>+Tabla22[[#This Row],[Meli Drop 2025]]+Tabla22[[#This Row],[Meli Full 2025]]+Tabla22[[#This Row],[Amazon Drop 2025]]+Tabla22[[#This Row],[Amazon Full 2025]]+Tabla22[[#This Row],[TikTok 2025]]+Tabla22[[#This Row],[Shein 2025]]</f>
        <v>508635</v>
      </c>
      <c r="AR67" s="17">
        <f t="shared" si="15"/>
        <v>3412882</v>
      </c>
      <c r="AS67" s="17">
        <f t="shared" si="16"/>
        <v>444825</v>
      </c>
      <c r="AT67" s="18">
        <f t="shared" si="17"/>
        <v>7.2197491963224003E-2</v>
      </c>
      <c r="AU67" s="18">
        <f t="shared" si="18"/>
        <v>-0.12545341944616473</v>
      </c>
      <c r="AV67" s="17">
        <f t="shared" si="19"/>
        <v>4178769.1523354198</v>
      </c>
      <c r="AW67" s="17">
        <f t="shared" si="20"/>
        <v>667416</v>
      </c>
      <c r="AX67" s="39">
        <f t="shared" si="21"/>
        <v>0.81671943952506143</v>
      </c>
      <c r="AY67" s="39">
        <f t="shared" si="22"/>
        <v>0.66648836707540726</v>
      </c>
      <c r="AZ67" s="39">
        <f t="shared" si="23"/>
        <v>0.7960296354217784</v>
      </c>
      <c r="BA67" s="18">
        <f t="shared" si="29"/>
        <v>3.0293475695327688E-2</v>
      </c>
      <c r="BB67" s="20">
        <f t="shared" si="30"/>
        <v>4.2494143768620839E-2</v>
      </c>
      <c r="BC67" s="17">
        <f t="shared" si="24"/>
        <v>-765887.15233541979</v>
      </c>
      <c r="BD67" s="17">
        <f t="shared" si="25"/>
        <v>-222591</v>
      </c>
      <c r="BE67" s="41" t="s">
        <v>257</v>
      </c>
      <c r="BF67" s="42">
        <f>+BF64*5</f>
        <v>3246866</v>
      </c>
      <c r="BG67" s="42">
        <f>+BG64*5</f>
        <v>2772909</v>
      </c>
      <c r="BH67" s="43">
        <f>+BG67/BF67-1</f>
        <v>-0.14597368662581089</v>
      </c>
    </row>
    <row r="68" spans="1:60" ht="14.25" hidden="1" customHeight="1" x14ac:dyDescent="0.35">
      <c r="A68" s="19">
        <v>45722</v>
      </c>
      <c r="B68" s="17">
        <f>+'BD MD'!B67</f>
        <v>37519228</v>
      </c>
      <c r="C68" s="17">
        <f t="shared" ref="C68:C131" si="31">+J68+L68+N68+P68+R68+T68+V68+X68+Z68+AB68+AD68</f>
        <v>2779470.1379310344</v>
      </c>
      <c r="D68" s="18">
        <f t="shared" si="28"/>
        <v>3.0311664904528256E-2</v>
      </c>
      <c r="E68" s="17">
        <v>39872258</v>
      </c>
      <c r="F68" s="19">
        <v>46087</v>
      </c>
      <c r="G68" s="17">
        <f t="shared" ref="G68:G131" si="32">+H68+I68</f>
        <v>3647918.67494134</v>
      </c>
      <c r="H68" s="17">
        <v>3029226.67494134</v>
      </c>
      <c r="I68" s="17">
        <v>618692</v>
      </c>
      <c r="J68" s="17">
        <v>2158066</v>
      </c>
      <c r="K68" s="17">
        <v>2313818</v>
      </c>
      <c r="L68" s="17">
        <v>20349.1379310345</v>
      </c>
      <c r="M68" s="17">
        <v>23488</v>
      </c>
      <c r="N68" s="17">
        <v>52546</v>
      </c>
      <c r="O68" s="17">
        <v>32023</v>
      </c>
      <c r="P68" s="17">
        <v>1600</v>
      </c>
      <c r="Q68" s="17">
        <v>1687</v>
      </c>
      <c r="R68" s="17">
        <v>74876</v>
      </c>
      <c r="S68" s="17">
        <v>118330</v>
      </c>
      <c r="T68" s="17">
        <v>330846</v>
      </c>
      <c r="U68" s="17">
        <v>299324</v>
      </c>
      <c r="V68" s="17">
        <v>120380</v>
      </c>
      <c r="W68" s="17">
        <v>33674</v>
      </c>
      <c r="X68" s="17">
        <v>14076</v>
      </c>
      <c r="Y68" s="17">
        <v>6895</v>
      </c>
      <c r="Z68" s="17">
        <v>6731</v>
      </c>
      <c r="AA68" s="17">
        <v>6866</v>
      </c>
      <c r="AB68" s="17">
        <v>0</v>
      </c>
      <c r="AC68" s="17">
        <v>387</v>
      </c>
      <c r="AD68" s="17">
        <v>0</v>
      </c>
      <c r="AE68" s="17">
        <v>0</v>
      </c>
      <c r="AF68" s="17">
        <f t="shared" ref="AF68:AF131" si="33">+AE68+AC68+AA68+Y68+W68+U68+S68+Q68+O68+M68+K68</f>
        <v>2836492</v>
      </c>
      <c r="AG68" s="18">
        <f t="shared" ref="AG68:AG131" si="34">+AF68/G68</f>
        <v>0.77756448340932705</v>
      </c>
      <c r="AH68" s="17">
        <f t="shared" ref="AH68:AH131" si="35">+AF68-G68</f>
        <v>-811426.67494134</v>
      </c>
      <c r="AI68" s="20">
        <f t="shared" ref="AI68:AI131" si="36">+AF68/C69-1</f>
        <v>6.4668878159658494E-2</v>
      </c>
      <c r="AJ68" s="20">
        <f t="shared" ref="AJ68:AJ131" si="37">+C69/B69</f>
        <v>6.740842649129003E-2</v>
      </c>
      <c r="AK68" s="21">
        <f t="shared" ref="AK68:AK99" si="38">+AF68/E68</f>
        <v>7.1139487510338648E-2</v>
      </c>
      <c r="AL68" s="21">
        <f t="shared" ref="AL68:AL131" si="39">+E68/B69-1</f>
        <v>8.8300650262573832E-3</v>
      </c>
      <c r="AM68" s="31"/>
      <c r="AO68" s="38">
        <f t="shared" ref="AO68:AO131" si="40">+F68</f>
        <v>46087</v>
      </c>
      <c r="AP68" s="17">
        <f>+Tabla22[[#This Row],[Web + APP 2025]]+Tabla22[[#This Row],[Afiliados 2025]]+Tabla22[[#This Row],[TMK 2025]]+Tabla22[[#This Row],[WA 2025]]+Tabla22[[#This Row],[Ent. en Tienda 2025]]</f>
        <v>2307437.1379310344</v>
      </c>
      <c r="AQ68" s="17">
        <f>+Tabla22[[#This Row],[Meli Drop 2025]]+Tabla22[[#This Row],[Meli Full 2025]]+Tabla22[[#This Row],[Amazon Drop 2025]]+Tabla22[[#This Row],[Amazon Full 2025]]+Tabla22[[#This Row],[TikTok 2025]]+Tabla22[[#This Row],[Shein 2025]]</f>
        <v>472033</v>
      </c>
      <c r="AR68" s="17">
        <f t="shared" ref="AR68:AR131" si="41">+K68+M68+O68+Q68+S68</f>
        <v>2489346</v>
      </c>
      <c r="AS68" s="17">
        <f t="shared" ref="AS68:AS131" si="42">+U68+W68+Y68+AA68+AC68+AE68</f>
        <v>347146</v>
      </c>
      <c r="AT68" s="18">
        <f t="shared" ref="AT68:AT131" si="43">+AR68/AP68-1</f>
        <v>7.8835890728565783E-2</v>
      </c>
      <c r="AU68" s="18">
        <f t="shared" ref="AU68:AU131" si="44">+AS68/AQ68-1</f>
        <v>-0.26457260403404004</v>
      </c>
      <c r="AV68" s="17">
        <f t="shared" ref="AV68:AV131" si="45">+H68</f>
        <v>3029226.67494134</v>
      </c>
      <c r="AW68" s="17">
        <f t="shared" ref="AW68:AW131" si="46">+I68</f>
        <v>618692</v>
      </c>
      <c r="AX68" s="39">
        <f t="shared" ref="AX68:AX131" si="47">+AR68/AV68</f>
        <v>0.82177607261701713</v>
      </c>
      <c r="AY68" s="39">
        <f t="shared" ref="AY68:AY131" si="48">+AS68/AW68</f>
        <v>0.56109663612912397</v>
      </c>
      <c r="AZ68" s="39">
        <f t="shared" ref="AZ68:AZ131" si="49">+(AR68+AS68)/(AV68+AW68)</f>
        <v>0.77756448340932705</v>
      </c>
      <c r="BA68" s="18">
        <f t="shared" si="29"/>
        <v>2.811351993648218E-2</v>
      </c>
      <c r="BB68" s="20">
        <f t="shared" si="30"/>
        <v>3.0804380223003542E-2</v>
      </c>
      <c r="BC68" s="17">
        <f t="shared" ref="BC68:BC131" si="50">+AR68-AV68</f>
        <v>-539880.67494134</v>
      </c>
      <c r="BD68" s="17">
        <f t="shared" ref="BD68:BD131" si="51">+AS68-AW68</f>
        <v>-271546</v>
      </c>
      <c r="BE68" s="44"/>
      <c r="BF68" s="44"/>
      <c r="BG68" s="44"/>
      <c r="BH68" s="44"/>
    </row>
    <row r="69" spans="1:60" ht="14.25" hidden="1" customHeight="1" x14ac:dyDescent="0.35">
      <c r="A69" s="16">
        <v>45723</v>
      </c>
      <c r="B69" s="17">
        <f>+'BD MD'!B68</f>
        <v>39523265</v>
      </c>
      <c r="C69" s="17">
        <f t="shared" si="31"/>
        <v>2664201.1034482759</v>
      </c>
      <c r="D69" s="18">
        <f t="shared" si="28"/>
        <v>2.9054592090747018E-2</v>
      </c>
      <c r="E69" s="17">
        <v>52578844</v>
      </c>
      <c r="F69" s="19">
        <v>46088</v>
      </c>
      <c r="G69" s="17">
        <f t="shared" si="32"/>
        <v>3375221.9335819301</v>
      </c>
      <c r="H69" s="17">
        <v>2833361.9335819301</v>
      </c>
      <c r="I69" s="17">
        <v>541860</v>
      </c>
      <c r="J69" s="17">
        <v>2008601</v>
      </c>
      <c r="K69" s="17">
        <v>2036782</v>
      </c>
      <c r="L69" s="17">
        <v>17718.103448275899</v>
      </c>
      <c r="M69" s="17">
        <v>29622</v>
      </c>
      <c r="N69" s="17">
        <v>60599</v>
      </c>
      <c r="O69" s="17">
        <v>12659</v>
      </c>
      <c r="P69" s="17">
        <v>1392</v>
      </c>
      <c r="Q69" s="17">
        <v>1118</v>
      </c>
      <c r="R69" s="17">
        <v>69932</v>
      </c>
      <c r="S69" s="17">
        <v>33500</v>
      </c>
      <c r="T69" s="17">
        <v>369062</v>
      </c>
      <c r="U69" s="17">
        <v>318037</v>
      </c>
      <c r="V69" s="17">
        <v>123391</v>
      </c>
      <c r="W69" s="17">
        <v>29312</v>
      </c>
      <c r="X69" s="17">
        <v>10054</v>
      </c>
      <c r="Y69" s="17">
        <v>16246</v>
      </c>
      <c r="Z69" s="17">
        <v>3452</v>
      </c>
      <c r="AA69" s="17">
        <v>7308</v>
      </c>
      <c r="AB69" s="17">
        <v>0</v>
      </c>
      <c r="AC69" s="17">
        <v>430</v>
      </c>
      <c r="AD69" s="17">
        <v>0</v>
      </c>
      <c r="AE69" s="17">
        <v>0</v>
      </c>
      <c r="AF69" s="17">
        <f t="shared" si="33"/>
        <v>2485014</v>
      </c>
      <c r="AG69" s="18">
        <f t="shared" si="34"/>
        <v>0.73625202991105143</v>
      </c>
      <c r="AH69" s="17">
        <f t="shared" si="35"/>
        <v>-890207.93358193012</v>
      </c>
      <c r="AI69" s="20">
        <f t="shared" si="36"/>
        <v>0.16337189623481763</v>
      </c>
      <c r="AJ69" s="20">
        <f t="shared" si="37"/>
        <v>4.3608026603249569E-2</v>
      </c>
      <c r="AK69" s="21">
        <f t="shared" si="38"/>
        <v>4.726262144523375E-2</v>
      </c>
      <c r="AL69" s="21">
        <f t="shared" si="39"/>
        <v>7.341385325542471E-2</v>
      </c>
      <c r="AM69" s="31"/>
      <c r="AO69" s="38">
        <f t="shared" si="40"/>
        <v>46088</v>
      </c>
      <c r="AP69" s="17">
        <f>+Tabla22[[#This Row],[Web + APP 2025]]+Tabla22[[#This Row],[Afiliados 2025]]+Tabla22[[#This Row],[TMK 2025]]+Tabla22[[#This Row],[WA 2025]]+Tabla22[[#This Row],[Ent. en Tienda 2025]]</f>
        <v>2158242.1034482759</v>
      </c>
      <c r="AQ69" s="17">
        <f>+Tabla22[[#This Row],[Meli Drop 2025]]+Tabla22[[#This Row],[Meli Full 2025]]+Tabla22[[#This Row],[Amazon Drop 2025]]+Tabla22[[#This Row],[Amazon Full 2025]]+Tabla22[[#This Row],[TikTok 2025]]+Tabla22[[#This Row],[Shein 2025]]</f>
        <v>505959</v>
      </c>
      <c r="AR69" s="17">
        <f t="shared" si="41"/>
        <v>2113681</v>
      </c>
      <c r="AS69" s="17">
        <f t="shared" si="42"/>
        <v>371333</v>
      </c>
      <c r="AT69" s="18">
        <f t="shared" si="43"/>
        <v>-2.0646943814634833E-2</v>
      </c>
      <c r="AU69" s="18">
        <f t="shared" si="44"/>
        <v>-0.26608084844819446</v>
      </c>
      <c r="AV69" s="17">
        <f t="shared" si="45"/>
        <v>2833361.9335819301</v>
      </c>
      <c r="AW69" s="17">
        <f t="shared" si="46"/>
        <v>541860</v>
      </c>
      <c r="AX69" s="39">
        <f t="shared" si="47"/>
        <v>0.74599752857125778</v>
      </c>
      <c r="AY69" s="39">
        <f t="shared" si="48"/>
        <v>0.68529324917875467</v>
      </c>
      <c r="AZ69" s="39">
        <f t="shared" si="49"/>
        <v>0.73625202991105143</v>
      </c>
      <c r="BA69" s="18">
        <f t="shared" si="29"/>
        <v>3.0134097475266745E-2</v>
      </c>
      <c r="BB69" s="20">
        <f t="shared" si="30"/>
        <v>2.8812620406867488E-2</v>
      </c>
      <c r="BC69" s="17">
        <f t="shared" si="50"/>
        <v>-719680.93358193012</v>
      </c>
      <c r="BD69" s="17">
        <f t="shared" si="51"/>
        <v>-170527</v>
      </c>
      <c r="BE69" s="45" t="s">
        <v>258</v>
      </c>
      <c r="BF69" s="46">
        <f>+BF67+BF66</f>
        <v>16790249</v>
      </c>
      <c r="BG69" s="46">
        <f>+BG67+BG66</f>
        <v>17389469</v>
      </c>
      <c r="BH69" s="47">
        <f>+BG69/BF69-1</f>
        <v>3.5688571384498324E-2</v>
      </c>
    </row>
    <row r="70" spans="1:60" ht="14.25" hidden="1" customHeight="1" x14ac:dyDescent="0.35">
      <c r="A70" s="19">
        <v>45724</v>
      </c>
      <c r="B70" s="17">
        <f>+'BD MD'!B69</f>
        <v>48982826</v>
      </c>
      <c r="C70" s="17">
        <f t="shared" si="31"/>
        <v>2136044.3793103448</v>
      </c>
      <c r="D70" s="18">
        <f t="shared" si="28"/>
        <v>2.3294749802583687E-2</v>
      </c>
      <c r="E70" s="17">
        <v>53652093</v>
      </c>
      <c r="F70" s="19">
        <v>46089</v>
      </c>
      <c r="G70" s="17">
        <f t="shared" si="32"/>
        <v>2893557.5762682199</v>
      </c>
      <c r="H70" s="17">
        <v>2220072.5762682199</v>
      </c>
      <c r="I70" s="17">
        <v>673485</v>
      </c>
      <c r="J70" s="17">
        <v>1587947</v>
      </c>
      <c r="K70" s="17">
        <v>4090457</v>
      </c>
      <c r="L70" s="17">
        <v>16966.379310344801</v>
      </c>
      <c r="M70" s="17">
        <f>10745+11208</f>
        <v>21953</v>
      </c>
      <c r="N70" s="17">
        <v>27670</v>
      </c>
      <c r="O70" s="17">
        <v>-800</v>
      </c>
      <c r="P70" s="17">
        <v>257</v>
      </c>
      <c r="Q70" s="17">
        <v>2170</v>
      </c>
      <c r="R70" s="17">
        <v>58244</v>
      </c>
      <c r="S70" s="17">
        <v>76790</v>
      </c>
      <c r="T70" s="17">
        <v>305214</v>
      </c>
      <c r="U70" s="17">
        <v>438569</v>
      </c>
      <c r="V70" s="17">
        <v>118323</v>
      </c>
      <c r="W70" s="17">
        <v>28025</v>
      </c>
      <c r="X70" s="17">
        <v>13685</v>
      </c>
      <c r="Y70" s="17">
        <v>15404</v>
      </c>
      <c r="Z70" s="17">
        <v>7738</v>
      </c>
      <c r="AA70" s="17">
        <v>5875</v>
      </c>
      <c r="AB70" s="17">
        <v>0</v>
      </c>
      <c r="AC70" s="17">
        <v>0</v>
      </c>
      <c r="AD70" s="17">
        <v>0</v>
      </c>
      <c r="AE70" s="17">
        <v>0</v>
      </c>
      <c r="AF70" s="17">
        <f t="shared" si="33"/>
        <v>4678443</v>
      </c>
      <c r="AG70" s="18">
        <f t="shared" si="34"/>
        <v>1.6168480760053585</v>
      </c>
      <c r="AH70" s="17">
        <f t="shared" si="35"/>
        <v>1784885.4237317801</v>
      </c>
      <c r="AI70" s="20">
        <f t="shared" si="36"/>
        <v>0.85470209787104845</v>
      </c>
      <c r="AJ70" s="20">
        <f t="shared" si="37"/>
        <v>5.2312195274323695E-2</v>
      </c>
      <c r="AK70" s="21">
        <f t="shared" si="38"/>
        <v>8.7199636368333291E-2</v>
      </c>
      <c r="AL70" s="21">
        <f t="shared" si="39"/>
        <v>0.11265989584748293</v>
      </c>
      <c r="AM70" s="31"/>
      <c r="AO70" s="38">
        <f t="shared" si="40"/>
        <v>46089</v>
      </c>
      <c r="AP70" s="17">
        <f>+Tabla22[[#This Row],[Web + APP 2025]]+Tabla22[[#This Row],[Afiliados 2025]]+Tabla22[[#This Row],[TMK 2025]]+Tabla22[[#This Row],[WA 2025]]+Tabla22[[#This Row],[Ent. en Tienda 2025]]</f>
        <v>1691084.3793103448</v>
      </c>
      <c r="AQ70" s="17">
        <f>+Tabla22[[#This Row],[Meli Drop 2025]]+Tabla22[[#This Row],[Meli Full 2025]]+Tabla22[[#This Row],[Amazon Drop 2025]]+Tabla22[[#This Row],[Amazon Full 2025]]+Tabla22[[#This Row],[TikTok 2025]]+Tabla22[[#This Row],[Shein 2025]]</f>
        <v>444960</v>
      </c>
      <c r="AR70" s="17">
        <f t="shared" si="41"/>
        <v>4190570</v>
      </c>
      <c r="AS70" s="17">
        <f t="shared" si="42"/>
        <v>487873</v>
      </c>
      <c r="AT70" s="18">
        <f t="shared" si="43"/>
        <v>1.4780371998403719</v>
      </c>
      <c r="AU70" s="18">
        <f t="shared" si="44"/>
        <v>9.6442376842862387E-2</v>
      </c>
      <c r="AV70" s="17">
        <f t="shared" si="45"/>
        <v>2220072.5762682199</v>
      </c>
      <c r="AW70" s="17">
        <f t="shared" si="46"/>
        <v>673485</v>
      </c>
      <c r="AX70" s="39">
        <f t="shared" si="47"/>
        <v>1.8875824352751758</v>
      </c>
      <c r="AY70" s="39">
        <f t="shared" si="48"/>
        <v>0.72440069192335388</v>
      </c>
      <c r="AZ70" s="39">
        <f t="shared" si="49"/>
        <v>1.6168480760053585</v>
      </c>
      <c r="BA70" s="18">
        <f t="shared" si="29"/>
        <v>2.6501095963496431E-2</v>
      </c>
      <c r="BB70" s="20">
        <f t="shared" si="30"/>
        <v>2.2576045671244969E-2</v>
      </c>
      <c r="BC70" s="17">
        <f t="shared" si="50"/>
        <v>1970497.4237317801</v>
      </c>
      <c r="BD70" s="17">
        <f t="shared" si="51"/>
        <v>-185612</v>
      </c>
    </row>
    <row r="71" spans="1:60" ht="14.25" hidden="1" customHeight="1" x14ac:dyDescent="0.35">
      <c r="A71" s="16">
        <v>45725</v>
      </c>
      <c r="B71" s="17">
        <f>+'BD MD'!B70</f>
        <v>48219670</v>
      </c>
      <c r="C71" s="17">
        <f t="shared" si="31"/>
        <v>2522476.7931034481</v>
      </c>
      <c r="D71" s="18">
        <f t="shared" si="28"/>
        <v>2.7509009806781361E-2</v>
      </c>
      <c r="E71" s="17">
        <v>31554878</v>
      </c>
      <c r="F71" s="19">
        <v>46090</v>
      </c>
      <c r="G71" s="17">
        <f t="shared" si="32"/>
        <v>3416113.71282834</v>
      </c>
      <c r="H71" s="17">
        <v>2642557.71282834</v>
      </c>
      <c r="I71" s="17">
        <v>773556</v>
      </c>
      <c r="J71" s="17">
        <v>1877757</v>
      </c>
      <c r="K71" s="17">
        <v>3929406</v>
      </c>
      <c r="L71" s="17">
        <v>21363.793103448301</v>
      </c>
      <c r="M71" s="17">
        <f>19021+12762</f>
        <v>31783</v>
      </c>
      <c r="N71" s="17">
        <v>18440</v>
      </c>
      <c r="O71" s="17">
        <v>29516</v>
      </c>
      <c r="P71" s="17">
        <v>10318</v>
      </c>
      <c r="Q71" s="17">
        <v>5855</v>
      </c>
      <c r="R71" s="17">
        <v>85023</v>
      </c>
      <c r="S71" s="17">
        <v>97853</v>
      </c>
      <c r="T71" s="17">
        <v>365073</v>
      </c>
      <c r="U71" s="17">
        <v>392149</v>
      </c>
      <c r="V71" s="17">
        <v>119743</v>
      </c>
      <c r="W71" s="17">
        <v>38657</v>
      </c>
      <c r="X71" s="17">
        <v>17150</v>
      </c>
      <c r="Y71" s="17">
        <v>9352</v>
      </c>
      <c r="Z71" s="17">
        <v>7609</v>
      </c>
      <c r="AA71" s="17">
        <v>7473</v>
      </c>
      <c r="AB71" s="17">
        <v>0</v>
      </c>
      <c r="AC71" s="17">
        <v>0</v>
      </c>
      <c r="AD71" s="17">
        <v>0</v>
      </c>
      <c r="AE71" s="17">
        <v>0</v>
      </c>
      <c r="AF71" s="17">
        <f t="shared" si="33"/>
        <v>4542044</v>
      </c>
      <c r="AG71" s="18">
        <f t="shared" si="34"/>
        <v>1.3295939133827768</v>
      </c>
      <c r="AH71" s="17">
        <f t="shared" si="35"/>
        <v>1125930.28717166</v>
      </c>
      <c r="AI71" s="20">
        <f t="shared" si="36"/>
        <v>0.21772260215400885</v>
      </c>
      <c r="AJ71" s="20">
        <f t="shared" si="37"/>
        <v>0.12791823517822315</v>
      </c>
      <c r="AK71" s="21">
        <f t="shared" si="38"/>
        <v>0.14394110476358046</v>
      </c>
      <c r="AL71" s="21">
        <f t="shared" si="39"/>
        <v>8.2171256501197609E-2</v>
      </c>
      <c r="AM71" s="31"/>
      <c r="AO71" s="38">
        <f t="shared" si="40"/>
        <v>46090</v>
      </c>
      <c r="AP71" s="17">
        <f>+Tabla22[[#This Row],[Web + APP 2025]]+Tabla22[[#This Row],[Afiliados 2025]]+Tabla22[[#This Row],[TMK 2025]]+Tabla22[[#This Row],[WA 2025]]+Tabla22[[#This Row],[Ent. en Tienda 2025]]</f>
        <v>2012901.7931034483</v>
      </c>
      <c r="AQ71" s="17">
        <f>+Tabla22[[#This Row],[Meli Drop 2025]]+Tabla22[[#This Row],[Meli Full 2025]]+Tabla22[[#This Row],[Amazon Drop 2025]]+Tabla22[[#This Row],[Amazon Full 2025]]+Tabla22[[#This Row],[TikTok 2025]]+Tabla22[[#This Row],[Shein 2025]]</f>
        <v>509575</v>
      </c>
      <c r="AR71" s="17">
        <f t="shared" si="41"/>
        <v>4094413</v>
      </c>
      <c r="AS71" s="17">
        <f t="shared" si="42"/>
        <v>447631</v>
      </c>
      <c r="AT71" s="18">
        <f t="shared" si="43"/>
        <v>1.0340848291894673</v>
      </c>
      <c r="AU71" s="18">
        <f t="shared" si="44"/>
        <v>-0.12156012363243884</v>
      </c>
      <c r="AV71" s="17">
        <f t="shared" si="45"/>
        <v>2642557.71282834</v>
      </c>
      <c r="AW71" s="17">
        <f t="shared" si="46"/>
        <v>773556</v>
      </c>
      <c r="AX71" s="39">
        <f t="shared" si="47"/>
        <v>1.5494128964993288</v>
      </c>
      <c r="AY71" s="39">
        <f t="shared" si="48"/>
        <v>0.57866657359001805</v>
      </c>
      <c r="AZ71" s="39">
        <f t="shared" si="49"/>
        <v>1.3295939133827768</v>
      </c>
      <c r="BA71" s="18">
        <f t="shared" si="29"/>
        <v>3.0349460570834895E-2</v>
      </c>
      <c r="BB71" s="20">
        <f t="shared" si="30"/>
        <v>2.6872321315726998E-2</v>
      </c>
      <c r="BC71" s="17">
        <f t="shared" si="50"/>
        <v>1451855.28717166</v>
      </c>
      <c r="BD71" s="17">
        <f t="shared" si="51"/>
        <v>-325925</v>
      </c>
    </row>
    <row r="72" spans="1:60" ht="14.25" hidden="1" customHeight="1" x14ac:dyDescent="0.35">
      <c r="A72" s="19">
        <v>45726</v>
      </c>
      <c r="B72" s="17">
        <f>+'BD MD'!B71</f>
        <v>29158858</v>
      </c>
      <c r="C72" s="17">
        <f t="shared" si="31"/>
        <v>3729949.6551724137</v>
      </c>
      <c r="D72" s="18">
        <f t="shared" si="28"/>
        <v>4.06771717081683E-2</v>
      </c>
      <c r="E72" s="17">
        <v>32083406</v>
      </c>
      <c r="F72" s="19">
        <v>46091</v>
      </c>
      <c r="G72" s="17">
        <f t="shared" si="32"/>
        <v>4894349.2464806996</v>
      </c>
      <c r="H72" s="17">
        <v>4195009.2464806996</v>
      </c>
      <c r="I72" s="17">
        <v>699340</v>
      </c>
      <c r="J72" s="17">
        <v>3068514</v>
      </c>
      <c r="K72" s="17">
        <v>3911691</v>
      </c>
      <c r="L72" s="17">
        <v>17939.655172413801</v>
      </c>
      <c r="M72" s="17">
        <v>24886</v>
      </c>
      <c r="N72" s="17">
        <v>54141</v>
      </c>
      <c r="O72" s="17">
        <v>70786</v>
      </c>
      <c r="P72" s="17">
        <v>9922</v>
      </c>
      <c r="Q72" s="17">
        <v>1807</v>
      </c>
      <c r="R72" s="17">
        <v>44926</v>
      </c>
      <c r="S72" s="17">
        <v>118012</v>
      </c>
      <c r="T72" s="17">
        <v>397940</v>
      </c>
      <c r="U72" s="17">
        <v>576157</v>
      </c>
      <c r="V72" s="17">
        <v>105887</v>
      </c>
      <c r="W72" s="17">
        <v>72081</v>
      </c>
      <c r="X72" s="17">
        <v>23153</v>
      </c>
      <c r="Y72" s="17">
        <v>6863</v>
      </c>
      <c r="Z72" s="17">
        <v>7527</v>
      </c>
      <c r="AA72" s="17">
        <v>7574</v>
      </c>
      <c r="AB72" s="17">
        <v>0</v>
      </c>
      <c r="AC72" s="17">
        <v>0</v>
      </c>
      <c r="AD72" s="17">
        <v>0</v>
      </c>
      <c r="AE72" s="17">
        <v>0</v>
      </c>
      <c r="AF72" s="17">
        <f t="shared" si="33"/>
        <v>4789857</v>
      </c>
      <c r="AG72" s="18">
        <f t="shared" si="34"/>
        <v>0.97865043109544436</v>
      </c>
      <c r="AH72" s="17">
        <f t="shared" si="35"/>
        <v>-104492.24648069963</v>
      </c>
      <c r="AI72" s="20">
        <f t="shared" si="36"/>
        <v>0.23295100326028573</v>
      </c>
      <c r="AJ72" s="20">
        <f t="shared" si="37"/>
        <v>0.11915767010749831</v>
      </c>
      <c r="AK72" s="21">
        <f t="shared" si="38"/>
        <v>0.14929390601484144</v>
      </c>
      <c r="AL72" s="21">
        <f t="shared" si="39"/>
        <v>-1.5930570598151617E-2</v>
      </c>
      <c r="AM72" s="31"/>
      <c r="AO72" s="38">
        <f t="shared" si="40"/>
        <v>46091</v>
      </c>
      <c r="AP72" s="17">
        <f>+Tabla22[[#This Row],[Web + APP 2025]]+Tabla22[[#This Row],[Afiliados 2025]]+Tabla22[[#This Row],[TMK 2025]]+Tabla22[[#This Row],[WA 2025]]+Tabla22[[#This Row],[Ent. en Tienda 2025]]</f>
        <v>3195442.6551724137</v>
      </c>
      <c r="AQ72" s="17">
        <f>+Tabla22[[#This Row],[Meli Drop 2025]]+Tabla22[[#This Row],[Meli Full 2025]]+Tabla22[[#This Row],[Amazon Drop 2025]]+Tabla22[[#This Row],[Amazon Full 2025]]+Tabla22[[#This Row],[TikTok 2025]]+Tabla22[[#This Row],[Shein 2025]]</f>
        <v>534507</v>
      </c>
      <c r="AR72" s="17">
        <f t="shared" si="41"/>
        <v>4127182</v>
      </c>
      <c r="AS72" s="17">
        <f t="shared" si="42"/>
        <v>662675</v>
      </c>
      <c r="AT72" s="18">
        <f t="shared" si="43"/>
        <v>0.29158381024907287</v>
      </c>
      <c r="AU72" s="18">
        <f t="shared" si="44"/>
        <v>0.23978731803325304</v>
      </c>
      <c r="AV72" s="17">
        <f t="shared" si="45"/>
        <v>4195009.2464806996</v>
      </c>
      <c r="AW72" s="17">
        <f t="shared" si="46"/>
        <v>699340</v>
      </c>
      <c r="AX72" s="39">
        <f t="shared" si="47"/>
        <v>0.98383144291336144</v>
      </c>
      <c r="AY72" s="39">
        <f t="shared" si="48"/>
        <v>0.9475719964537993</v>
      </c>
      <c r="AZ72" s="39">
        <f t="shared" si="49"/>
        <v>0.97865043109544436</v>
      </c>
      <c r="BA72" s="18">
        <f t="shared" si="29"/>
        <v>3.1834370056096246E-2</v>
      </c>
      <c r="BB72" s="20">
        <f t="shared" si="30"/>
        <v>4.2659290219709142E-2</v>
      </c>
      <c r="BC72" s="17">
        <f t="shared" si="50"/>
        <v>-67827.246480699629</v>
      </c>
      <c r="BD72" s="17">
        <f t="shared" si="51"/>
        <v>-36665</v>
      </c>
    </row>
    <row r="73" spans="1:60" ht="14.25" hidden="1" customHeight="1" x14ac:dyDescent="0.35">
      <c r="A73" s="16">
        <v>45727</v>
      </c>
      <c r="B73" s="17">
        <f>+'BD MD'!B72</f>
        <v>32602787</v>
      </c>
      <c r="C73" s="17">
        <f t="shared" si="31"/>
        <v>3884872.1379310344</v>
      </c>
      <c r="D73" s="18">
        <f t="shared" si="28"/>
        <v>4.2366687389402573E-2</v>
      </c>
      <c r="E73" s="17">
        <v>34020740</v>
      </c>
      <c r="F73" s="19">
        <v>46092</v>
      </c>
      <c r="G73" s="17">
        <f t="shared" si="32"/>
        <v>5073230.9146942999</v>
      </c>
      <c r="H73" s="17">
        <v>4311064.9146942999</v>
      </c>
      <c r="I73" s="17">
        <v>762166</v>
      </c>
      <c r="J73" s="17">
        <v>3074978</v>
      </c>
      <c r="K73" s="17">
        <v>3585730</v>
      </c>
      <c r="L73" s="17">
        <v>18699.1379310345</v>
      </c>
      <c r="M73" s="17">
        <f>13903+11090</f>
        <v>24993</v>
      </c>
      <c r="N73" s="17">
        <v>92616</v>
      </c>
      <c r="O73" s="17">
        <v>75058</v>
      </c>
      <c r="P73" s="17">
        <v>13747</v>
      </c>
      <c r="Q73" s="17">
        <v>1008</v>
      </c>
      <c r="R73" s="17">
        <v>83805</v>
      </c>
      <c r="S73" s="17">
        <v>94735</v>
      </c>
      <c r="T73" s="17">
        <v>459672</v>
      </c>
      <c r="U73" s="17">
        <v>482545</v>
      </c>
      <c r="V73" s="17">
        <v>109568</v>
      </c>
      <c r="W73" s="17">
        <v>88078</v>
      </c>
      <c r="X73" s="17">
        <v>23342</v>
      </c>
      <c r="Y73" s="17">
        <v>16703</v>
      </c>
      <c r="Z73" s="17">
        <v>8445</v>
      </c>
      <c r="AA73" s="17">
        <v>11247</v>
      </c>
      <c r="AB73" s="17">
        <v>0</v>
      </c>
      <c r="AC73" s="17">
        <v>0</v>
      </c>
      <c r="AD73" s="17">
        <v>0</v>
      </c>
      <c r="AE73" s="17">
        <v>0</v>
      </c>
      <c r="AF73" s="17">
        <f t="shared" si="33"/>
        <v>4380097</v>
      </c>
      <c r="AG73" s="18">
        <f t="shared" si="34"/>
        <v>0.86337426260518113</v>
      </c>
      <c r="AH73" s="17">
        <f t="shared" si="35"/>
        <v>-693133.91469429992</v>
      </c>
      <c r="AI73" s="20">
        <f t="shared" si="36"/>
        <v>0.18507980251607714</v>
      </c>
      <c r="AJ73" s="20">
        <f t="shared" si="37"/>
        <v>0.10641747296972097</v>
      </c>
      <c r="AK73" s="21">
        <f t="shared" si="38"/>
        <v>0.12874784616677945</v>
      </c>
      <c r="AL73" s="21">
        <f t="shared" si="39"/>
        <v>-2.0463630219876627E-2</v>
      </c>
      <c r="AM73" s="31"/>
      <c r="AO73" s="38">
        <f t="shared" si="40"/>
        <v>46092</v>
      </c>
      <c r="AP73" s="17">
        <f>+Tabla22[[#This Row],[Web + APP 2025]]+Tabla22[[#This Row],[Afiliados 2025]]+Tabla22[[#This Row],[TMK 2025]]+Tabla22[[#This Row],[WA 2025]]+Tabla22[[#This Row],[Ent. en Tienda 2025]]</f>
        <v>3283845.1379310344</v>
      </c>
      <c r="AQ73" s="17">
        <f>+Tabla22[[#This Row],[Meli Drop 2025]]+Tabla22[[#This Row],[Meli Full 2025]]+Tabla22[[#This Row],[Amazon Drop 2025]]+Tabla22[[#This Row],[Amazon Full 2025]]+Tabla22[[#This Row],[TikTok 2025]]+Tabla22[[#This Row],[Shein 2025]]</f>
        <v>601027</v>
      </c>
      <c r="AR73" s="17">
        <f t="shared" si="41"/>
        <v>3781524</v>
      </c>
      <c r="AS73" s="17">
        <f t="shared" si="42"/>
        <v>598573</v>
      </c>
      <c r="AT73" s="18">
        <f t="shared" si="43"/>
        <v>0.15155369427150411</v>
      </c>
      <c r="AU73" s="18">
        <f t="shared" si="44"/>
        <v>-4.0830112457510559E-3</v>
      </c>
      <c r="AV73" s="17">
        <f t="shared" si="45"/>
        <v>4311064.9146942999</v>
      </c>
      <c r="AW73" s="17">
        <f t="shared" si="46"/>
        <v>762166</v>
      </c>
      <c r="AX73" s="39">
        <f t="shared" si="47"/>
        <v>0.87716702829285742</v>
      </c>
      <c r="AY73" s="39">
        <f t="shared" si="48"/>
        <v>0.785357782950171</v>
      </c>
      <c r="AZ73" s="39">
        <f t="shared" si="49"/>
        <v>0.86337426260518113</v>
      </c>
      <c r="BA73" s="18">
        <f t="shared" si="29"/>
        <v>3.5796193373904106E-2</v>
      </c>
      <c r="BB73" s="20">
        <f t="shared" si="30"/>
        <v>4.3839466982399114E-2</v>
      </c>
      <c r="BC73" s="17">
        <f t="shared" si="50"/>
        <v>-529540.91469429992</v>
      </c>
      <c r="BD73" s="17">
        <f t="shared" si="51"/>
        <v>-163593</v>
      </c>
    </row>
    <row r="74" spans="1:60" ht="14.25" hidden="1" customHeight="1" x14ac:dyDescent="0.35">
      <c r="A74" s="19">
        <v>45728</v>
      </c>
      <c r="B74" s="17">
        <f>+'BD MD'!B73</f>
        <v>34731472</v>
      </c>
      <c r="C74" s="17">
        <f t="shared" si="31"/>
        <v>3696035.4827586208</v>
      </c>
      <c r="D74" s="18">
        <f t="shared" si="28"/>
        <v>4.0307318830207002E-2</v>
      </c>
      <c r="E74" s="17">
        <v>39021599</v>
      </c>
      <c r="F74" s="19">
        <v>46093</v>
      </c>
      <c r="G74" s="17">
        <f t="shared" si="32"/>
        <v>4960834.1958905198</v>
      </c>
      <c r="H74" s="17">
        <v>4271438.1958905198</v>
      </c>
      <c r="I74" s="17">
        <v>689396</v>
      </c>
      <c r="J74" s="17">
        <v>3121984</v>
      </c>
      <c r="K74" s="17">
        <v>2569096</v>
      </c>
      <c r="L74" s="17">
        <v>20284.482758620699</v>
      </c>
      <c r="M74" s="17">
        <f>14742+11047</f>
        <v>25789</v>
      </c>
      <c r="N74" s="17">
        <v>49307</v>
      </c>
      <c r="O74" s="17">
        <v>27546</v>
      </c>
      <c r="P74" s="17">
        <v>2001</v>
      </c>
      <c r="Q74" s="17">
        <v>2372</v>
      </c>
      <c r="R74" s="17">
        <v>60084</v>
      </c>
      <c r="S74" s="17">
        <v>82817</v>
      </c>
      <c r="T74" s="17">
        <v>316270</v>
      </c>
      <c r="U74" s="17">
        <v>528144</v>
      </c>
      <c r="V74" s="17">
        <v>103062</v>
      </c>
      <c r="W74" s="17">
        <v>114102</v>
      </c>
      <c r="X74" s="17">
        <v>15545</v>
      </c>
      <c r="Y74" s="17">
        <v>9692</v>
      </c>
      <c r="Z74" s="17">
        <v>7498</v>
      </c>
      <c r="AA74" s="17">
        <v>6730</v>
      </c>
      <c r="AB74" s="17">
        <v>0</v>
      </c>
      <c r="AC74" s="17">
        <v>430</v>
      </c>
      <c r="AD74" s="17">
        <v>0</v>
      </c>
      <c r="AE74" s="17">
        <v>0</v>
      </c>
      <c r="AF74" s="17">
        <f t="shared" si="33"/>
        <v>3366718</v>
      </c>
      <c r="AG74" s="18">
        <f t="shared" si="34"/>
        <v>0.67865965018321683</v>
      </c>
      <c r="AH74" s="17">
        <f t="shared" si="35"/>
        <v>-1594116.1958905198</v>
      </c>
      <c r="AI74" s="20">
        <f t="shared" si="36"/>
        <v>0.15309682737115193</v>
      </c>
      <c r="AJ74" s="20">
        <f t="shared" si="37"/>
        <v>7.3916050844220316E-2</v>
      </c>
      <c r="AK74" s="21">
        <f t="shared" si="38"/>
        <v>8.627831986075199E-2</v>
      </c>
      <c r="AL74" s="21">
        <f t="shared" si="39"/>
        <v>-1.2123047159065092E-2</v>
      </c>
      <c r="AM74" s="31"/>
      <c r="AO74" s="38">
        <f t="shared" si="40"/>
        <v>46093</v>
      </c>
      <c r="AP74" s="17">
        <f>+Tabla22[[#This Row],[Web + APP 2025]]+Tabla22[[#This Row],[Afiliados 2025]]+Tabla22[[#This Row],[TMK 2025]]+Tabla22[[#This Row],[WA 2025]]+Tabla22[[#This Row],[Ent. en Tienda 2025]]</f>
        <v>3253660.4827586208</v>
      </c>
      <c r="AQ74" s="17">
        <f>+Tabla22[[#This Row],[Meli Drop 2025]]+Tabla22[[#This Row],[Meli Full 2025]]+Tabla22[[#This Row],[Amazon Drop 2025]]+Tabla22[[#This Row],[Amazon Full 2025]]+Tabla22[[#This Row],[TikTok 2025]]+Tabla22[[#This Row],[Shein 2025]]</f>
        <v>442375</v>
      </c>
      <c r="AR74" s="17">
        <f t="shared" si="41"/>
        <v>2707620</v>
      </c>
      <c r="AS74" s="17">
        <f t="shared" si="42"/>
        <v>659098</v>
      </c>
      <c r="AT74" s="18">
        <f t="shared" si="43"/>
        <v>-0.16782343629648155</v>
      </c>
      <c r="AU74" s="18">
        <f t="shared" si="44"/>
        <v>0.48990788358293313</v>
      </c>
      <c r="AV74" s="17">
        <f t="shared" si="45"/>
        <v>4271438.1958905198</v>
      </c>
      <c r="AW74" s="17">
        <f t="shared" si="46"/>
        <v>689396</v>
      </c>
      <c r="AX74" s="39">
        <f t="shared" si="47"/>
        <v>0.63388954160801314</v>
      </c>
      <c r="AY74" s="39">
        <f t="shared" si="48"/>
        <v>0.95605138411014856</v>
      </c>
      <c r="AZ74" s="39">
        <f t="shared" si="49"/>
        <v>0.67865965018321683</v>
      </c>
      <c r="BA74" s="18">
        <f t="shared" si="29"/>
        <v>2.6347137555851614E-2</v>
      </c>
      <c r="BB74" s="20">
        <f t="shared" si="30"/>
        <v>4.3436500600543528E-2</v>
      </c>
      <c r="BC74" s="17">
        <f t="shared" si="50"/>
        <v>-1563818.1958905198</v>
      </c>
      <c r="BD74" s="17">
        <f t="shared" si="51"/>
        <v>-30298</v>
      </c>
    </row>
    <row r="75" spans="1:60" ht="14.25" hidden="1" customHeight="1" x14ac:dyDescent="0.35">
      <c r="A75" s="16">
        <v>45729</v>
      </c>
      <c r="B75" s="17">
        <f>+'BD MD'!B74</f>
        <v>39500465</v>
      </c>
      <c r="C75" s="17">
        <f t="shared" si="31"/>
        <v>2919718.3793103448</v>
      </c>
      <c r="D75" s="18">
        <f t="shared" si="28"/>
        <v>3.1841149836970631E-2</v>
      </c>
      <c r="E75" s="17">
        <v>42853042</v>
      </c>
      <c r="F75" s="19">
        <v>46094</v>
      </c>
      <c r="G75" s="17">
        <f t="shared" si="32"/>
        <v>3809914.76603708</v>
      </c>
      <c r="H75" s="17">
        <v>3126449.76603708</v>
      </c>
      <c r="I75" s="17">
        <v>683465</v>
      </c>
      <c r="J75" s="17">
        <v>2241196</v>
      </c>
      <c r="K75" s="17">
        <v>2352964</v>
      </c>
      <c r="L75" s="17">
        <v>20541.379310344801</v>
      </c>
      <c r="M75" s="17">
        <f>13533+11707</f>
        <v>25240</v>
      </c>
      <c r="N75" s="17">
        <v>35516</v>
      </c>
      <c r="O75" s="17">
        <v>10254</v>
      </c>
      <c r="P75" s="17">
        <v>3738</v>
      </c>
      <c r="Q75" s="17">
        <v>1229</v>
      </c>
      <c r="R75" s="17">
        <v>80503</v>
      </c>
      <c r="S75" s="17">
        <v>84747</v>
      </c>
      <c r="T75" s="17">
        <v>406345</v>
      </c>
      <c r="U75" s="17">
        <v>449788</v>
      </c>
      <c r="V75" s="17">
        <v>108540</v>
      </c>
      <c r="W75" s="17">
        <v>88592</v>
      </c>
      <c r="X75" s="17">
        <v>17978</v>
      </c>
      <c r="Y75" s="17">
        <v>15754</v>
      </c>
      <c r="Z75" s="17">
        <v>5361</v>
      </c>
      <c r="AA75" s="17">
        <v>13891</v>
      </c>
      <c r="AB75" s="17">
        <v>0</v>
      </c>
      <c r="AC75" s="17">
        <v>0</v>
      </c>
      <c r="AD75" s="17">
        <v>0</v>
      </c>
      <c r="AE75" s="17">
        <v>0</v>
      </c>
      <c r="AF75" s="17">
        <f t="shared" si="33"/>
        <v>3042459</v>
      </c>
      <c r="AG75" s="18">
        <f t="shared" si="34"/>
        <v>0.79856353405108937</v>
      </c>
      <c r="AH75" s="17">
        <f t="shared" si="35"/>
        <v>-767455.76603707997</v>
      </c>
      <c r="AI75" s="20">
        <f t="shared" si="36"/>
        <v>0.14681627126009222</v>
      </c>
      <c r="AJ75" s="20">
        <f t="shared" si="37"/>
        <v>6.5490743870490892E-2</v>
      </c>
      <c r="AK75" s="21">
        <f t="shared" si="38"/>
        <v>7.0997503514452956E-2</v>
      </c>
      <c r="AL75" s="21">
        <f t="shared" si="39"/>
        <v>5.7866079365971101E-2</v>
      </c>
      <c r="AM75" s="31"/>
      <c r="AO75" s="38">
        <f t="shared" si="40"/>
        <v>46094</v>
      </c>
      <c r="AP75" s="17">
        <f>+Tabla22[[#This Row],[Web + APP 2025]]+Tabla22[[#This Row],[Afiliados 2025]]+Tabla22[[#This Row],[TMK 2025]]+Tabla22[[#This Row],[WA 2025]]+Tabla22[[#This Row],[Ent. en Tienda 2025]]</f>
        <v>2381494.3793103448</v>
      </c>
      <c r="AQ75" s="17">
        <f>+Tabla22[[#This Row],[Meli Drop 2025]]+Tabla22[[#This Row],[Meli Full 2025]]+Tabla22[[#This Row],[Amazon Drop 2025]]+Tabla22[[#This Row],[Amazon Full 2025]]+Tabla22[[#This Row],[TikTok 2025]]+Tabla22[[#This Row],[Shein 2025]]</f>
        <v>538224</v>
      </c>
      <c r="AR75" s="17">
        <f t="shared" si="41"/>
        <v>2474434</v>
      </c>
      <c r="AS75" s="17">
        <f t="shared" si="42"/>
        <v>568025</v>
      </c>
      <c r="AT75" s="18">
        <f t="shared" si="43"/>
        <v>3.9025756893270369E-2</v>
      </c>
      <c r="AU75" s="18">
        <f t="shared" si="44"/>
        <v>5.5369139986325422E-2</v>
      </c>
      <c r="AV75" s="17">
        <f t="shared" si="45"/>
        <v>3126449.76603708</v>
      </c>
      <c r="AW75" s="17">
        <f t="shared" si="46"/>
        <v>683465</v>
      </c>
      <c r="AX75" s="39">
        <f t="shared" si="47"/>
        <v>0.79145170566308498</v>
      </c>
      <c r="AY75" s="39">
        <f t="shared" si="48"/>
        <v>0.83109595955901183</v>
      </c>
      <c r="AZ75" s="39">
        <f t="shared" si="49"/>
        <v>0.79856353405108937</v>
      </c>
      <c r="BA75" s="18">
        <f t="shared" si="29"/>
        <v>3.2055748547862514E-2</v>
      </c>
      <c r="BB75" s="20">
        <f t="shared" si="30"/>
        <v>3.1793047426202217E-2</v>
      </c>
      <c r="BC75" s="17">
        <f t="shared" si="50"/>
        <v>-652015.76603707997</v>
      </c>
      <c r="BD75" s="17">
        <f t="shared" si="51"/>
        <v>-115440</v>
      </c>
    </row>
    <row r="76" spans="1:60" ht="14.25" hidden="1" customHeight="1" x14ac:dyDescent="0.35">
      <c r="A76" s="19">
        <v>45730</v>
      </c>
      <c r="B76" s="17">
        <f>+'BD MD'!B75</f>
        <v>40508948</v>
      </c>
      <c r="C76" s="17">
        <f t="shared" si="31"/>
        <v>2652961.1379310344</v>
      </c>
      <c r="D76" s="18">
        <f t="shared" si="28"/>
        <v>2.893201402680326E-2</v>
      </c>
      <c r="E76" s="17">
        <v>51179806</v>
      </c>
      <c r="F76" s="19">
        <v>46095</v>
      </c>
      <c r="G76" s="17">
        <f t="shared" si="32"/>
        <v>3495543.76009935</v>
      </c>
      <c r="H76" s="17">
        <v>2887214.76009935</v>
      </c>
      <c r="I76" s="17">
        <v>608329</v>
      </c>
      <c r="J76" s="17">
        <v>2063367</v>
      </c>
      <c r="K76" s="17">
        <v>2001768</v>
      </c>
      <c r="L76" s="17">
        <v>19974.1379310345</v>
      </c>
      <c r="M76" s="17">
        <f>16990+11226</f>
        <v>28216</v>
      </c>
      <c r="N76" s="17">
        <v>42958</v>
      </c>
      <c r="O76" s="17">
        <v>14927</v>
      </c>
      <c r="P76" s="17">
        <v>2014</v>
      </c>
      <c r="Q76" s="17">
        <v>2224</v>
      </c>
      <c r="R76" s="17">
        <v>70950</v>
      </c>
      <c r="S76" s="17">
        <v>87934</v>
      </c>
      <c r="T76" s="17">
        <v>344615</v>
      </c>
      <c r="U76" s="17">
        <v>481251</v>
      </c>
      <c r="V76" s="17">
        <v>79899</v>
      </c>
      <c r="W76" s="17">
        <v>65098</v>
      </c>
      <c r="X76" s="17">
        <v>19325</v>
      </c>
      <c r="Y76" s="17">
        <v>17234</v>
      </c>
      <c r="Z76" s="17">
        <v>9859</v>
      </c>
      <c r="AA76" s="17">
        <v>7560</v>
      </c>
      <c r="AB76" s="17">
        <v>0</v>
      </c>
      <c r="AC76" s="17">
        <v>0</v>
      </c>
      <c r="AD76" s="17">
        <v>0</v>
      </c>
      <c r="AE76" s="17">
        <v>603</v>
      </c>
      <c r="AF76" s="17">
        <f t="shared" si="33"/>
        <v>2706815</v>
      </c>
      <c r="AG76" s="18">
        <f t="shared" si="34"/>
        <v>0.77436164035407962</v>
      </c>
      <c r="AH76" s="17">
        <f t="shared" si="35"/>
        <v>-788728.76009935001</v>
      </c>
      <c r="AI76" s="20">
        <f t="shared" si="36"/>
        <v>0.13570951176692003</v>
      </c>
      <c r="AJ76" s="20">
        <f t="shared" si="37"/>
        <v>4.6929898180670719E-2</v>
      </c>
      <c r="AK76" s="21">
        <f t="shared" si="38"/>
        <v>5.288834037393577E-2</v>
      </c>
      <c r="AL76" s="21">
        <f t="shared" si="39"/>
        <v>7.7595812839552636E-3</v>
      </c>
      <c r="AM76" s="31"/>
      <c r="AO76" s="38">
        <f t="shared" si="40"/>
        <v>46095</v>
      </c>
      <c r="AP76" s="17">
        <f>+Tabla22[[#This Row],[Web + APP 2025]]+Tabla22[[#This Row],[Afiliados 2025]]+Tabla22[[#This Row],[TMK 2025]]+Tabla22[[#This Row],[WA 2025]]+Tabla22[[#This Row],[Ent. en Tienda 2025]]</f>
        <v>2199263.1379310344</v>
      </c>
      <c r="AQ76" s="17">
        <f>+Tabla22[[#This Row],[Meli Drop 2025]]+Tabla22[[#This Row],[Meli Full 2025]]+Tabla22[[#This Row],[Amazon Drop 2025]]+Tabla22[[#This Row],[Amazon Full 2025]]+Tabla22[[#This Row],[TikTok 2025]]+Tabla22[[#This Row],[Shein 2025]]</f>
        <v>453698</v>
      </c>
      <c r="AR76" s="17">
        <f t="shared" si="41"/>
        <v>2135069</v>
      </c>
      <c r="AS76" s="17">
        <f t="shared" si="42"/>
        <v>571746</v>
      </c>
      <c r="AT76" s="18">
        <f t="shared" si="43"/>
        <v>-2.9188930066560981E-2</v>
      </c>
      <c r="AU76" s="18">
        <f t="shared" si="44"/>
        <v>0.26019069954022278</v>
      </c>
      <c r="AV76" s="17">
        <f t="shared" si="45"/>
        <v>2887214.76009935</v>
      </c>
      <c r="AW76" s="17">
        <f t="shared" si="46"/>
        <v>608329</v>
      </c>
      <c r="AX76" s="39">
        <f t="shared" si="47"/>
        <v>0.73949088564736054</v>
      </c>
      <c r="AY76" s="39">
        <f t="shared" si="48"/>
        <v>0.93986313327163429</v>
      </c>
      <c r="AZ76" s="39">
        <f t="shared" si="49"/>
        <v>0.77436164035407962</v>
      </c>
      <c r="BA76" s="18">
        <f t="shared" si="29"/>
        <v>2.7021517072200657E-2</v>
      </c>
      <c r="BB76" s="20">
        <f t="shared" si="30"/>
        <v>2.9360252895993873E-2</v>
      </c>
      <c r="BC76" s="17">
        <f t="shared" si="50"/>
        <v>-752145.76009935001</v>
      </c>
      <c r="BD76" s="17">
        <f t="shared" si="51"/>
        <v>-36583</v>
      </c>
    </row>
    <row r="77" spans="1:60" ht="14.25" hidden="1" customHeight="1" x14ac:dyDescent="0.35">
      <c r="A77" s="16">
        <v>45731</v>
      </c>
      <c r="B77" s="17">
        <f>+'BD MD'!B76</f>
        <v>50785730</v>
      </c>
      <c r="C77" s="17">
        <f t="shared" si="31"/>
        <v>2383369.1379310344</v>
      </c>
      <c r="D77" s="18">
        <f t="shared" si="28"/>
        <v>2.5991963600132929E-2</v>
      </c>
      <c r="E77" s="17">
        <v>49926015</v>
      </c>
      <c r="F77" s="19">
        <v>46096</v>
      </c>
      <c r="G77" s="17">
        <f t="shared" si="32"/>
        <v>3092104.9730690098</v>
      </c>
      <c r="H77" s="17">
        <v>2445914.9730690098</v>
      </c>
      <c r="I77" s="17">
        <v>646190</v>
      </c>
      <c r="J77" s="17">
        <v>1765846</v>
      </c>
      <c r="K77" s="17">
        <v>2324978</v>
      </c>
      <c r="L77" s="17">
        <v>21924.1379310345</v>
      </c>
      <c r="M77" s="17">
        <f>17366+12331</f>
        <v>29697</v>
      </c>
      <c r="N77" s="17">
        <v>20436</v>
      </c>
      <c r="O77" s="17">
        <v>6793</v>
      </c>
      <c r="P77" s="17">
        <v>10353</v>
      </c>
      <c r="Q77" s="17">
        <v>2651</v>
      </c>
      <c r="R77" s="17">
        <v>44555</v>
      </c>
      <c r="S77" s="17">
        <v>127807</v>
      </c>
      <c r="T77" s="17">
        <v>376445</v>
      </c>
      <c r="U77" s="17">
        <v>506009</v>
      </c>
      <c r="V77" s="17">
        <v>119373</v>
      </c>
      <c r="W77" s="17">
        <v>90650</v>
      </c>
      <c r="X77" s="17">
        <v>15604</v>
      </c>
      <c r="Y77" s="17">
        <v>17281</v>
      </c>
      <c r="Z77" s="17">
        <v>8833</v>
      </c>
      <c r="AA77" s="17">
        <v>7630</v>
      </c>
      <c r="AB77" s="17">
        <v>0</v>
      </c>
      <c r="AC77" s="17">
        <v>1791</v>
      </c>
      <c r="AD77" s="17">
        <v>0</v>
      </c>
      <c r="AE77" s="17">
        <v>646</v>
      </c>
      <c r="AF77" s="17">
        <f t="shared" si="33"/>
        <v>3115933</v>
      </c>
      <c r="AG77" s="18">
        <f t="shared" si="34"/>
        <v>1.0077060860282956</v>
      </c>
      <c r="AH77" s="17">
        <f t="shared" si="35"/>
        <v>23828.026930990163</v>
      </c>
      <c r="AI77" s="20">
        <f t="shared" si="36"/>
        <v>0.24684915241783667</v>
      </c>
      <c r="AJ77" s="20">
        <f t="shared" si="37"/>
        <v>5.3577824615761889E-2</v>
      </c>
      <c r="AK77" s="21">
        <f t="shared" si="38"/>
        <v>6.2411009570862007E-2</v>
      </c>
      <c r="AL77" s="21">
        <f t="shared" si="39"/>
        <v>7.0379499865403927E-2</v>
      </c>
      <c r="AM77" s="31"/>
      <c r="AO77" s="38">
        <f t="shared" si="40"/>
        <v>46096</v>
      </c>
      <c r="AP77" s="17">
        <f>+Tabla22[[#This Row],[Web + APP 2025]]+Tabla22[[#This Row],[Afiliados 2025]]+Tabla22[[#This Row],[TMK 2025]]+Tabla22[[#This Row],[WA 2025]]+Tabla22[[#This Row],[Ent. en Tienda 2025]]</f>
        <v>1863114.1379310344</v>
      </c>
      <c r="AQ77" s="17">
        <f>+Tabla22[[#This Row],[Meli Drop 2025]]+Tabla22[[#This Row],[Meli Full 2025]]+Tabla22[[#This Row],[Amazon Drop 2025]]+Tabla22[[#This Row],[Amazon Full 2025]]+Tabla22[[#This Row],[TikTok 2025]]+Tabla22[[#This Row],[Shein 2025]]</f>
        <v>520255</v>
      </c>
      <c r="AR77" s="17">
        <f t="shared" si="41"/>
        <v>2491926</v>
      </c>
      <c r="AS77" s="17">
        <f t="shared" si="42"/>
        <v>624007</v>
      </c>
      <c r="AT77" s="18">
        <f t="shared" si="43"/>
        <v>0.33750581849336059</v>
      </c>
      <c r="AU77" s="18">
        <f t="shared" si="44"/>
        <v>0.19942528183294739</v>
      </c>
      <c r="AV77" s="17">
        <f t="shared" si="45"/>
        <v>2445914.9730690098</v>
      </c>
      <c r="AW77" s="17">
        <f t="shared" si="46"/>
        <v>646190</v>
      </c>
      <c r="AX77" s="39">
        <f t="shared" si="47"/>
        <v>1.0188113762896909</v>
      </c>
      <c r="AY77" s="39">
        <f t="shared" si="48"/>
        <v>0.96567108745105934</v>
      </c>
      <c r="AZ77" s="39">
        <f t="shared" si="49"/>
        <v>1.0077060860282956</v>
      </c>
      <c r="BA77" s="18">
        <f t="shared" si="29"/>
        <v>3.0985544050001878E-2</v>
      </c>
      <c r="BB77" s="20">
        <f t="shared" si="30"/>
        <v>2.4872649989131104E-2</v>
      </c>
      <c r="BC77" s="17">
        <f t="shared" si="50"/>
        <v>46011.026930990163</v>
      </c>
      <c r="BD77" s="17">
        <f t="shared" si="51"/>
        <v>-22183</v>
      </c>
    </row>
    <row r="78" spans="1:60" ht="14.25" hidden="1" customHeight="1" x14ac:dyDescent="0.35">
      <c r="A78" s="19">
        <v>45732</v>
      </c>
      <c r="B78" s="17">
        <f>+'BD MD'!B77</f>
        <v>46643284</v>
      </c>
      <c r="C78" s="17">
        <f t="shared" si="31"/>
        <v>2499045.6896551726</v>
      </c>
      <c r="D78" s="18">
        <f t="shared" si="28"/>
        <v>2.7253480615668648E-2</v>
      </c>
      <c r="E78" s="17">
        <v>48089099</v>
      </c>
      <c r="F78" s="19">
        <v>46097</v>
      </c>
      <c r="G78" s="17">
        <f t="shared" si="32"/>
        <v>3188666.7215949399</v>
      </c>
      <c r="H78" s="17">
        <v>2491799.7215949399</v>
      </c>
      <c r="I78" s="17">
        <v>696867</v>
      </c>
      <c r="J78" s="17">
        <v>1783206</v>
      </c>
      <c r="K78" s="17">
        <v>3399452</v>
      </c>
      <c r="L78" s="17">
        <v>22420.689655172398</v>
      </c>
      <c r="M78" s="17">
        <v>29457</v>
      </c>
      <c r="N78" s="17">
        <v>15356</v>
      </c>
      <c r="O78" s="17">
        <v>1988</v>
      </c>
      <c r="P78" s="17">
        <v>4841</v>
      </c>
      <c r="Q78" s="17">
        <v>8157</v>
      </c>
      <c r="R78" s="17">
        <v>72242</v>
      </c>
      <c r="S78" s="17">
        <v>87872</v>
      </c>
      <c r="T78" s="17">
        <v>420638</v>
      </c>
      <c r="U78" s="17">
        <v>560507</v>
      </c>
      <c r="V78" s="17">
        <v>153175</v>
      </c>
      <c r="W78" s="17">
        <v>93974</v>
      </c>
      <c r="X78" s="17">
        <v>16158</v>
      </c>
      <c r="Y78" s="17">
        <v>17848</v>
      </c>
      <c r="Z78" s="17">
        <v>11009</v>
      </c>
      <c r="AA78" s="17">
        <v>11596</v>
      </c>
      <c r="AB78" s="17">
        <v>0</v>
      </c>
      <c r="AC78" s="17">
        <v>0</v>
      </c>
      <c r="AD78" s="17">
        <v>0</v>
      </c>
      <c r="AE78" s="17">
        <v>0</v>
      </c>
      <c r="AF78" s="17">
        <f t="shared" si="33"/>
        <v>4210851</v>
      </c>
      <c r="AG78" s="18">
        <f t="shared" si="34"/>
        <v>1.3205679262377641</v>
      </c>
      <c r="AH78" s="17">
        <f t="shared" si="35"/>
        <v>1022184.2784050601</v>
      </c>
      <c r="AI78" s="20">
        <f t="shared" si="36"/>
        <v>0.28897731343298694</v>
      </c>
      <c r="AJ78" s="20">
        <f t="shared" si="37"/>
        <v>6.8617780005099938E-2</v>
      </c>
      <c r="AK78" s="21">
        <f t="shared" si="38"/>
        <v>8.7563524531827891E-2</v>
      </c>
      <c r="AL78" s="21">
        <f t="shared" si="39"/>
        <v>1.0086816372501195E-2</v>
      </c>
      <c r="AM78" s="31"/>
      <c r="AO78" s="38">
        <f t="shared" si="40"/>
        <v>46097</v>
      </c>
      <c r="AP78" s="17">
        <f>+Tabla22[[#This Row],[Web + APP 2025]]+Tabla22[[#This Row],[Afiliados 2025]]+Tabla22[[#This Row],[TMK 2025]]+Tabla22[[#This Row],[WA 2025]]+Tabla22[[#This Row],[Ent. en Tienda 2025]]</f>
        <v>1898065.6896551724</v>
      </c>
      <c r="AQ78" s="17">
        <f>+Tabla22[[#This Row],[Meli Drop 2025]]+Tabla22[[#This Row],[Meli Full 2025]]+Tabla22[[#This Row],[Amazon Drop 2025]]+Tabla22[[#This Row],[Amazon Full 2025]]+Tabla22[[#This Row],[TikTok 2025]]+Tabla22[[#This Row],[Shein 2025]]</f>
        <v>600980</v>
      </c>
      <c r="AR78" s="17">
        <f t="shared" si="41"/>
        <v>3526926</v>
      </c>
      <c r="AS78" s="17">
        <f t="shared" si="42"/>
        <v>683925</v>
      </c>
      <c r="AT78" s="18">
        <f t="shared" si="43"/>
        <v>0.85816856562048049</v>
      </c>
      <c r="AU78" s="18">
        <f t="shared" si="44"/>
        <v>0.13801624014110292</v>
      </c>
      <c r="AV78" s="17">
        <f t="shared" si="45"/>
        <v>2491799.7215949399</v>
      </c>
      <c r="AW78" s="17">
        <f t="shared" si="46"/>
        <v>696867</v>
      </c>
      <c r="AX78" s="39">
        <f t="shared" si="47"/>
        <v>1.4154131126327043</v>
      </c>
      <c r="AY78" s="39">
        <f t="shared" si="48"/>
        <v>0.98142830697966754</v>
      </c>
      <c r="AZ78" s="39">
        <f t="shared" si="49"/>
        <v>1.3205679262377641</v>
      </c>
      <c r="BA78" s="18">
        <f t="shared" si="29"/>
        <v>3.579339413012874E-2</v>
      </c>
      <c r="BB78" s="20">
        <f t="shared" si="30"/>
        <v>2.5339254635036956E-2</v>
      </c>
      <c r="BC78" s="17">
        <f t="shared" si="50"/>
        <v>1035126.2784050601</v>
      </c>
      <c r="BD78" s="17">
        <f t="shared" si="51"/>
        <v>-12942</v>
      </c>
    </row>
    <row r="79" spans="1:60" ht="14.25" hidden="1" customHeight="1" x14ac:dyDescent="0.35">
      <c r="A79" s="16">
        <v>45733</v>
      </c>
      <c r="B79" s="17">
        <f>+'BD MD'!B78</f>
        <v>47608877</v>
      </c>
      <c r="C79" s="17">
        <f t="shared" si="31"/>
        <v>3266815.4482758623</v>
      </c>
      <c r="D79" s="18">
        <f t="shared" si="28"/>
        <v>3.5626436068417006E-2</v>
      </c>
      <c r="E79" s="17">
        <v>29095609</v>
      </c>
      <c r="F79" s="19">
        <v>46098</v>
      </c>
      <c r="G79" s="17">
        <f t="shared" si="32"/>
        <v>4195600.6436511902</v>
      </c>
      <c r="H79" s="17">
        <v>3410028.6436511902</v>
      </c>
      <c r="I79" s="17">
        <v>785572</v>
      </c>
      <c r="J79" s="17">
        <v>2491693</v>
      </c>
      <c r="K79" s="17">
        <v>3855703</v>
      </c>
      <c r="L79" s="17">
        <v>27203.448275862102</v>
      </c>
      <c r="M79" s="17">
        <v>23686</v>
      </c>
      <c r="N79" s="17">
        <v>16130</v>
      </c>
      <c r="O79" s="17">
        <v>50602</v>
      </c>
      <c r="P79" s="17">
        <v>128</v>
      </c>
      <c r="Q79" s="17">
        <v>-430</v>
      </c>
      <c r="R79" s="17">
        <v>62349</v>
      </c>
      <c r="S79" s="17">
        <v>113345</v>
      </c>
      <c r="T79" s="17">
        <v>466542</v>
      </c>
      <c r="U79" s="17">
        <v>500176</v>
      </c>
      <c r="V79" s="17">
        <v>176254</v>
      </c>
      <c r="W79" s="17">
        <v>79938</v>
      </c>
      <c r="X79" s="17">
        <v>16451</v>
      </c>
      <c r="Y79" s="17">
        <v>15249</v>
      </c>
      <c r="Z79" s="17">
        <v>10065</v>
      </c>
      <c r="AA79" s="17">
        <v>11085</v>
      </c>
      <c r="AB79" s="17">
        <v>0</v>
      </c>
      <c r="AC79" s="17">
        <v>397</v>
      </c>
      <c r="AD79" s="17">
        <v>0</v>
      </c>
      <c r="AE79" s="17">
        <v>0</v>
      </c>
      <c r="AF79" s="17">
        <f t="shared" si="33"/>
        <v>4649751</v>
      </c>
      <c r="AG79" s="18">
        <f t="shared" si="34"/>
        <v>1.1082444195531416</v>
      </c>
      <c r="AH79" s="17">
        <f t="shared" si="35"/>
        <v>454150.35634880979</v>
      </c>
      <c r="AI79" s="20">
        <f t="shared" si="36"/>
        <v>0.21918557279306938</v>
      </c>
      <c r="AJ79" s="20">
        <f t="shared" si="37"/>
        <v>0.12854464866690449</v>
      </c>
      <c r="AK79" s="21">
        <f t="shared" si="38"/>
        <v>0.15980937192275302</v>
      </c>
      <c r="AL79" s="21">
        <f t="shared" si="39"/>
        <v>-1.9332976352617215E-2</v>
      </c>
      <c r="AM79" s="31"/>
      <c r="AO79" s="38">
        <f t="shared" si="40"/>
        <v>46098</v>
      </c>
      <c r="AP79" s="17">
        <f>+Tabla22[[#This Row],[Web + APP 2025]]+Tabla22[[#This Row],[Afiliados 2025]]+Tabla22[[#This Row],[TMK 2025]]+Tabla22[[#This Row],[WA 2025]]+Tabla22[[#This Row],[Ent. en Tienda 2025]]</f>
        <v>2597503.4482758623</v>
      </c>
      <c r="AQ79" s="17">
        <f>+Tabla22[[#This Row],[Meli Drop 2025]]+Tabla22[[#This Row],[Meli Full 2025]]+Tabla22[[#This Row],[Amazon Drop 2025]]+Tabla22[[#This Row],[Amazon Full 2025]]+Tabla22[[#This Row],[TikTok 2025]]+Tabla22[[#This Row],[Shein 2025]]</f>
        <v>669312</v>
      </c>
      <c r="AR79" s="17">
        <f t="shared" si="41"/>
        <v>4042906</v>
      </c>
      <c r="AS79" s="17">
        <f t="shared" si="42"/>
        <v>606845</v>
      </c>
      <c r="AT79" s="18">
        <f t="shared" si="43"/>
        <v>0.55645837647820984</v>
      </c>
      <c r="AU79" s="18">
        <f t="shared" si="44"/>
        <v>-9.3330165901702067E-2</v>
      </c>
      <c r="AV79" s="17">
        <f t="shared" si="45"/>
        <v>3410028.6436511902</v>
      </c>
      <c r="AW79" s="17">
        <f t="shared" si="46"/>
        <v>785572</v>
      </c>
      <c r="AX79" s="39">
        <f t="shared" si="47"/>
        <v>1.1855929736916153</v>
      </c>
      <c r="AY79" s="39">
        <f t="shared" si="48"/>
        <v>0.77248807238547201</v>
      </c>
      <c r="AZ79" s="39">
        <f t="shared" si="49"/>
        <v>1.1082444195531416</v>
      </c>
      <c r="BA79" s="18">
        <f t="shared" si="29"/>
        <v>3.9863137229233465E-2</v>
      </c>
      <c r="BB79" s="20">
        <f t="shared" si="30"/>
        <v>3.4676777337040492E-2</v>
      </c>
      <c r="BC79" s="17">
        <f t="shared" si="50"/>
        <v>632877.35634880979</v>
      </c>
      <c r="BD79" s="17">
        <f t="shared" si="51"/>
        <v>-178727</v>
      </c>
    </row>
    <row r="80" spans="1:60" ht="14.25" hidden="1" customHeight="1" x14ac:dyDescent="0.35">
      <c r="A80" s="19">
        <v>45734</v>
      </c>
      <c r="B80" s="17">
        <f>+'BD MD'!B79</f>
        <v>29669203</v>
      </c>
      <c r="C80" s="17">
        <f t="shared" si="31"/>
        <v>3813817.2758620689</v>
      </c>
      <c r="D80" s="18">
        <f t="shared" si="28"/>
        <v>4.1591794671729708E-2</v>
      </c>
      <c r="E80" s="17">
        <v>33761513</v>
      </c>
      <c r="F80" s="19">
        <v>46099</v>
      </c>
      <c r="G80" s="17">
        <f t="shared" si="32"/>
        <v>4962094.2578005204</v>
      </c>
      <c r="H80" s="17">
        <v>4248239.2578005204</v>
      </c>
      <c r="I80" s="17">
        <v>713855</v>
      </c>
      <c r="J80" s="17">
        <v>3071084</v>
      </c>
      <c r="K80" s="17">
        <v>3737072</v>
      </c>
      <c r="L80" s="17">
        <v>18998.275862069</v>
      </c>
      <c r="M80" s="17">
        <v>19698</v>
      </c>
      <c r="N80" s="17">
        <v>73572</v>
      </c>
      <c r="O80" s="17">
        <v>39710</v>
      </c>
      <c r="P80" s="17">
        <v>-818</v>
      </c>
      <c r="Q80" s="17">
        <v>5715</v>
      </c>
      <c r="R80" s="17">
        <v>73153</v>
      </c>
      <c r="S80" s="17">
        <v>78016</v>
      </c>
      <c r="T80" s="17">
        <v>419718</v>
      </c>
      <c r="U80" s="17">
        <v>524686</v>
      </c>
      <c r="V80" s="17">
        <v>123367</v>
      </c>
      <c r="W80" s="17">
        <v>102274</v>
      </c>
      <c r="X80" s="17">
        <v>22898</v>
      </c>
      <c r="Y80" s="17">
        <v>18601</v>
      </c>
      <c r="Z80" s="17">
        <v>11845</v>
      </c>
      <c r="AA80" s="17">
        <v>8408</v>
      </c>
      <c r="AB80" s="17">
        <v>0</v>
      </c>
      <c r="AC80" s="17">
        <v>0</v>
      </c>
      <c r="AD80" s="17">
        <v>0</v>
      </c>
      <c r="AE80" s="17">
        <v>0</v>
      </c>
      <c r="AF80" s="17">
        <f t="shared" si="33"/>
        <v>4534180</v>
      </c>
      <c r="AG80" s="18">
        <f t="shared" si="34"/>
        <v>0.91376337579081057</v>
      </c>
      <c r="AH80" s="17">
        <f t="shared" si="35"/>
        <v>-427914.2578005204</v>
      </c>
      <c r="AI80" s="20">
        <f t="shared" si="36"/>
        <v>0.24359076488880183</v>
      </c>
      <c r="AJ80" s="20">
        <f t="shared" si="37"/>
        <v>0.11520510367646092</v>
      </c>
      <c r="AK80" s="21">
        <f t="shared" si="38"/>
        <v>0.13430026077326571</v>
      </c>
      <c r="AL80" s="21">
        <f t="shared" si="39"/>
        <v>6.6773825867531E-2</v>
      </c>
      <c r="AM80" s="31"/>
      <c r="AO80" s="38">
        <f t="shared" si="40"/>
        <v>46099</v>
      </c>
      <c r="AP80" s="17">
        <f>+Tabla22[[#This Row],[Web + APP 2025]]+Tabla22[[#This Row],[Afiliados 2025]]+Tabla22[[#This Row],[TMK 2025]]+Tabla22[[#This Row],[WA 2025]]+Tabla22[[#This Row],[Ent. en Tienda 2025]]</f>
        <v>3235989.2758620689</v>
      </c>
      <c r="AQ80" s="17">
        <f>+Tabla22[[#This Row],[Meli Drop 2025]]+Tabla22[[#This Row],[Meli Full 2025]]+Tabla22[[#This Row],[Amazon Drop 2025]]+Tabla22[[#This Row],[Amazon Full 2025]]+Tabla22[[#This Row],[TikTok 2025]]+Tabla22[[#This Row],[Shein 2025]]</f>
        <v>577828</v>
      </c>
      <c r="AR80" s="17">
        <f t="shared" si="41"/>
        <v>3880211</v>
      </c>
      <c r="AS80" s="17">
        <f t="shared" si="42"/>
        <v>653969</v>
      </c>
      <c r="AT80" s="18">
        <f t="shared" si="43"/>
        <v>0.19908030256568465</v>
      </c>
      <c r="AU80" s="18">
        <f t="shared" si="44"/>
        <v>0.13177104605522749</v>
      </c>
      <c r="AV80" s="17">
        <f t="shared" si="45"/>
        <v>4248239.2578005204</v>
      </c>
      <c r="AW80" s="17">
        <f t="shared" si="46"/>
        <v>713855</v>
      </c>
      <c r="AX80" s="39">
        <f t="shared" si="47"/>
        <v>0.91336922535030129</v>
      </c>
      <c r="AY80" s="39">
        <f t="shared" si="48"/>
        <v>0.91610901373528242</v>
      </c>
      <c r="AZ80" s="39">
        <f t="shared" si="49"/>
        <v>0.91376337579081057</v>
      </c>
      <c r="BA80" s="18">
        <f t="shared" si="29"/>
        <v>3.4414498558061883E-2</v>
      </c>
      <c r="BB80" s="20">
        <f t="shared" si="30"/>
        <v>4.3200589265282259E-2</v>
      </c>
      <c r="BC80" s="17">
        <f t="shared" si="50"/>
        <v>-368028.2578005204</v>
      </c>
      <c r="BD80" s="17">
        <f t="shared" si="51"/>
        <v>-59886</v>
      </c>
    </row>
    <row r="81" spans="1:56" ht="14.25" hidden="1" customHeight="1" x14ac:dyDescent="0.35">
      <c r="A81" s="16">
        <v>45735</v>
      </c>
      <c r="B81" s="17">
        <f>+'BD MD'!B80</f>
        <v>31648239</v>
      </c>
      <c r="C81" s="17">
        <f t="shared" si="31"/>
        <v>3646038.6551724137</v>
      </c>
      <c r="D81" s="18">
        <f t="shared" si="28"/>
        <v>3.9762075669145136E-2</v>
      </c>
      <c r="E81" s="17">
        <v>37697073</v>
      </c>
      <c r="F81" s="19">
        <v>46100</v>
      </c>
      <c r="G81" s="17">
        <f t="shared" si="32"/>
        <v>4800393.87091411</v>
      </c>
      <c r="H81" s="17">
        <v>4124349.87091411</v>
      </c>
      <c r="I81" s="17">
        <v>676044</v>
      </c>
      <c r="J81" s="17">
        <v>2976626</v>
      </c>
      <c r="K81" s="17">
        <f>+Tabla2[[#This Row],[Web + APP 2026]]</f>
        <v>3081196</v>
      </c>
      <c r="L81" s="17">
        <v>19664.655172413801</v>
      </c>
      <c r="M81" s="17">
        <f>+Tabla2[[#This Row],[Afiliados 2026]]</f>
        <v>22547</v>
      </c>
      <c r="N81" s="17">
        <v>74611</v>
      </c>
      <c r="O81" s="17">
        <f>+Tabla2[[#This Row],[TMK 2026]]</f>
        <v>983</v>
      </c>
      <c r="P81" s="17">
        <v>-1496</v>
      </c>
      <c r="Q81" s="17">
        <f>+Tabla2[[#This Row],[WA 2026]]</f>
        <v>3306</v>
      </c>
      <c r="R81" s="17">
        <v>72214</v>
      </c>
      <c r="S81" s="17">
        <f>+Tabla2[[#This Row],[Ent. en Tienda 2026]]</f>
        <v>83172</v>
      </c>
      <c r="T81" s="17">
        <v>365376</v>
      </c>
      <c r="U81" s="17">
        <f>+Tabla2[[#This Row],[Meli Drop 2026]]</f>
        <v>498101</v>
      </c>
      <c r="V81" s="17">
        <v>116910</v>
      </c>
      <c r="W81" s="17">
        <f>+Tabla2[[#This Row],[Meli Full 2026]]</f>
        <v>60356</v>
      </c>
      <c r="X81" s="17">
        <v>13598</v>
      </c>
      <c r="Y81" s="17">
        <f>+Tabla2[[#This Row],[Amazon Drop 2026]]</f>
        <v>12568</v>
      </c>
      <c r="Z81" s="17">
        <v>8535</v>
      </c>
      <c r="AA81" s="17">
        <f>+Tabla2[[#This Row],[Amazon Full 2026]]</f>
        <v>4699</v>
      </c>
      <c r="AB81" s="17">
        <v>0</v>
      </c>
      <c r="AC81" s="17">
        <f>+Tabla2[[#This Row],[TikTok 2026]]</f>
        <v>0</v>
      </c>
      <c r="AD81" s="17">
        <v>0</v>
      </c>
      <c r="AE81" s="17">
        <f>+Tabla2[[#This Row],[Shein 2026]]</f>
        <v>0</v>
      </c>
      <c r="AF81" s="17">
        <f t="shared" si="33"/>
        <v>3766928</v>
      </c>
      <c r="AG81" s="18">
        <f t="shared" si="34"/>
        <v>0.78471227597053128</v>
      </c>
      <c r="AH81" s="17">
        <f t="shared" si="35"/>
        <v>-1033465.87091411</v>
      </c>
      <c r="AI81" s="20">
        <f t="shared" si="36"/>
        <v>0.27756685937836978</v>
      </c>
      <c r="AJ81" s="20">
        <f t="shared" si="37"/>
        <v>8.5161423500863115E-2</v>
      </c>
      <c r="AK81" s="21">
        <f t="shared" si="38"/>
        <v>9.9926272790463067E-2</v>
      </c>
      <c r="AL81" s="21">
        <f t="shared" si="39"/>
        <v>8.879686316662827E-2</v>
      </c>
      <c r="AM81" s="31"/>
      <c r="AO81" s="38">
        <f t="shared" si="40"/>
        <v>46100</v>
      </c>
      <c r="AP81" s="17">
        <f>+Tabla22[[#This Row],[Web + APP 2025]]+Tabla22[[#This Row],[Afiliados 2025]]+Tabla22[[#This Row],[TMK 2025]]+Tabla22[[#This Row],[WA 2025]]+Tabla22[[#This Row],[Ent. en Tienda 2025]]</f>
        <v>3141619.6551724137</v>
      </c>
      <c r="AQ81" s="17">
        <f>+Tabla22[[#This Row],[Meli Drop 2025]]+Tabla22[[#This Row],[Meli Full 2025]]+Tabla22[[#This Row],[Amazon Drop 2025]]+Tabla22[[#This Row],[Amazon Full 2025]]+Tabla22[[#This Row],[TikTok 2025]]+Tabla22[[#This Row],[Shein 2025]]</f>
        <v>504419</v>
      </c>
      <c r="AR81" s="17">
        <f t="shared" si="41"/>
        <v>3191204</v>
      </c>
      <c r="AS81" s="17">
        <f t="shared" si="42"/>
        <v>575724</v>
      </c>
      <c r="AT81" s="18">
        <f t="shared" si="43"/>
        <v>1.5783051505280143E-2</v>
      </c>
      <c r="AU81" s="18">
        <f t="shared" si="44"/>
        <v>0.14136065453521773</v>
      </c>
      <c r="AV81" s="17">
        <f t="shared" si="45"/>
        <v>4124349.87091411</v>
      </c>
      <c r="AW81" s="17">
        <f t="shared" si="46"/>
        <v>676044</v>
      </c>
      <c r="AX81" s="39">
        <f t="shared" si="47"/>
        <v>0.77374716012943634</v>
      </c>
      <c r="AY81" s="39">
        <f t="shared" si="48"/>
        <v>0.85160729183307593</v>
      </c>
      <c r="AZ81" s="39">
        <f t="shared" si="49"/>
        <v>0.78471227597053128</v>
      </c>
      <c r="BA81" s="18">
        <f t="shared" si="29"/>
        <v>3.0042377572840045E-2</v>
      </c>
      <c r="BB81" s="20">
        <f t="shared" si="30"/>
        <v>4.1940750967008479E-2</v>
      </c>
      <c r="BC81" s="17">
        <f t="shared" si="50"/>
        <v>-933145.87091410998</v>
      </c>
      <c r="BD81" s="17">
        <f t="shared" si="51"/>
        <v>-100320</v>
      </c>
    </row>
    <row r="82" spans="1:56" ht="14.25" hidden="1" customHeight="1" x14ac:dyDescent="0.35">
      <c r="A82" s="19">
        <v>45736</v>
      </c>
      <c r="B82" s="17">
        <f>+'BD MD'!B81</f>
        <v>34622687</v>
      </c>
      <c r="C82" s="17">
        <f t="shared" si="31"/>
        <v>2948517.3103448278</v>
      </c>
      <c r="D82" s="18">
        <f t="shared" si="28"/>
        <v>3.215521816791362E-2</v>
      </c>
      <c r="E82" s="17">
        <v>35305337</v>
      </c>
      <c r="F82" s="19">
        <v>46101</v>
      </c>
      <c r="G82" s="17">
        <f t="shared" si="32"/>
        <v>3757465.64467031</v>
      </c>
      <c r="H82" s="17">
        <v>3088476.64467031</v>
      </c>
      <c r="I82" s="17">
        <v>668989</v>
      </c>
      <c r="J82" s="17">
        <v>2194292</v>
      </c>
      <c r="K82" s="17">
        <v>2534659</v>
      </c>
      <c r="L82" s="17">
        <v>18904.310344827602</v>
      </c>
      <c r="M82" s="17">
        <v>20797</v>
      </c>
      <c r="N82" s="17">
        <v>70889</v>
      </c>
      <c r="O82" s="17">
        <v>80650</v>
      </c>
      <c r="P82" s="17">
        <v>0</v>
      </c>
      <c r="Q82" s="17">
        <v>1003</v>
      </c>
      <c r="R82" s="17">
        <v>68484</v>
      </c>
      <c r="S82" s="17">
        <v>84430</v>
      </c>
      <c r="T82" s="17">
        <v>455909</v>
      </c>
      <c r="U82" s="17">
        <v>508388</v>
      </c>
      <c r="V82" s="17">
        <v>113508</v>
      </c>
      <c r="W82" s="17">
        <v>64656</v>
      </c>
      <c r="X82" s="17">
        <v>13831</v>
      </c>
      <c r="Y82" s="17">
        <v>10353</v>
      </c>
      <c r="Z82" s="17">
        <v>12700</v>
      </c>
      <c r="AA82" s="17">
        <v>10150</v>
      </c>
      <c r="AB82" s="17">
        <v>0</v>
      </c>
      <c r="AC82" s="17">
        <v>-387</v>
      </c>
      <c r="AD82" s="17">
        <v>0</v>
      </c>
      <c r="AE82" s="17">
        <v>1291</v>
      </c>
      <c r="AF82" s="17">
        <f t="shared" si="33"/>
        <v>3315990</v>
      </c>
      <c r="AG82" s="18">
        <f t="shared" si="34"/>
        <v>0.88250707087727842</v>
      </c>
      <c r="AH82" s="17">
        <f t="shared" si="35"/>
        <v>-441475.64467030996</v>
      </c>
      <c r="AI82" s="20">
        <f t="shared" si="36"/>
        <v>0.36295496398499272</v>
      </c>
      <c r="AJ82" s="20">
        <f t="shared" si="37"/>
        <v>6.4066308984066248E-2</v>
      </c>
      <c r="AK82" s="21">
        <f t="shared" si="38"/>
        <v>9.3923193538699268E-2</v>
      </c>
      <c r="AL82" s="21">
        <f t="shared" si="39"/>
        <v>-7.030957355542744E-2</v>
      </c>
      <c r="AM82" s="31"/>
      <c r="AO82" s="38">
        <f t="shared" si="40"/>
        <v>46101</v>
      </c>
      <c r="AP82" s="17">
        <f>+Tabla22[[#This Row],[Web + APP 2025]]+Tabla22[[#This Row],[Afiliados 2025]]+Tabla22[[#This Row],[TMK 2025]]+Tabla22[[#This Row],[WA 2025]]+Tabla22[[#This Row],[Ent. en Tienda 2025]]</f>
        <v>2352569.3103448278</v>
      </c>
      <c r="AQ82" s="17">
        <f>+Tabla22[[#This Row],[Meli Drop 2025]]+Tabla22[[#This Row],[Meli Full 2025]]+Tabla22[[#This Row],[Amazon Drop 2025]]+Tabla22[[#This Row],[Amazon Full 2025]]+Tabla22[[#This Row],[TikTok 2025]]+Tabla22[[#This Row],[Shein 2025]]</f>
        <v>595948</v>
      </c>
      <c r="AR82" s="17">
        <f t="shared" si="41"/>
        <v>2721539</v>
      </c>
      <c r="AS82" s="17">
        <f t="shared" si="42"/>
        <v>594451</v>
      </c>
      <c r="AT82" s="18">
        <f t="shared" si="43"/>
        <v>0.15683690509466452</v>
      </c>
      <c r="AU82" s="18">
        <f t="shared" si="44"/>
        <v>-2.5119641310986651E-3</v>
      </c>
      <c r="AV82" s="17">
        <f t="shared" si="45"/>
        <v>3088476.64467031</v>
      </c>
      <c r="AW82" s="17">
        <f t="shared" si="46"/>
        <v>668989</v>
      </c>
      <c r="AX82" s="39">
        <f t="shared" si="47"/>
        <v>0.88119138109607431</v>
      </c>
      <c r="AY82" s="39">
        <f t="shared" si="48"/>
        <v>0.88858112764185959</v>
      </c>
      <c r="AZ82" s="39">
        <f t="shared" si="49"/>
        <v>0.88250707087727842</v>
      </c>
      <c r="BA82" s="18">
        <f t="shared" si="29"/>
        <v>3.5493696371030593E-2</v>
      </c>
      <c r="BB82" s="20">
        <f t="shared" si="30"/>
        <v>3.1406896571757131E-2</v>
      </c>
      <c r="BC82" s="17">
        <f t="shared" si="50"/>
        <v>-366937.64467030996</v>
      </c>
      <c r="BD82" s="17">
        <f t="shared" si="51"/>
        <v>-74538</v>
      </c>
    </row>
    <row r="83" spans="1:56" ht="14.25" hidden="1" customHeight="1" x14ac:dyDescent="0.35">
      <c r="A83" s="16">
        <v>45737</v>
      </c>
      <c r="B83" s="17">
        <f>+'BD MD'!B82</f>
        <v>37975369</v>
      </c>
      <c r="C83" s="17">
        <f t="shared" si="31"/>
        <v>2432941.7241379311</v>
      </c>
      <c r="D83" s="18">
        <f t="shared" si="28"/>
        <v>2.6532580173431613E-2</v>
      </c>
      <c r="E83" s="17">
        <v>47045887</v>
      </c>
      <c r="F83" s="19">
        <v>46102</v>
      </c>
      <c r="G83" s="17">
        <f t="shared" si="32"/>
        <v>3134941.7407317399</v>
      </c>
      <c r="H83" s="17">
        <v>2478986.7407317399</v>
      </c>
      <c r="I83" s="17">
        <v>655955</v>
      </c>
      <c r="J83" s="17">
        <v>1684468</v>
      </c>
      <c r="K83" s="17">
        <v>2128572</v>
      </c>
      <c r="L83" s="17">
        <v>18401.724137931</v>
      </c>
      <c r="M83" s="17">
        <v>23927</v>
      </c>
      <c r="N83" s="17">
        <v>87171</v>
      </c>
      <c r="O83" s="17">
        <v>4877</v>
      </c>
      <c r="P83" s="17">
        <v>-2861</v>
      </c>
      <c r="Q83" s="17">
        <v>-1018</v>
      </c>
      <c r="R83" s="17">
        <v>101126</v>
      </c>
      <c r="S83" s="17">
        <v>83878</v>
      </c>
      <c r="T83" s="17">
        <v>425643</v>
      </c>
      <c r="U83" s="17">
        <v>391543</v>
      </c>
      <c r="V83" s="17">
        <v>104286</v>
      </c>
      <c r="W83" s="17">
        <v>53191</v>
      </c>
      <c r="X83" s="17">
        <v>5964</v>
      </c>
      <c r="Y83" s="17">
        <v>10847</v>
      </c>
      <c r="Z83" s="17">
        <v>8743</v>
      </c>
      <c r="AA83" s="17">
        <v>11032</v>
      </c>
      <c r="AB83" s="17">
        <v>0</v>
      </c>
      <c r="AC83" s="17">
        <v>0</v>
      </c>
      <c r="AD83" s="17">
        <v>0</v>
      </c>
      <c r="AE83" s="17">
        <v>2153</v>
      </c>
      <c r="AF83" s="17">
        <f t="shared" si="33"/>
        <v>2709002</v>
      </c>
      <c r="AG83" s="18">
        <f t="shared" si="34"/>
        <v>0.86413152908151991</v>
      </c>
      <c r="AH83" s="17">
        <f t="shared" si="35"/>
        <v>-425939.7407317399</v>
      </c>
      <c r="AI83" s="20">
        <f t="shared" si="36"/>
        <v>0.39002456361141635</v>
      </c>
      <c r="AJ83" s="20">
        <f t="shared" si="37"/>
        <v>4.5197939218770605E-2</v>
      </c>
      <c r="AK83" s="21">
        <f t="shared" si="38"/>
        <v>5.7582121897287217E-2</v>
      </c>
      <c r="AL83" s="21">
        <f t="shared" si="39"/>
        <v>9.1072083984226504E-2</v>
      </c>
      <c r="AM83" s="31"/>
      <c r="AO83" s="38">
        <f t="shared" si="40"/>
        <v>46102</v>
      </c>
      <c r="AP83" s="17">
        <f>+Tabla22[[#This Row],[Web + APP 2025]]+Tabla22[[#This Row],[Afiliados 2025]]+Tabla22[[#This Row],[TMK 2025]]+Tabla22[[#This Row],[WA 2025]]+Tabla22[[#This Row],[Ent. en Tienda 2025]]</f>
        <v>1888305.7241379309</v>
      </c>
      <c r="AQ83" s="17">
        <f>+Tabla22[[#This Row],[Meli Drop 2025]]+Tabla22[[#This Row],[Meli Full 2025]]+Tabla22[[#This Row],[Amazon Drop 2025]]+Tabla22[[#This Row],[Amazon Full 2025]]+Tabla22[[#This Row],[TikTok 2025]]+Tabla22[[#This Row],[Shein 2025]]</f>
        <v>544636</v>
      </c>
      <c r="AR83" s="17">
        <f t="shared" si="41"/>
        <v>2240236</v>
      </c>
      <c r="AS83" s="17">
        <f t="shared" si="42"/>
        <v>468766</v>
      </c>
      <c r="AT83" s="18">
        <f t="shared" si="43"/>
        <v>0.18637356830697316</v>
      </c>
      <c r="AU83" s="18">
        <f t="shared" si="44"/>
        <v>-0.13930404894278015</v>
      </c>
      <c r="AV83" s="17">
        <f t="shared" si="45"/>
        <v>2478986.7407317399</v>
      </c>
      <c r="AW83" s="17">
        <f t="shared" si="46"/>
        <v>655955</v>
      </c>
      <c r="AX83" s="39">
        <f t="shared" si="47"/>
        <v>0.90369019050853572</v>
      </c>
      <c r="AY83" s="39">
        <f t="shared" si="48"/>
        <v>0.71463133904002563</v>
      </c>
      <c r="AZ83" s="39">
        <f t="shared" si="49"/>
        <v>0.86413152908151991</v>
      </c>
      <c r="BA83" s="18">
        <f t="shared" si="29"/>
        <v>3.2437636868875498E-2</v>
      </c>
      <c r="BB83" s="20">
        <f t="shared" si="30"/>
        <v>2.5208958695956213E-2</v>
      </c>
      <c r="BC83" s="17">
        <f t="shared" si="50"/>
        <v>-238750.7407317399</v>
      </c>
      <c r="BD83" s="17">
        <f t="shared" si="51"/>
        <v>-187189</v>
      </c>
    </row>
    <row r="84" spans="1:56" ht="14.25" hidden="1" customHeight="1" x14ac:dyDescent="0.35">
      <c r="A84" s="19">
        <v>45738</v>
      </c>
      <c r="B84" s="17">
        <f>+'BD MD'!B83</f>
        <v>43118954</v>
      </c>
      <c r="C84" s="17">
        <f t="shared" si="31"/>
        <v>1948887.8620689656</v>
      </c>
      <c r="D84" s="18">
        <f t="shared" si="28"/>
        <v>2.1253704080271267E-2</v>
      </c>
      <c r="E84" s="17">
        <v>47447277</v>
      </c>
      <c r="F84" s="19">
        <v>46103</v>
      </c>
      <c r="G84" s="17">
        <f t="shared" si="32"/>
        <v>2622953.7217157199</v>
      </c>
      <c r="H84" s="17">
        <v>1932466.7217157199</v>
      </c>
      <c r="I84" s="17">
        <v>690487</v>
      </c>
      <c r="J84" s="17">
        <v>1375650</v>
      </c>
      <c r="K84" s="17">
        <v>2696322</v>
      </c>
      <c r="L84" s="17">
        <v>18050.8620689655</v>
      </c>
      <c r="M84" s="17">
        <v>24803</v>
      </c>
      <c r="N84" s="17">
        <v>29277</v>
      </c>
      <c r="O84" s="17">
        <v>11387</v>
      </c>
      <c r="P84" s="17">
        <v>3421</v>
      </c>
      <c r="Q84" s="17">
        <v>6523</v>
      </c>
      <c r="R84" s="17">
        <v>45609</v>
      </c>
      <c r="S84" s="17">
        <v>61903</v>
      </c>
      <c r="T84" s="17">
        <v>352550</v>
      </c>
      <c r="U84" s="17">
        <v>584128</v>
      </c>
      <c r="V84" s="17">
        <v>96081</v>
      </c>
      <c r="W84" s="17">
        <v>66334</v>
      </c>
      <c r="X84" s="17">
        <v>18519</v>
      </c>
      <c r="Y84" s="17">
        <v>14472</v>
      </c>
      <c r="Z84" s="17">
        <v>9730</v>
      </c>
      <c r="AA84" s="17">
        <v>10711</v>
      </c>
      <c r="AB84" s="17">
        <v>0</v>
      </c>
      <c r="AC84" s="17">
        <v>0</v>
      </c>
      <c r="AD84" s="17">
        <v>0</v>
      </c>
      <c r="AE84" s="17">
        <v>0</v>
      </c>
      <c r="AF84" s="17">
        <f t="shared" si="33"/>
        <v>3476583</v>
      </c>
      <c r="AG84" s="18">
        <f t="shared" si="34"/>
        <v>1.3254458022713058</v>
      </c>
      <c r="AH84" s="17">
        <f t="shared" si="35"/>
        <v>853629.2782842801</v>
      </c>
      <c r="AI84" s="20">
        <f t="shared" si="36"/>
        <v>0.5361843349765929</v>
      </c>
      <c r="AJ84" s="20">
        <f t="shared" si="37"/>
        <v>5.244187481762709E-2</v>
      </c>
      <c r="AK84" s="21">
        <f t="shared" si="38"/>
        <v>7.3272550498524922E-2</v>
      </c>
      <c r="AL84" s="21">
        <f t="shared" si="39"/>
        <v>9.9462022865766109E-2</v>
      </c>
      <c r="AM84" s="31"/>
      <c r="AO84" s="38">
        <f t="shared" si="40"/>
        <v>46103</v>
      </c>
      <c r="AP84" s="17">
        <f>+Tabla22[[#This Row],[Web + APP 2025]]+Tabla22[[#This Row],[Afiliados 2025]]+Tabla22[[#This Row],[TMK 2025]]+Tabla22[[#This Row],[WA 2025]]+Tabla22[[#This Row],[Ent. en Tienda 2025]]</f>
        <v>1472007.8620689656</v>
      </c>
      <c r="AQ84" s="17">
        <f>+Tabla22[[#This Row],[Meli Drop 2025]]+Tabla22[[#This Row],[Meli Full 2025]]+Tabla22[[#This Row],[Amazon Drop 2025]]+Tabla22[[#This Row],[Amazon Full 2025]]+Tabla22[[#This Row],[TikTok 2025]]+Tabla22[[#This Row],[Shein 2025]]</f>
        <v>476880</v>
      </c>
      <c r="AR84" s="17">
        <f t="shared" si="41"/>
        <v>2800938</v>
      </c>
      <c r="AS84" s="17">
        <f t="shared" si="42"/>
        <v>675645</v>
      </c>
      <c r="AT84" s="18">
        <f t="shared" si="43"/>
        <v>0.90280097829312567</v>
      </c>
      <c r="AU84" s="18">
        <f t="shared" si="44"/>
        <v>0.41680296930045291</v>
      </c>
      <c r="AV84" s="17">
        <f t="shared" si="45"/>
        <v>1932466.7217157199</v>
      </c>
      <c r="AW84" s="17">
        <f t="shared" si="46"/>
        <v>690487</v>
      </c>
      <c r="AX84" s="39">
        <f t="shared" si="47"/>
        <v>1.4494107290568072</v>
      </c>
      <c r="AY84" s="39">
        <f t="shared" si="48"/>
        <v>0.97850502616269386</v>
      </c>
      <c r="AZ84" s="39">
        <f t="shared" si="49"/>
        <v>1.3254458022713058</v>
      </c>
      <c r="BA84" s="18">
        <f t="shared" si="29"/>
        <v>2.8402199395613489E-2</v>
      </c>
      <c r="BB84" s="20">
        <f t="shared" si="30"/>
        <v>1.9651365200388935E-2</v>
      </c>
      <c r="BC84" s="17">
        <f t="shared" si="50"/>
        <v>868471.2782842801</v>
      </c>
      <c r="BD84" s="17">
        <f t="shared" si="51"/>
        <v>-14842</v>
      </c>
    </row>
    <row r="85" spans="1:56" ht="14.25" hidden="1" customHeight="1" x14ac:dyDescent="0.35">
      <c r="A85" s="16">
        <v>45739</v>
      </c>
      <c r="B85" s="17">
        <f>+'BD MD'!B84</f>
        <v>43154994</v>
      </c>
      <c r="C85" s="17">
        <f t="shared" si="31"/>
        <v>2263128.7931034481</v>
      </c>
      <c r="D85" s="18">
        <f t="shared" si="28"/>
        <v>2.4680675887169143E-2</v>
      </c>
      <c r="E85" s="17">
        <v>26759642</v>
      </c>
      <c r="F85" s="19">
        <v>46104</v>
      </c>
      <c r="G85" s="17">
        <f t="shared" si="32"/>
        <v>2868426.7151839002</v>
      </c>
      <c r="H85" s="17">
        <v>2206452.7151839002</v>
      </c>
      <c r="I85" s="17">
        <v>661974</v>
      </c>
      <c r="J85" s="17">
        <v>1610627</v>
      </c>
      <c r="K85" s="17">
        <v>3611779</v>
      </c>
      <c r="L85" s="17">
        <v>19763.793103448301</v>
      </c>
      <c r="M85" s="17">
        <v>23259</v>
      </c>
      <c r="N85" s="17">
        <v>13804</v>
      </c>
      <c r="O85" s="17">
        <v>34041</v>
      </c>
      <c r="P85" s="17">
        <v>693</v>
      </c>
      <c r="Q85" s="17">
        <v>886</v>
      </c>
      <c r="R85" s="17">
        <v>35822</v>
      </c>
      <c r="S85" s="17">
        <v>101609</v>
      </c>
      <c r="T85" s="17">
        <v>412452</v>
      </c>
      <c r="U85" s="17">
        <v>93872</v>
      </c>
      <c r="V85" s="17">
        <v>148039</v>
      </c>
      <c r="W85" s="17">
        <v>11647</v>
      </c>
      <c r="X85" s="17">
        <v>13860</v>
      </c>
      <c r="Y85" s="17">
        <v>13189</v>
      </c>
      <c r="Z85" s="17">
        <v>8068</v>
      </c>
      <c r="AA85" s="17">
        <v>8934</v>
      </c>
      <c r="AB85" s="17">
        <v>0</v>
      </c>
      <c r="AC85" s="17">
        <v>0</v>
      </c>
      <c r="AD85" s="17">
        <v>0</v>
      </c>
      <c r="AE85" s="17">
        <v>861</v>
      </c>
      <c r="AF85" s="17">
        <f t="shared" si="33"/>
        <v>3900077</v>
      </c>
      <c r="AG85" s="18">
        <f t="shared" si="34"/>
        <v>1.3596571874592789</v>
      </c>
      <c r="AH85" s="17">
        <f t="shared" si="35"/>
        <v>1031650.2848160998</v>
      </c>
      <c r="AI85" s="20">
        <f t="shared" si="36"/>
        <v>0.15030348698819895</v>
      </c>
      <c r="AJ85" s="20">
        <f t="shared" si="37"/>
        <v>0.13229945185092476</v>
      </c>
      <c r="AK85" s="21">
        <f t="shared" si="38"/>
        <v>0.14574473754170553</v>
      </c>
      <c r="AL85" s="21">
        <f t="shared" si="39"/>
        <v>4.4185356930625197E-2</v>
      </c>
      <c r="AM85" s="31"/>
      <c r="AO85" s="38">
        <f t="shared" si="40"/>
        <v>46104</v>
      </c>
      <c r="AP85" s="17">
        <f>+Tabla22[[#This Row],[Web + APP 2025]]+Tabla22[[#This Row],[Afiliados 2025]]+Tabla22[[#This Row],[TMK 2025]]+Tabla22[[#This Row],[WA 2025]]+Tabla22[[#This Row],[Ent. en Tienda 2025]]</f>
        <v>1680709.7931034483</v>
      </c>
      <c r="AQ85" s="17">
        <f>+Tabla22[[#This Row],[Meli Drop 2025]]+Tabla22[[#This Row],[Meli Full 2025]]+Tabla22[[#This Row],[Amazon Drop 2025]]+Tabla22[[#This Row],[Amazon Full 2025]]+Tabla22[[#This Row],[TikTok 2025]]+Tabla22[[#This Row],[Shein 2025]]</f>
        <v>582419</v>
      </c>
      <c r="AR85" s="17">
        <f t="shared" si="41"/>
        <v>3771574</v>
      </c>
      <c r="AS85" s="17">
        <f t="shared" si="42"/>
        <v>128503</v>
      </c>
      <c r="AT85" s="18">
        <f t="shared" si="43"/>
        <v>1.2440364276308218</v>
      </c>
      <c r="AU85" s="18">
        <f t="shared" si="44"/>
        <v>-0.77936331060628172</v>
      </c>
      <c r="AV85" s="17">
        <f t="shared" si="45"/>
        <v>2206452.7151839002</v>
      </c>
      <c r="AW85" s="17">
        <f t="shared" si="46"/>
        <v>661974</v>
      </c>
      <c r="AX85" s="39">
        <f t="shared" si="47"/>
        <v>1.7093382396303256</v>
      </c>
      <c r="AY85" s="39">
        <f t="shared" si="48"/>
        <v>0.19412091713571833</v>
      </c>
      <c r="AZ85" s="39">
        <f t="shared" si="49"/>
        <v>1.3596571874592789</v>
      </c>
      <c r="BA85" s="18">
        <f t="shared" si="29"/>
        <v>3.4687931072374209E-2</v>
      </c>
      <c r="BB85" s="20">
        <f t="shared" si="30"/>
        <v>2.2437544520804042E-2</v>
      </c>
      <c r="BC85" s="17">
        <f t="shared" si="50"/>
        <v>1565121.2848160998</v>
      </c>
      <c r="BD85" s="17">
        <f t="shared" si="51"/>
        <v>-533471</v>
      </c>
    </row>
    <row r="86" spans="1:56" ht="14.25" hidden="1" customHeight="1" x14ac:dyDescent="0.35">
      <c r="A86" s="19">
        <v>45740</v>
      </c>
      <c r="B86" s="17">
        <f>+'BD MD'!B85</f>
        <v>25627291</v>
      </c>
      <c r="C86" s="17">
        <f t="shared" si="31"/>
        <v>3390476.5517241377</v>
      </c>
      <c r="D86" s="18">
        <f t="shared" si="28"/>
        <v>3.6975029053207452E-2</v>
      </c>
      <c r="E86" s="17">
        <v>30907085</v>
      </c>
      <c r="F86" s="19">
        <v>46105</v>
      </c>
      <c r="G86" s="17">
        <f t="shared" si="32"/>
        <v>4224181.7416150905</v>
      </c>
      <c r="H86" s="17">
        <v>3601462.7416150901</v>
      </c>
      <c r="I86" s="17">
        <v>622719</v>
      </c>
      <c r="J86" s="17">
        <v>2606781</v>
      </c>
      <c r="K86" s="17">
        <v>3876733</v>
      </c>
      <c r="L86" s="17">
        <v>17396.551724137898</v>
      </c>
      <c r="M86" s="17">
        <v>20599</v>
      </c>
      <c r="N86" s="17">
        <v>77734</v>
      </c>
      <c r="O86" s="17">
        <v>29088</v>
      </c>
      <c r="P86" s="17">
        <v>0</v>
      </c>
      <c r="Q86" s="17">
        <v>947</v>
      </c>
      <c r="R86" s="17">
        <v>41412</v>
      </c>
      <c r="S86" s="17">
        <v>88728</v>
      </c>
      <c r="T86" s="17">
        <v>451453</v>
      </c>
      <c r="U86" s="17">
        <v>841416</v>
      </c>
      <c r="V86" s="17">
        <v>167225</v>
      </c>
      <c r="W86" s="17">
        <v>103320</v>
      </c>
      <c r="X86" s="17">
        <v>21788</v>
      </c>
      <c r="Y86" s="17">
        <v>8844</v>
      </c>
      <c r="Z86" s="17">
        <v>6687</v>
      </c>
      <c r="AA86" s="17">
        <v>6800</v>
      </c>
      <c r="AB86" s="17">
        <v>0</v>
      </c>
      <c r="AC86" s="17">
        <v>0</v>
      </c>
      <c r="AD86" s="17">
        <v>0</v>
      </c>
      <c r="AE86" s="17">
        <v>0</v>
      </c>
      <c r="AF86" s="17">
        <f t="shared" si="33"/>
        <v>4976475</v>
      </c>
      <c r="AG86" s="18">
        <f t="shared" si="34"/>
        <v>1.1780920671508026</v>
      </c>
      <c r="AH86" s="17">
        <f t="shared" si="35"/>
        <v>752293.25838490948</v>
      </c>
      <c r="AI86" s="20">
        <f t="shared" si="36"/>
        <v>0.39800726839369349</v>
      </c>
      <c r="AJ86" s="20">
        <f t="shared" si="37"/>
        <v>0.12605985029321362</v>
      </c>
      <c r="AK86" s="21">
        <f t="shared" si="38"/>
        <v>0.16101405227959867</v>
      </c>
      <c r="AL86" s="21">
        <f t="shared" si="39"/>
        <v>9.451681059804673E-2</v>
      </c>
      <c r="AM86" s="31"/>
      <c r="AO86" s="38">
        <f t="shared" si="40"/>
        <v>46105</v>
      </c>
      <c r="AP86" s="17">
        <f>+Tabla22[[#This Row],[Web + APP 2025]]+Tabla22[[#This Row],[Afiliados 2025]]+Tabla22[[#This Row],[TMK 2025]]+Tabla22[[#This Row],[WA 2025]]+Tabla22[[#This Row],[Ent. en Tienda 2025]]</f>
        <v>2743323.5517241377</v>
      </c>
      <c r="AQ86" s="17">
        <f>+Tabla22[[#This Row],[Meli Drop 2025]]+Tabla22[[#This Row],[Meli Full 2025]]+Tabla22[[#This Row],[Amazon Drop 2025]]+Tabla22[[#This Row],[Amazon Full 2025]]+Tabla22[[#This Row],[TikTok 2025]]+Tabla22[[#This Row],[Shein 2025]]</f>
        <v>647153</v>
      </c>
      <c r="AR86" s="17">
        <f t="shared" si="41"/>
        <v>4016095</v>
      </c>
      <c r="AS86" s="17">
        <f t="shared" si="42"/>
        <v>960380</v>
      </c>
      <c r="AT86" s="18">
        <f t="shared" si="43"/>
        <v>0.46395236445075705</v>
      </c>
      <c r="AU86" s="18">
        <f t="shared" si="44"/>
        <v>0.48400764579628008</v>
      </c>
      <c r="AV86" s="17">
        <f t="shared" si="45"/>
        <v>3601462.7416150901</v>
      </c>
      <c r="AW86" s="17">
        <f t="shared" si="46"/>
        <v>622719</v>
      </c>
      <c r="AX86" s="39">
        <f t="shared" si="47"/>
        <v>1.1151288485075279</v>
      </c>
      <c r="AY86" s="39">
        <f t="shared" si="48"/>
        <v>1.5422365465001069</v>
      </c>
      <c r="AZ86" s="39">
        <f t="shared" si="49"/>
        <v>1.1780920671508026</v>
      </c>
      <c r="BA86" s="18">
        <f t="shared" si="29"/>
        <v>3.8543383126718372E-2</v>
      </c>
      <c r="BB86" s="20">
        <f t="shared" si="30"/>
        <v>3.66234816857475E-2</v>
      </c>
      <c r="BC86" s="17">
        <f t="shared" si="50"/>
        <v>414632.25838490995</v>
      </c>
      <c r="BD86" s="17">
        <f t="shared" si="51"/>
        <v>337661</v>
      </c>
    </row>
    <row r="87" spans="1:56" ht="14.25" hidden="1" customHeight="1" x14ac:dyDescent="0.35">
      <c r="A87" s="16">
        <v>45741</v>
      </c>
      <c r="B87" s="17">
        <f>+'BD MD'!B86</f>
        <v>28238109</v>
      </c>
      <c r="C87" s="17">
        <f t="shared" si="31"/>
        <v>3559691.7931034481</v>
      </c>
      <c r="D87" s="18">
        <f t="shared" si="28"/>
        <v>3.8820415201966926E-2</v>
      </c>
      <c r="E87" s="17">
        <v>33708145</v>
      </c>
      <c r="F87" s="19">
        <v>46106</v>
      </c>
      <c r="G87" s="17">
        <f t="shared" si="32"/>
        <v>4405341.64100309</v>
      </c>
      <c r="H87" s="17">
        <v>3837335.64100309</v>
      </c>
      <c r="I87" s="17">
        <v>568006</v>
      </c>
      <c r="J87" s="17">
        <v>2806584</v>
      </c>
      <c r="K87" s="17">
        <v>3689993</v>
      </c>
      <c r="L87" s="17">
        <v>19038.793103448301</v>
      </c>
      <c r="M87" s="17">
        <v>23278</v>
      </c>
      <c r="N87" s="17">
        <v>62901</v>
      </c>
      <c r="O87" s="17">
        <v>52915</v>
      </c>
      <c r="P87" s="17">
        <v>2386</v>
      </c>
      <c r="Q87" s="17">
        <v>0</v>
      </c>
      <c r="R87" s="17">
        <v>32084</v>
      </c>
      <c r="S87" s="17">
        <v>73771</v>
      </c>
      <c r="T87" s="17">
        <v>450799</v>
      </c>
      <c r="U87" s="17">
        <v>430352</v>
      </c>
      <c r="V87" s="17">
        <v>158470</v>
      </c>
      <c r="W87" s="17">
        <v>73055</v>
      </c>
      <c r="X87" s="17">
        <v>18507</v>
      </c>
      <c r="Y87" s="17">
        <v>18886</v>
      </c>
      <c r="Z87" s="17">
        <v>8922</v>
      </c>
      <c r="AA87" s="17">
        <v>10282</v>
      </c>
      <c r="AB87" s="17">
        <v>0</v>
      </c>
      <c r="AC87" s="17">
        <v>1344</v>
      </c>
      <c r="AD87" s="17">
        <v>0</v>
      </c>
      <c r="AE87" s="17">
        <v>861</v>
      </c>
      <c r="AF87" s="17">
        <f t="shared" si="33"/>
        <v>4374737</v>
      </c>
      <c r="AG87" s="18">
        <f t="shared" si="34"/>
        <v>0.99305283369665709</v>
      </c>
      <c r="AH87" s="17">
        <f t="shared" si="35"/>
        <v>-30604.641003089957</v>
      </c>
      <c r="AI87" s="20">
        <f t="shared" si="36"/>
        <v>0.38089159552293639</v>
      </c>
      <c r="AJ87" s="20">
        <f t="shared" si="37"/>
        <v>0.10447227414323559</v>
      </c>
      <c r="AK87" s="21">
        <f t="shared" si="38"/>
        <v>0.12978278691989725</v>
      </c>
      <c r="AL87" s="21">
        <f t="shared" si="39"/>
        <v>0.11158720469304906</v>
      </c>
      <c r="AM87" s="31"/>
      <c r="AO87" s="38">
        <f t="shared" si="40"/>
        <v>46106</v>
      </c>
      <c r="AP87" s="17">
        <f>+Tabla22[[#This Row],[Web + APP 2025]]+Tabla22[[#This Row],[Afiliados 2025]]+Tabla22[[#This Row],[TMK 2025]]+Tabla22[[#This Row],[WA 2025]]+Tabla22[[#This Row],[Ent. en Tienda 2025]]</f>
        <v>2922993.7931034481</v>
      </c>
      <c r="AQ87" s="17">
        <f>+Tabla22[[#This Row],[Meli Drop 2025]]+Tabla22[[#This Row],[Meli Full 2025]]+Tabla22[[#This Row],[Amazon Drop 2025]]+Tabla22[[#This Row],[Amazon Full 2025]]+Tabla22[[#This Row],[TikTok 2025]]+Tabla22[[#This Row],[Shein 2025]]</f>
        <v>636698</v>
      </c>
      <c r="AR87" s="17">
        <f t="shared" si="41"/>
        <v>3839957</v>
      </c>
      <c r="AS87" s="17">
        <f t="shared" si="42"/>
        <v>534780</v>
      </c>
      <c r="AT87" s="18">
        <f t="shared" si="43"/>
        <v>0.31370686077406229</v>
      </c>
      <c r="AU87" s="18">
        <f t="shared" si="44"/>
        <v>-0.16007275034631807</v>
      </c>
      <c r="AV87" s="17">
        <f t="shared" si="45"/>
        <v>3837335.64100309</v>
      </c>
      <c r="AW87" s="17">
        <f t="shared" si="46"/>
        <v>568006</v>
      </c>
      <c r="AX87" s="39">
        <f t="shared" si="47"/>
        <v>1.000683119550164</v>
      </c>
      <c r="AY87" s="39">
        <f t="shared" si="48"/>
        <v>0.94150413904078478</v>
      </c>
      <c r="AZ87" s="39">
        <f t="shared" si="49"/>
        <v>0.99305283369665709</v>
      </c>
      <c r="BA87" s="18">
        <f t="shared" si="29"/>
        <v>3.7920700282646193E-2</v>
      </c>
      <c r="BB87" s="20">
        <f t="shared" si="30"/>
        <v>3.9022086761147184E-2</v>
      </c>
      <c r="BC87" s="17">
        <f t="shared" si="50"/>
        <v>2621.3589969100431</v>
      </c>
      <c r="BD87" s="17">
        <f t="shared" si="51"/>
        <v>-33226</v>
      </c>
    </row>
    <row r="88" spans="1:56" ht="14.25" hidden="1" customHeight="1" x14ac:dyDescent="0.35">
      <c r="A88" s="19">
        <v>45742</v>
      </c>
      <c r="B88" s="17">
        <f>+'BD MD'!B87</f>
        <v>30324337</v>
      </c>
      <c r="C88" s="17">
        <f t="shared" si="31"/>
        <v>3168052.4482758623</v>
      </c>
      <c r="D88" s="18">
        <f t="shared" si="28"/>
        <v>3.4549370724158861E-2</v>
      </c>
      <c r="E88" s="17">
        <v>38132226</v>
      </c>
      <c r="F88" s="19">
        <v>46107</v>
      </c>
      <c r="G88" s="17">
        <f t="shared" si="32"/>
        <v>4399478.9731613202</v>
      </c>
      <c r="H88" s="17">
        <v>3807049.9731613202</v>
      </c>
      <c r="I88" s="17">
        <v>592429</v>
      </c>
      <c r="J88" s="17">
        <v>2785242</v>
      </c>
      <c r="K88" s="17">
        <v>3046332</v>
      </c>
      <c r="L88" s="17">
        <v>19578.448275862102</v>
      </c>
      <c r="M88" s="17">
        <v>22864</v>
      </c>
      <c r="N88" s="17">
        <v>70468</v>
      </c>
      <c r="O88" s="17">
        <v>69528</v>
      </c>
      <c r="P88" s="17">
        <v>7635</v>
      </c>
      <c r="Q88" s="17">
        <v>0</v>
      </c>
      <c r="R88" s="17">
        <v>17001</v>
      </c>
      <c r="S88" s="17">
        <v>94127</v>
      </c>
      <c r="T88" s="17">
        <v>173023</v>
      </c>
      <c r="U88" s="17">
        <v>361861</v>
      </c>
      <c r="V88" s="17">
        <v>64342</v>
      </c>
      <c r="W88" s="17">
        <v>94556</v>
      </c>
      <c r="X88" s="17">
        <v>22411</v>
      </c>
      <c r="Y88" s="17">
        <v>18197</v>
      </c>
      <c r="Z88" s="17">
        <v>8352</v>
      </c>
      <c r="AA88" s="17">
        <v>9810</v>
      </c>
      <c r="AB88" s="17">
        <v>0</v>
      </c>
      <c r="AC88" s="17">
        <v>516</v>
      </c>
      <c r="AD88" s="17">
        <v>0</v>
      </c>
      <c r="AE88" s="17">
        <v>0</v>
      </c>
      <c r="AF88" s="17">
        <f t="shared" si="33"/>
        <v>3717791</v>
      </c>
      <c r="AG88" s="18">
        <f t="shared" si="34"/>
        <v>0.84505256706080312</v>
      </c>
      <c r="AH88" s="17">
        <f t="shared" si="35"/>
        <v>-681687.9731613202</v>
      </c>
      <c r="AI88" s="20">
        <f t="shared" si="36"/>
        <v>0.1761266210939525</v>
      </c>
      <c r="AJ88" s="20">
        <f t="shared" si="37"/>
        <v>8.9193752040735916E-2</v>
      </c>
      <c r="AK88" s="21">
        <f t="shared" si="38"/>
        <v>9.7497350403829036E-2</v>
      </c>
      <c r="AL88" s="21">
        <f t="shared" si="39"/>
        <v>7.5958944277553009E-2</v>
      </c>
      <c r="AM88" s="31"/>
      <c r="AO88" s="38">
        <f t="shared" si="40"/>
        <v>46107</v>
      </c>
      <c r="AP88" s="17">
        <f>+Tabla22[[#This Row],[Web + APP 2025]]+Tabla22[[#This Row],[Afiliados 2025]]+Tabla22[[#This Row],[TMK 2025]]+Tabla22[[#This Row],[WA 2025]]+Tabla22[[#This Row],[Ent. en Tienda 2025]]</f>
        <v>2899924.4482758623</v>
      </c>
      <c r="AQ88" s="17">
        <f>+Tabla22[[#This Row],[Meli Drop 2025]]+Tabla22[[#This Row],[Meli Full 2025]]+Tabla22[[#This Row],[Amazon Drop 2025]]+Tabla22[[#This Row],[Amazon Full 2025]]+Tabla22[[#This Row],[TikTok 2025]]+Tabla22[[#This Row],[Shein 2025]]</f>
        <v>268128</v>
      </c>
      <c r="AR88" s="17">
        <f t="shared" si="41"/>
        <v>3232851</v>
      </c>
      <c r="AS88" s="17">
        <f t="shared" si="42"/>
        <v>484940</v>
      </c>
      <c r="AT88" s="18">
        <f t="shared" si="43"/>
        <v>0.11480525015818177</v>
      </c>
      <c r="AU88" s="18">
        <f t="shared" si="44"/>
        <v>0.80861379639575137</v>
      </c>
      <c r="AV88" s="17">
        <f t="shared" si="45"/>
        <v>3807049.9731613202</v>
      </c>
      <c r="AW88" s="17">
        <f t="shared" si="46"/>
        <v>592429</v>
      </c>
      <c r="AX88" s="39">
        <f t="shared" si="47"/>
        <v>0.84917482638545105</v>
      </c>
      <c r="AY88" s="39">
        <f t="shared" si="48"/>
        <v>0.81856222433405523</v>
      </c>
      <c r="AZ88" s="39">
        <f t="shared" si="49"/>
        <v>0.84505256706080312</v>
      </c>
      <c r="BA88" s="18">
        <f t="shared" si="29"/>
        <v>1.5969268829783285E-2</v>
      </c>
      <c r="BB88" s="20">
        <f t="shared" si="30"/>
        <v>3.8714110063588381E-2</v>
      </c>
      <c r="BC88" s="17">
        <f t="shared" si="50"/>
        <v>-574198.9731613202</v>
      </c>
      <c r="BD88" s="17">
        <f t="shared" si="51"/>
        <v>-107489</v>
      </c>
    </row>
    <row r="89" spans="1:56" ht="14.25" hidden="1" customHeight="1" x14ac:dyDescent="0.35">
      <c r="A89" s="16">
        <v>45743</v>
      </c>
      <c r="B89" s="17">
        <f>+'BD MD'!B88</f>
        <v>35440224</v>
      </c>
      <c r="C89" s="17">
        <f t="shared" si="31"/>
        <v>3161046.5517241377</v>
      </c>
      <c r="D89" s="18">
        <f t="shared" si="28"/>
        <v>3.4472967532869409E-2</v>
      </c>
      <c r="E89" s="17">
        <v>41924161</v>
      </c>
      <c r="F89" s="19">
        <v>46108</v>
      </c>
      <c r="G89" s="17">
        <f t="shared" si="32"/>
        <v>3519116.6175930798</v>
      </c>
      <c r="H89" s="17">
        <v>2932739.6175930798</v>
      </c>
      <c r="I89" s="17">
        <v>586377</v>
      </c>
      <c r="J89" s="17">
        <v>2131767</v>
      </c>
      <c r="K89" s="17">
        <v>2642807</v>
      </c>
      <c r="L89" s="17">
        <v>19721.551724137898</v>
      </c>
      <c r="M89" s="17">
        <v>23650</v>
      </c>
      <c r="N89" s="17">
        <v>37713</v>
      </c>
      <c r="O89" s="17">
        <v>-404</v>
      </c>
      <c r="P89" s="17">
        <v>4760</v>
      </c>
      <c r="Q89" s="17">
        <v>0</v>
      </c>
      <c r="R89" s="17">
        <v>39979</v>
      </c>
      <c r="S89" s="17">
        <v>79044</v>
      </c>
      <c r="T89" s="17">
        <v>694821</v>
      </c>
      <c r="U89" s="17">
        <v>434744</v>
      </c>
      <c r="V89" s="17">
        <v>205802</v>
      </c>
      <c r="W89" s="17">
        <v>76785</v>
      </c>
      <c r="X89" s="17">
        <v>13403</v>
      </c>
      <c r="Y89" s="17">
        <v>21103</v>
      </c>
      <c r="Z89" s="17">
        <v>13080</v>
      </c>
      <c r="AA89" s="17">
        <v>17145</v>
      </c>
      <c r="AB89" s="17">
        <v>0</v>
      </c>
      <c r="AC89" s="17">
        <v>1334</v>
      </c>
      <c r="AD89" s="17">
        <v>0</v>
      </c>
      <c r="AE89" s="17">
        <v>1894</v>
      </c>
      <c r="AF89" s="17">
        <f t="shared" si="33"/>
        <v>3298102</v>
      </c>
      <c r="AG89" s="18">
        <f t="shared" si="34"/>
        <v>0.93719599501529338</v>
      </c>
      <c r="AH89" s="17">
        <f t="shared" si="35"/>
        <v>-221014.61759307981</v>
      </c>
      <c r="AI89" s="20">
        <f t="shared" si="36"/>
        <v>0.34067976734272243</v>
      </c>
      <c r="AJ89" s="20">
        <f t="shared" si="37"/>
        <v>6.0571230468978166E-2</v>
      </c>
      <c r="AK89" s="21">
        <f t="shared" si="38"/>
        <v>7.8668288674876519E-2</v>
      </c>
      <c r="AL89" s="21">
        <f t="shared" si="39"/>
        <v>3.2266298666112858E-2</v>
      </c>
      <c r="AM89" s="31"/>
      <c r="AO89" s="38">
        <f t="shared" si="40"/>
        <v>46108</v>
      </c>
      <c r="AP89" s="17">
        <f>+Tabla22[[#This Row],[Web + APP 2025]]+Tabla22[[#This Row],[Afiliados 2025]]+Tabla22[[#This Row],[TMK 2025]]+Tabla22[[#This Row],[WA 2025]]+Tabla22[[#This Row],[Ent. en Tienda 2025]]</f>
        <v>2233940.5517241377</v>
      </c>
      <c r="AQ89" s="17">
        <f>+Tabla22[[#This Row],[Meli Drop 2025]]+Tabla22[[#This Row],[Meli Full 2025]]+Tabla22[[#This Row],[Amazon Drop 2025]]+Tabla22[[#This Row],[Amazon Full 2025]]+Tabla22[[#This Row],[TikTok 2025]]+Tabla22[[#This Row],[Shein 2025]]</f>
        <v>927106</v>
      </c>
      <c r="AR89" s="17">
        <f t="shared" si="41"/>
        <v>2745097</v>
      </c>
      <c r="AS89" s="17">
        <f t="shared" si="42"/>
        <v>553005</v>
      </c>
      <c r="AT89" s="18">
        <f t="shared" si="43"/>
        <v>0.22881380969666165</v>
      </c>
      <c r="AU89" s="18">
        <f t="shared" si="44"/>
        <v>-0.40351480844693055</v>
      </c>
      <c r="AV89" s="17">
        <f t="shared" si="45"/>
        <v>2932739.6175930798</v>
      </c>
      <c r="AW89" s="17">
        <f t="shared" si="46"/>
        <v>586377</v>
      </c>
      <c r="AX89" s="39">
        <f t="shared" si="47"/>
        <v>0.93601797566090117</v>
      </c>
      <c r="AY89" s="39">
        <f t="shared" si="48"/>
        <v>0.94308780869645292</v>
      </c>
      <c r="AZ89" s="39">
        <f t="shared" si="49"/>
        <v>0.93719599501529338</v>
      </c>
      <c r="BA89" s="18">
        <f t="shared" si="29"/>
        <v>5.5216929778706673E-2</v>
      </c>
      <c r="BB89" s="20">
        <f t="shared" si="30"/>
        <v>2.9823197789301346E-2</v>
      </c>
      <c r="BC89" s="17">
        <f t="shared" si="50"/>
        <v>-187642.61759307981</v>
      </c>
      <c r="BD89" s="17">
        <f t="shared" si="51"/>
        <v>-33372</v>
      </c>
    </row>
    <row r="90" spans="1:56" ht="14.25" hidden="1" customHeight="1" x14ac:dyDescent="0.35">
      <c r="A90" s="19">
        <v>45744</v>
      </c>
      <c r="B90" s="17">
        <f>+'BD MD'!B89</f>
        <v>40613707</v>
      </c>
      <c r="C90" s="17">
        <f t="shared" si="31"/>
        <v>2460022.2068965519</v>
      </c>
      <c r="D90" s="18">
        <f t="shared" si="28"/>
        <v>2.6827907871912731E-2</v>
      </c>
      <c r="E90" s="17">
        <v>47742193</v>
      </c>
      <c r="F90" s="19">
        <v>46109</v>
      </c>
      <c r="G90" s="17">
        <f t="shared" si="32"/>
        <v>3000751.2837741398</v>
      </c>
      <c r="H90" s="17">
        <v>2480720.2837741398</v>
      </c>
      <c r="I90" s="17">
        <v>520031</v>
      </c>
      <c r="J90" s="17">
        <v>1774382</v>
      </c>
      <c r="K90" s="17">
        <v>2317287</v>
      </c>
      <c r="L90" s="17">
        <v>23261.206896551699</v>
      </c>
      <c r="M90" s="17">
        <v>27167</v>
      </c>
      <c r="N90" s="17">
        <v>33871</v>
      </c>
      <c r="O90" s="17">
        <v>17429</v>
      </c>
      <c r="P90" s="17">
        <v>4459</v>
      </c>
      <c r="Q90" s="17">
        <v>4746</v>
      </c>
      <c r="R90" s="17">
        <v>53653</v>
      </c>
      <c r="S90" s="17">
        <v>201003</v>
      </c>
      <c r="T90" s="17">
        <v>427289</v>
      </c>
      <c r="U90" s="17">
        <v>468826</v>
      </c>
      <c r="V90" s="17">
        <v>115398</v>
      </c>
      <c r="W90" s="17">
        <v>82721</v>
      </c>
      <c r="X90" s="17">
        <v>14337</v>
      </c>
      <c r="Y90" s="17">
        <v>18605</v>
      </c>
      <c r="Z90" s="17">
        <v>13372</v>
      </c>
      <c r="AA90" s="17">
        <v>10400</v>
      </c>
      <c r="AB90" s="17">
        <v>0</v>
      </c>
      <c r="AC90" s="17">
        <v>0</v>
      </c>
      <c r="AD90" s="17">
        <v>0</v>
      </c>
      <c r="AE90" s="17">
        <v>0</v>
      </c>
      <c r="AF90" s="17">
        <f t="shared" si="33"/>
        <v>3148184</v>
      </c>
      <c r="AG90" s="18">
        <f t="shared" si="34"/>
        <v>1.0491319347335009</v>
      </c>
      <c r="AH90" s="17">
        <f t="shared" si="35"/>
        <v>147432.71622586017</v>
      </c>
      <c r="AI90" s="20">
        <f t="shared" si="36"/>
        <v>0.5057527618711164</v>
      </c>
      <c r="AJ90" s="20">
        <f t="shared" si="37"/>
        <v>4.4071566790042614E-2</v>
      </c>
      <c r="AK90" s="21">
        <f t="shared" si="38"/>
        <v>6.5941336209670978E-2</v>
      </c>
      <c r="AL90" s="21">
        <f t="shared" si="39"/>
        <v>6.3624310415708596E-3</v>
      </c>
      <c r="AM90" s="31"/>
      <c r="AO90" s="38">
        <f t="shared" si="40"/>
        <v>46109</v>
      </c>
      <c r="AP90" s="17">
        <f>+Tabla22[[#This Row],[Web + APP 2025]]+Tabla22[[#This Row],[Afiliados 2025]]+Tabla22[[#This Row],[TMK 2025]]+Tabla22[[#This Row],[WA 2025]]+Tabla22[[#This Row],[Ent. en Tienda 2025]]</f>
        <v>1889626.2068965517</v>
      </c>
      <c r="AQ90" s="17">
        <f>+Tabla22[[#This Row],[Meli Drop 2025]]+Tabla22[[#This Row],[Meli Full 2025]]+Tabla22[[#This Row],[Amazon Drop 2025]]+Tabla22[[#This Row],[Amazon Full 2025]]+Tabla22[[#This Row],[TikTok 2025]]+Tabla22[[#This Row],[Shein 2025]]</f>
        <v>570396</v>
      </c>
      <c r="AR90" s="17">
        <f t="shared" si="41"/>
        <v>2567632</v>
      </c>
      <c r="AS90" s="17">
        <f t="shared" si="42"/>
        <v>580552</v>
      </c>
      <c r="AT90" s="18">
        <f t="shared" si="43"/>
        <v>0.35880418604956721</v>
      </c>
      <c r="AU90" s="18">
        <f t="shared" si="44"/>
        <v>1.7805173949326347E-2</v>
      </c>
      <c r="AV90" s="17">
        <f t="shared" si="45"/>
        <v>2480720.2837741398</v>
      </c>
      <c r="AW90" s="17">
        <f t="shared" si="46"/>
        <v>520031</v>
      </c>
      <c r="AX90" s="39">
        <f t="shared" si="47"/>
        <v>1.0350348714421094</v>
      </c>
      <c r="AY90" s="39">
        <f t="shared" si="48"/>
        <v>1.1163796004468964</v>
      </c>
      <c r="AZ90" s="39">
        <f t="shared" si="49"/>
        <v>1.0491319347335009</v>
      </c>
      <c r="BA90" s="18">
        <f t="shared" si="29"/>
        <v>3.3971860691285757E-2</v>
      </c>
      <c r="BB90" s="20">
        <f t="shared" si="30"/>
        <v>2.5226587194824419E-2</v>
      </c>
      <c r="BC90" s="17">
        <f t="shared" si="50"/>
        <v>86911.716225860175</v>
      </c>
      <c r="BD90" s="17">
        <f t="shared" si="51"/>
        <v>60521</v>
      </c>
    </row>
    <row r="91" spans="1:56" ht="14.25" hidden="1" customHeight="1" x14ac:dyDescent="0.35">
      <c r="A91" s="16">
        <v>45745</v>
      </c>
      <c r="B91" s="17">
        <f>+'BD MD'!B90</f>
        <v>47440357</v>
      </c>
      <c r="C91" s="17">
        <f t="shared" si="31"/>
        <v>2090770.8620689656</v>
      </c>
      <c r="D91" s="18">
        <f t="shared" si="28"/>
        <v>2.2801016963024712E-2</v>
      </c>
      <c r="E91" s="17">
        <v>45273020</v>
      </c>
      <c r="F91" s="19">
        <v>46110</v>
      </c>
      <c r="G91" s="17">
        <f t="shared" si="32"/>
        <v>2598466.11398621</v>
      </c>
      <c r="H91" s="17">
        <v>2008754.11398621</v>
      </c>
      <c r="I91" s="17">
        <v>589712</v>
      </c>
      <c r="J91" s="17">
        <v>1413648</v>
      </c>
      <c r="K91" s="17">
        <v>2957998</v>
      </c>
      <c r="L91" s="17">
        <v>22200.8620689655</v>
      </c>
      <c r="M91" s="17">
        <v>26180</v>
      </c>
      <c r="N91" s="17">
        <v>26911</v>
      </c>
      <c r="O91" s="17">
        <v>-154</v>
      </c>
      <c r="P91" s="17">
        <v>3768</v>
      </c>
      <c r="Q91" s="17">
        <v>550</v>
      </c>
      <c r="R91" s="17">
        <v>63590</v>
      </c>
      <c r="S91" s="17">
        <v>61517</v>
      </c>
      <c r="T91" s="17">
        <v>438928</v>
      </c>
      <c r="U91" s="17">
        <v>431690</v>
      </c>
      <c r="V91" s="17">
        <v>103627</v>
      </c>
      <c r="W91" s="17">
        <v>77277</v>
      </c>
      <c r="X91" s="17">
        <v>9571</v>
      </c>
      <c r="Y91" s="17">
        <v>13682</v>
      </c>
      <c r="Z91" s="17">
        <v>8527</v>
      </c>
      <c r="AA91" s="17">
        <v>3904</v>
      </c>
      <c r="AB91" s="17">
        <v>0</v>
      </c>
      <c r="AC91" s="17">
        <v>0</v>
      </c>
      <c r="AD91" s="17">
        <v>0</v>
      </c>
      <c r="AE91" s="17">
        <v>904</v>
      </c>
      <c r="AF91" s="17">
        <f t="shared" si="33"/>
        <v>3573548</v>
      </c>
      <c r="AG91" s="18">
        <f t="shared" si="34"/>
        <v>1.3752528773669299</v>
      </c>
      <c r="AH91" s="17">
        <f t="shared" si="35"/>
        <v>975081.88601379003</v>
      </c>
      <c r="AI91" s="20">
        <f t="shared" si="36"/>
        <v>0.48538781378730245</v>
      </c>
      <c r="AJ91" s="20">
        <f t="shared" si="37"/>
        <v>5.1883385348836873E-2</v>
      </c>
      <c r="AK91" s="21">
        <f t="shared" si="38"/>
        <v>7.8933280792843064E-2</v>
      </c>
      <c r="AL91" s="21">
        <f t="shared" si="39"/>
        <v>-2.3644430320186594E-2</v>
      </c>
      <c r="AM91" s="31"/>
      <c r="AO91" s="38">
        <f t="shared" si="40"/>
        <v>46110</v>
      </c>
      <c r="AP91" s="17">
        <f>+Tabla22[[#This Row],[Web + APP 2025]]+Tabla22[[#This Row],[Afiliados 2025]]+Tabla22[[#This Row],[TMK 2025]]+Tabla22[[#This Row],[WA 2025]]+Tabla22[[#This Row],[Ent. en Tienda 2025]]</f>
        <v>1530117.8620689656</v>
      </c>
      <c r="AQ91" s="17">
        <f>+Tabla22[[#This Row],[Meli Drop 2025]]+Tabla22[[#This Row],[Meli Full 2025]]+Tabla22[[#This Row],[Amazon Drop 2025]]+Tabla22[[#This Row],[Amazon Full 2025]]+Tabla22[[#This Row],[TikTok 2025]]+Tabla22[[#This Row],[Shein 2025]]</f>
        <v>560653</v>
      </c>
      <c r="AR91" s="17">
        <f t="shared" si="41"/>
        <v>3046091</v>
      </c>
      <c r="AS91" s="17">
        <f t="shared" si="42"/>
        <v>527457</v>
      </c>
      <c r="AT91" s="18">
        <f t="shared" si="43"/>
        <v>0.99075579438122152</v>
      </c>
      <c r="AU91" s="18">
        <f t="shared" si="44"/>
        <v>-5.9209528888635177E-2</v>
      </c>
      <c r="AV91" s="17">
        <f t="shared" si="45"/>
        <v>2008754.11398621</v>
      </c>
      <c r="AW91" s="17">
        <f t="shared" si="46"/>
        <v>589712</v>
      </c>
      <c r="AX91" s="39">
        <f t="shared" si="47"/>
        <v>1.5164080953418828</v>
      </c>
      <c r="AY91" s="39">
        <f t="shared" si="48"/>
        <v>0.89443151911441521</v>
      </c>
      <c r="AZ91" s="39">
        <f t="shared" si="49"/>
        <v>1.3752528773669299</v>
      </c>
      <c r="BA91" s="18">
        <f t="shared" si="29"/>
        <v>3.3391583412491384E-2</v>
      </c>
      <c r="BB91" s="20">
        <f t="shared" si="30"/>
        <v>2.0427136078534622E-2</v>
      </c>
      <c r="BC91" s="17">
        <f t="shared" si="50"/>
        <v>1037336.88601379</v>
      </c>
      <c r="BD91" s="17">
        <f t="shared" si="51"/>
        <v>-62255</v>
      </c>
    </row>
    <row r="92" spans="1:56" ht="14.25" hidden="1" customHeight="1" x14ac:dyDescent="0.35">
      <c r="A92" s="19">
        <v>45746</v>
      </c>
      <c r="B92" s="17">
        <f>+'BD MD'!B91</f>
        <v>46369398</v>
      </c>
      <c r="C92" s="17">
        <f t="shared" si="31"/>
        <v>2405801.3448275859</v>
      </c>
      <c r="D92" s="18">
        <f t="shared" si="28"/>
        <v>2.6236599269801774E-2</v>
      </c>
      <c r="E92" s="17">
        <v>33370751</v>
      </c>
      <c r="F92" s="19">
        <v>46111</v>
      </c>
      <c r="G92" s="17">
        <f t="shared" si="32"/>
        <v>2961464.0918172901</v>
      </c>
      <c r="H92" s="17">
        <v>2402662.0918172901</v>
      </c>
      <c r="I92" s="17">
        <v>558802</v>
      </c>
      <c r="J92" s="17">
        <v>1746951</v>
      </c>
      <c r="K92" s="17">
        <v>3604617</v>
      </c>
      <c r="L92" s="17">
        <v>25310.344827586199</v>
      </c>
      <c r="M92" s="17">
        <v>22502</v>
      </c>
      <c r="N92" s="17">
        <v>1629</v>
      </c>
      <c r="O92" s="17">
        <v>35752</v>
      </c>
      <c r="P92" s="17">
        <v>3494</v>
      </c>
      <c r="Q92" s="17">
        <v>1275</v>
      </c>
      <c r="R92" s="17">
        <v>52783</v>
      </c>
      <c r="S92" s="17">
        <v>167268</v>
      </c>
      <c r="T92" s="17">
        <v>424195</v>
      </c>
      <c r="U92" s="17">
        <v>465162</v>
      </c>
      <c r="V92" s="17">
        <v>120034</v>
      </c>
      <c r="W92" s="17">
        <v>79652</v>
      </c>
      <c r="X92" s="17">
        <v>20419</v>
      </c>
      <c r="Y92" s="17">
        <v>21229</v>
      </c>
      <c r="Z92" s="17">
        <v>10986</v>
      </c>
      <c r="AA92" s="17">
        <v>5239</v>
      </c>
      <c r="AB92" s="17">
        <v>0</v>
      </c>
      <c r="AC92" s="17">
        <v>0</v>
      </c>
      <c r="AD92" s="17">
        <v>0</v>
      </c>
      <c r="AE92" s="17">
        <v>861</v>
      </c>
      <c r="AF92" s="17">
        <f t="shared" si="33"/>
        <v>4403557</v>
      </c>
      <c r="AG92" s="18">
        <f t="shared" si="34"/>
        <v>1.486952690788081</v>
      </c>
      <c r="AH92" s="17">
        <f t="shared" si="35"/>
        <v>1442092.9081827099</v>
      </c>
      <c r="AI92" s="20">
        <f t="shared" si="36"/>
        <v>0.29547843033483123</v>
      </c>
      <c r="AJ92" s="20">
        <f t="shared" si="37"/>
        <v>0.12773169131478163</v>
      </c>
      <c r="AK92" s="21">
        <f t="shared" si="38"/>
        <v>0.13195858253234996</v>
      </c>
      <c r="AL92" s="21">
        <f t="shared" si="39"/>
        <v>0.25398172512136696</v>
      </c>
      <c r="AM92" s="31"/>
      <c r="AO92" s="38">
        <f t="shared" si="40"/>
        <v>46111</v>
      </c>
      <c r="AP92" s="17">
        <f>+Tabla22[[#This Row],[Web + APP 2025]]+Tabla22[[#This Row],[Afiliados 2025]]+Tabla22[[#This Row],[TMK 2025]]+Tabla22[[#This Row],[WA 2025]]+Tabla22[[#This Row],[Ent. en Tienda 2025]]</f>
        <v>1830167.3448275861</v>
      </c>
      <c r="AQ92" s="17">
        <f>+Tabla22[[#This Row],[Meli Drop 2025]]+Tabla22[[#This Row],[Meli Full 2025]]+Tabla22[[#This Row],[Amazon Drop 2025]]+Tabla22[[#This Row],[Amazon Full 2025]]+Tabla22[[#This Row],[TikTok 2025]]+Tabla22[[#This Row],[Shein 2025]]</f>
        <v>575634</v>
      </c>
      <c r="AR92" s="17">
        <f t="shared" si="41"/>
        <v>3831414</v>
      </c>
      <c r="AS92" s="17">
        <f t="shared" si="42"/>
        <v>572143</v>
      </c>
      <c r="AT92" s="18">
        <f t="shared" si="43"/>
        <v>1.0934774138705574</v>
      </c>
      <c r="AU92" s="18">
        <f t="shared" si="44"/>
        <v>-6.0646174478922177E-3</v>
      </c>
      <c r="AV92" s="17">
        <f t="shared" si="45"/>
        <v>2402662.0918172901</v>
      </c>
      <c r="AW92" s="17">
        <f t="shared" si="46"/>
        <v>558802</v>
      </c>
      <c r="AX92" s="39">
        <f t="shared" si="47"/>
        <v>1.5946537022615825</v>
      </c>
      <c r="AY92" s="39">
        <f t="shared" si="48"/>
        <v>1.0238742882094194</v>
      </c>
      <c r="AZ92" s="39">
        <f t="shared" si="49"/>
        <v>1.486952690788081</v>
      </c>
      <c r="BA92" s="18">
        <f t="shared" si="29"/>
        <v>3.4283827476292938E-2</v>
      </c>
      <c r="BB92" s="20">
        <f t="shared" si="30"/>
        <v>2.4432808952855999E-2</v>
      </c>
      <c r="BC92" s="17">
        <f t="shared" si="50"/>
        <v>1428751.9081827099</v>
      </c>
      <c r="BD92" s="17">
        <f t="shared" si="51"/>
        <v>13341</v>
      </c>
    </row>
    <row r="93" spans="1:56" ht="14.25" hidden="1" customHeight="1" x14ac:dyDescent="0.35">
      <c r="A93" s="16">
        <v>45747</v>
      </c>
      <c r="B93" s="17">
        <f>+'BD MD'!B92</f>
        <v>26611832</v>
      </c>
      <c r="C93" s="17">
        <f t="shared" si="31"/>
        <v>3399174.3103448278</v>
      </c>
      <c r="D93" s="18">
        <f t="shared" si="28"/>
        <v>3.7069882939612969E-2</v>
      </c>
      <c r="E93" s="17">
        <v>38734445</v>
      </c>
      <c r="F93" s="19">
        <v>46112</v>
      </c>
      <c r="G93" s="17">
        <f t="shared" si="32"/>
        <v>4175603.56200366</v>
      </c>
      <c r="H93" s="17">
        <v>3657616.56200366</v>
      </c>
      <c r="I93" s="17">
        <v>517987</v>
      </c>
      <c r="J93" s="17">
        <v>2655583</v>
      </c>
      <c r="K93" s="17">
        <v>3283588</v>
      </c>
      <c r="L93" s="17">
        <v>17754.310344827602</v>
      </c>
      <c r="M93" s="17">
        <v>15779</v>
      </c>
      <c r="N93" s="17">
        <v>51685</v>
      </c>
      <c r="O93" s="17">
        <v>39244</v>
      </c>
      <c r="P93" s="17">
        <v>2075</v>
      </c>
      <c r="Q93" s="17">
        <v>2701</v>
      </c>
      <c r="R93" s="17">
        <v>59000</v>
      </c>
      <c r="S93" s="17">
        <v>39379</v>
      </c>
      <c r="T93" s="17">
        <v>466998</v>
      </c>
      <c r="U93" s="17">
        <v>507477</v>
      </c>
      <c r="V93" s="17">
        <v>119148</v>
      </c>
      <c r="W93" s="17">
        <v>107093</v>
      </c>
      <c r="X93" s="17">
        <v>19608</v>
      </c>
      <c r="Y93" s="17">
        <v>9535</v>
      </c>
      <c r="Z93" s="17">
        <v>7323</v>
      </c>
      <c r="AA93" s="17">
        <v>7513</v>
      </c>
      <c r="AB93" s="17">
        <v>0</v>
      </c>
      <c r="AC93" s="17">
        <v>0</v>
      </c>
      <c r="AD93" s="17">
        <v>0</v>
      </c>
      <c r="AE93" s="17">
        <v>0</v>
      </c>
      <c r="AF93" s="17">
        <f t="shared" si="33"/>
        <v>4012309</v>
      </c>
      <c r="AG93" s="18">
        <f t="shared" si="34"/>
        <v>0.96089318356522735</v>
      </c>
      <c r="AH93" s="17">
        <f t="shared" si="35"/>
        <v>-163294.56200366002</v>
      </c>
      <c r="AI93" s="20">
        <f t="shared" si="36"/>
        <v>1.9172005525289748E-2</v>
      </c>
      <c r="AJ93" s="20">
        <f t="shared" si="37"/>
        <v>0.13207245227786754</v>
      </c>
      <c r="AK93" s="21">
        <f t="shared" si="38"/>
        <v>0.10358503910408423</v>
      </c>
      <c r="AL93" s="21">
        <f t="shared" si="39"/>
        <v>0.29945933531409086</v>
      </c>
      <c r="AM93" s="31"/>
      <c r="AO93" s="38">
        <f t="shared" si="40"/>
        <v>46112</v>
      </c>
      <c r="AP93" s="17">
        <f>+Tabla22[[#This Row],[Web + APP 2025]]+Tabla22[[#This Row],[Afiliados 2025]]+Tabla22[[#This Row],[TMK 2025]]+Tabla22[[#This Row],[WA 2025]]+Tabla22[[#This Row],[Ent. en Tienda 2025]]</f>
        <v>2786097.3103448278</v>
      </c>
      <c r="AQ93" s="17">
        <f>+Tabla22[[#This Row],[Meli Drop 2025]]+Tabla22[[#This Row],[Meli Full 2025]]+Tabla22[[#This Row],[Amazon Drop 2025]]+Tabla22[[#This Row],[Amazon Full 2025]]+Tabla22[[#This Row],[TikTok 2025]]+Tabla22[[#This Row],[Shein 2025]]</f>
        <v>613077</v>
      </c>
      <c r="AR93" s="17">
        <f t="shared" si="41"/>
        <v>3380691</v>
      </c>
      <c r="AS93" s="17">
        <f t="shared" si="42"/>
        <v>631618</v>
      </c>
      <c r="AT93" s="18">
        <f t="shared" si="43"/>
        <v>0.2134145449433642</v>
      </c>
      <c r="AU93" s="18">
        <f t="shared" si="44"/>
        <v>3.0242530709845505E-2</v>
      </c>
      <c r="AV93" s="17">
        <f t="shared" si="45"/>
        <v>3657616.56200366</v>
      </c>
      <c r="AW93" s="17">
        <f t="shared" si="46"/>
        <v>517987</v>
      </c>
      <c r="AX93" s="39">
        <f t="shared" si="47"/>
        <v>0.92428797351793512</v>
      </c>
      <c r="AY93" s="39">
        <f t="shared" si="48"/>
        <v>1.2193703702988685</v>
      </c>
      <c r="AZ93" s="39">
        <f t="shared" si="49"/>
        <v>0.96089318356522735</v>
      </c>
      <c r="BA93" s="18">
        <f t="shared" si="29"/>
        <v>3.6513871831203935E-2</v>
      </c>
      <c r="BB93" s="20">
        <f t="shared" si="30"/>
        <v>3.7194513113845321E-2</v>
      </c>
      <c r="BC93" s="17">
        <f t="shared" si="50"/>
        <v>-276925.56200366002</v>
      </c>
      <c r="BD93" s="17">
        <f t="shared" si="51"/>
        <v>113631</v>
      </c>
    </row>
    <row r="94" spans="1:56" ht="14.25" hidden="1" customHeight="1" x14ac:dyDescent="0.35">
      <c r="A94" s="16">
        <v>45748</v>
      </c>
      <c r="B94" s="17">
        <f>+'BD MD'!B93</f>
        <v>29808124</v>
      </c>
      <c r="C94" s="17">
        <f t="shared" si="31"/>
        <v>3936832.0344827585</v>
      </c>
      <c r="D94" s="18">
        <f>+Tabla22[[#This Row],[Vta 2025]]/(SUM($C$94:$C$123))</f>
        <v>4.7400183559419766E-2</v>
      </c>
      <c r="E94" s="48">
        <v>43075503</v>
      </c>
      <c r="F94" s="19">
        <v>46113</v>
      </c>
      <c r="G94" s="17">
        <f t="shared" si="32"/>
        <v>3202889.1143756318</v>
      </c>
      <c r="H94" s="17">
        <v>2530915.7136566299</v>
      </c>
      <c r="I94" s="17">
        <v>671973.40071900201</v>
      </c>
      <c r="J94" s="17">
        <v>3138536</v>
      </c>
      <c r="K94" s="48">
        <v>2663655</v>
      </c>
      <c r="L94" s="17">
        <v>22106.034482758601</v>
      </c>
      <c r="M94" s="48">
        <v>25983</v>
      </c>
      <c r="N94" s="17">
        <v>84893</v>
      </c>
      <c r="O94" s="48">
        <v>48888</v>
      </c>
      <c r="P94" s="17">
        <v>8872</v>
      </c>
      <c r="Q94" s="48">
        <v>71</v>
      </c>
      <c r="R94" s="17">
        <v>49545</v>
      </c>
      <c r="S94" s="48">
        <v>69713</v>
      </c>
      <c r="T94" s="17">
        <v>478988</v>
      </c>
      <c r="U94" s="48">
        <v>295216</v>
      </c>
      <c r="V94" s="17">
        <v>121840</v>
      </c>
      <c r="W94" s="48">
        <v>108376</v>
      </c>
      <c r="X94" s="17">
        <v>21703</v>
      </c>
      <c r="Y94" s="48">
        <v>8989</v>
      </c>
      <c r="Z94" s="17">
        <v>10349</v>
      </c>
      <c r="AA94" s="48">
        <v>5695</v>
      </c>
      <c r="AB94" s="17">
        <v>0</v>
      </c>
      <c r="AC94" s="48">
        <v>0</v>
      </c>
      <c r="AD94" s="17">
        <v>0</v>
      </c>
      <c r="AE94" s="48">
        <v>1536</v>
      </c>
      <c r="AF94" s="17">
        <f t="shared" si="33"/>
        <v>3228122</v>
      </c>
      <c r="AG94" s="18">
        <f t="shared" si="34"/>
        <v>1.0078781639711205</v>
      </c>
      <c r="AH94" s="17">
        <f t="shared" si="35"/>
        <v>25232.885624368209</v>
      </c>
      <c r="AI94" s="20">
        <f t="shared" si="36"/>
        <v>-0.20397530991597446</v>
      </c>
      <c r="AJ94" s="20">
        <f t="shared" si="37"/>
        <v>0.12274392420935275</v>
      </c>
      <c r="AK94" s="21">
        <f t="shared" si="38"/>
        <v>7.4941016939488792E-2</v>
      </c>
      <c r="AL94" s="21">
        <f t="shared" si="39"/>
        <v>0.30378794175345813</v>
      </c>
      <c r="AM94" s="31"/>
      <c r="AO94" s="38">
        <f t="shared" si="40"/>
        <v>46113</v>
      </c>
      <c r="AP94" s="17">
        <f>+Tabla22[[#This Row],[Web + APP 2025]]+Tabla22[[#This Row],[Afiliados 2025]]+Tabla22[[#This Row],[TMK 2025]]+Tabla22[[#This Row],[WA 2025]]+Tabla22[[#This Row],[Ent. en Tienda 2025]]</f>
        <v>3303952.0344827585</v>
      </c>
      <c r="AQ94" s="17">
        <f>+Tabla22[[#This Row],[Meli Drop 2025]]+Tabla22[[#This Row],[Meli Full 2025]]+Tabla22[[#This Row],[Amazon Drop 2025]]+Tabla22[[#This Row],[Amazon Full 2025]]+Tabla22[[#This Row],[TikTok 2025]]+Tabla22[[#This Row],[Shein 2025]]</f>
        <v>632880</v>
      </c>
      <c r="AR94" s="17">
        <f t="shared" si="41"/>
        <v>2808310</v>
      </c>
      <c r="AS94" s="17">
        <f t="shared" si="42"/>
        <v>419812</v>
      </c>
      <c r="AT94" s="18">
        <f t="shared" si="43"/>
        <v>-0.15001490012864316</v>
      </c>
      <c r="AU94" s="18">
        <f t="shared" si="44"/>
        <v>-0.33666413854127164</v>
      </c>
      <c r="AV94" s="49">
        <f t="shared" si="45"/>
        <v>2530915.7136566299</v>
      </c>
      <c r="AW94" s="49">
        <f t="shared" si="46"/>
        <v>671973.40071900201</v>
      </c>
      <c r="AX94" s="39">
        <f t="shared" si="47"/>
        <v>1.1096023407048174</v>
      </c>
      <c r="AY94" s="39">
        <f t="shared" si="48"/>
        <v>0.62474496691506998</v>
      </c>
      <c r="AZ94" s="39">
        <f t="shared" si="49"/>
        <v>1.0078781639711205</v>
      </c>
      <c r="BA94" s="18">
        <f t="shared" ref="BA94:BA123" si="52">+AQ94/(SUM($AQ$94:$AQ$123))</f>
        <v>4.4866421586698076E-2</v>
      </c>
      <c r="BB94" s="20">
        <f t="shared" ref="BB94:BB123" si="53">+AP94/(SUM($AP$94:$AP$123))</f>
        <v>4.7918548563461144E-2</v>
      </c>
      <c r="BC94" s="17">
        <f t="shared" si="50"/>
        <v>277394.2863433701</v>
      </c>
      <c r="BD94" s="17">
        <f t="shared" si="51"/>
        <v>-252161.40071900201</v>
      </c>
    </row>
    <row r="95" spans="1:56" ht="14.25" hidden="1" customHeight="1" x14ac:dyDescent="0.35">
      <c r="A95" s="19">
        <v>45749</v>
      </c>
      <c r="B95" s="17">
        <f>+'BD MD'!B94</f>
        <v>33038734</v>
      </c>
      <c r="C95" s="17">
        <f t="shared" si="31"/>
        <v>4055303.8620689656</v>
      </c>
      <c r="D95" s="18">
        <f>+Tabla22[[#This Row],[Vta 2025]]/(SUM($C$94:$C$123))</f>
        <v>4.882660620712715E-2</v>
      </c>
      <c r="E95" s="17">
        <v>36898701</v>
      </c>
      <c r="F95" s="19">
        <v>46114</v>
      </c>
      <c r="G95" s="17">
        <f t="shared" si="32"/>
        <v>2492074.404775437</v>
      </c>
      <c r="H95" s="17">
        <v>1958190.40659514</v>
      </c>
      <c r="I95" s="17">
        <v>533883.99818029697</v>
      </c>
      <c r="J95" s="17">
        <v>3224956</v>
      </c>
      <c r="K95" s="17">
        <v>1732887</v>
      </c>
      <c r="L95" s="17">
        <v>19000.8620689655</v>
      </c>
      <c r="M95" s="17">
        <v>24716</v>
      </c>
      <c r="N95" s="17">
        <v>53719</v>
      </c>
      <c r="O95" s="17">
        <v>32881</v>
      </c>
      <c r="P95" s="17">
        <v>3290</v>
      </c>
      <c r="Q95" s="17">
        <v>6045</v>
      </c>
      <c r="R95" s="17">
        <v>91562</v>
      </c>
      <c r="S95" s="17">
        <v>122827</v>
      </c>
      <c r="T95" s="17">
        <v>496250</v>
      </c>
      <c r="U95" s="17">
        <v>244674</v>
      </c>
      <c r="V95" s="17">
        <v>140257</v>
      </c>
      <c r="W95" s="17">
        <v>97541</v>
      </c>
      <c r="X95" s="17">
        <v>19389</v>
      </c>
      <c r="Y95" s="17">
        <v>9445</v>
      </c>
      <c r="Z95" s="17">
        <v>6880</v>
      </c>
      <c r="AA95" s="17">
        <v>7745</v>
      </c>
      <c r="AB95" s="17">
        <v>0</v>
      </c>
      <c r="AC95" s="17">
        <v>-585</v>
      </c>
      <c r="AD95" s="17">
        <v>0</v>
      </c>
      <c r="AE95" s="17">
        <v>0</v>
      </c>
      <c r="AF95" s="17">
        <f t="shared" si="33"/>
        <v>2278176</v>
      </c>
      <c r="AG95" s="18">
        <f t="shared" si="34"/>
        <v>0.91416853190035008</v>
      </c>
      <c r="AH95" s="17">
        <f t="shared" si="35"/>
        <v>-213898.40477543697</v>
      </c>
      <c r="AI95" s="20">
        <f t="shared" si="36"/>
        <v>-0.25369504920914754</v>
      </c>
      <c r="AJ95" s="20">
        <f t="shared" si="37"/>
        <v>8.1323903359707142E-2</v>
      </c>
      <c r="AK95" s="21">
        <f t="shared" si="38"/>
        <v>6.1741360488544027E-2</v>
      </c>
      <c r="AL95" s="21">
        <f t="shared" si="39"/>
        <v>-1.698907807113148E-2</v>
      </c>
      <c r="AM95" s="31"/>
      <c r="AO95" s="38">
        <f t="shared" si="40"/>
        <v>46114</v>
      </c>
      <c r="AP95" s="17">
        <f>+Tabla22[[#This Row],[Web + APP 2025]]+Tabla22[[#This Row],[Afiliados 2025]]+Tabla22[[#This Row],[TMK 2025]]+Tabla22[[#This Row],[WA 2025]]+Tabla22[[#This Row],[Ent. en Tienda 2025]]</f>
        <v>3392527.8620689656</v>
      </c>
      <c r="AQ95" s="17">
        <f>+Tabla22[[#This Row],[Meli Drop 2025]]+Tabla22[[#This Row],[Meli Full 2025]]+Tabla22[[#This Row],[Amazon Drop 2025]]+Tabla22[[#This Row],[Amazon Full 2025]]+Tabla22[[#This Row],[TikTok 2025]]+Tabla22[[#This Row],[Shein 2025]]</f>
        <v>662776</v>
      </c>
      <c r="AR95" s="17">
        <f t="shared" si="41"/>
        <v>1919356</v>
      </c>
      <c r="AS95" s="17">
        <f t="shared" si="42"/>
        <v>358820</v>
      </c>
      <c r="AT95" s="18">
        <f t="shared" si="43"/>
        <v>-0.43424016602491144</v>
      </c>
      <c r="AU95" s="18">
        <f t="shared" si="44"/>
        <v>-0.45861045058964112</v>
      </c>
      <c r="AV95" s="49">
        <f t="shared" si="45"/>
        <v>1958190.40659514</v>
      </c>
      <c r="AW95" s="49">
        <f t="shared" si="46"/>
        <v>533883.99818029697</v>
      </c>
      <c r="AX95" s="39">
        <f t="shared" si="47"/>
        <v>0.98016821731719928</v>
      </c>
      <c r="AY95" s="39">
        <f t="shared" si="48"/>
        <v>0.67209356568657364</v>
      </c>
      <c r="AZ95" s="39">
        <f t="shared" si="49"/>
        <v>0.91416853190035008</v>
      </c>
      <c r="BA95" s="18">
        <f t="shared" si="52"/>
        <v>4.6985822641804773E-2</v>
      </c>
      <c r="BB95" s="20">
        <f t="shared" si="53"/>
        <v>4.9203199506162525E-2</v>
      </c>
      <c r="BC95" s="17">
        <f t="shared" si="50"/>
        <v>-38834.406595139997</v>
      </c>
      <c r="BD95" s="17">
        <f t="shared" si="51"/>
        <v>-175063.99818029697</v>
      </c>
    </row>
    <row r="96" spans="1:56" ht="14.25" hidden="1" customHeight="1" x14ac:dyDescent="0.35">
      <c r="A96" s="16">
        <v>45750</v>
      </c>
      <c r="B96" s="17">
        <f>+'BD MD'!B95</f>
        <v>37536410</v>
      </c>
      <c r="C96" s="17">
        <f t="shared" si="31"/>
        <v>3052607.3793103448</v>
      </c>
      <c r="D96" s="18">
        <f>+Tabla22[[#This Row],[Vta 2025]]/(SUM($C$94:$C$123))</f>
        <v>3.6753955679788182E-2</v>
      </c>
      <c r="E96" s="17">
        <v>17241821</v>
      </c>
      <c r="F96" s="19">
        <v>46115</v>
      </c>
      <c r="G96" s="17">
        <f t="shared" si="32"/>
        <v>2018282.4388011731</v>
      </c>
      <c r="H96" s="17">
        <v>1508618.83358052</v>
      </c>
      <c r="I96" s="17">
        <v>509663.605220653</v>
      </c>
      <c r="J96" s="17">
        <v>2284246</v>
      </c>
      <c r="K96" s="17">
        <v>1389487</v>
      </c>
      <c r="L96" s="17">
        <v>20966.379310344801</v>
      </c>
      <c r="M96" s="17">
        <v>23309</v>
      </c>
      <c r="N96" s="17">
        <v>55138</v>
      </c>
      <c r="O96" s="17">
        <v>-1550</v>
      </c>
      <c r="P96" s="17">
        <v>3034</v>
      </c>
      <c r="Q96" s="17">
        <v>0</v>
      </c>
      <c r="R96" s="17">
        <v>100239</v>
      </c>
      <c r="S96" s="17">
        <v>46431</v>
      </c>
      <c r="T96" s="17">
        <v>439577</v>
      </c>
      <c r="U96" s="17">
        <v>273373</v>
      </c>
      <c r="V96" s="17">
        <v>113852</v>
      </c>
      <c r="W96" s="17">
        <v>89277</v>
      </c>
      <c r="X96" s="17">
        <v>26202</v>
      </c>
      <c r="Y96" s="17">
        <v>12317</v>
      </c>
      <c r="Z96" s="17">
        <v>9353</v>
      </c>
      <c r="AA96" s="17">
        <v>3148</v>
      </c>
      <c r="AB96" s="17">
        <v>0</v>
      </c>
      <c r="AC96" s="17">
        <v>1439</v>
      </c>
      <c r="AD96" s="17">
        <v>0</v>
      </c>
      <c r="AE96" s="17">
        <v>0</v>
      </c>
      <c r="AF96" s="17">
        <f t="shared" si="33"/>
        <v>1837231</v>
      </c>
      <c r="AG96" s="18">
        <f t="shared" si="34"/>
        <v>0.91029430008383028</v>
      </c>
      <c r="AH96" s="17">
        <f t="shared" si="35"/>
        <v>-181051.43880117312</v>
      </c>
      <c r="AI96" s="20">
        <f t="shared" si="36"/>
        <v>-0.2635871766914516</v>
      </c>
      <c r="AJ96" s="20">
        <f t="shared" si="37"/>
        <v>6.5921403064069475E-2</v>
      </c>
      <c r="AK96" s="21">
        <f t="shared" si="38"/>
        <v>0.10655666823127326</v>
      </c>
      <c r="AL96" s="21">
        <f t="shared" si="39"/>
        <v>-0.54441737572436</v>
      </c>
      <c r="AM96" s="31"/>
      <c r="AO96" s="38">
        <f t="shared" si="40"/>
        <v>46115</v>
      </c>
      <c r="AP96" s="17">
        <f>+Tabla22[[#This Row],[Web + APP 2025]]+Tabla22[[#This Row],[Afiliados 2025]]+Tabla22[[#This Row],[TMK 2025]]+Tabla22[[#This Row],[WA 2025]]+Tabla22[[#This Row],[Ent. en Tienda 2025]]</f>
        <v>2463623.3793103448</v>
      </c>
      <c r="AQ96" s="17">
        <f>+Tabla22[[#This Row],[Meli Drop 2025]]+Tabla22[[#This Row],[Meli Full 2025]]+Tabla22[[#This Row],[Amazon Drop 2025]]+Tabla22[[#This Row],[Amazon Full 2025]]+Tabla22[[#This Row],[TikTok 2025]]+Tabla22[[#This Row],[Shein 2025]]</f>
        <v>588984</v>
      </c>
      <c r="AR96" s="17">
        <f t="shared" si="41"/>
        <v>1457677</v>
      </c>
      <c r="AS96" s="17">
        <f t="shared" si="42"/>
        <v>379554</v>
      </c>
      <c r="AT96" s="18">
        <f t="shared" si="43"/>
        <v>-0.40831987054447616</v>
      </c>
      <c r="AU96" s="18">
        <f t="shared" si="44"/>
        <v>-0.35557841978729476</v>
      </c>
      <c r="AV96" s="49">
        <f t="shared" si="45"/>
        <v>1508618.83358052</v>
      </c>
      <c r="AW96" s="49">
        <f t="shared" si="46"/>
        <v>509663.605220653</v>
      </c>
      <c r="AX96" s="39">
        <f t="shared" si="47"/>
        <v>0.96623280019670976</v>
      </c>
      <c r="AY96" s="39">
        <f t="shared" si="48"/>
        <v>0.74471474147281214</v>
      </c>
      <c r="AZ96" s="39">
        <f t="shared" si="49"/>
        <v>0.91029430008383028</v>
      </c>
      <c r="BA96" s="18">
        <f t="shared" si="52"/>
        <v>4.1754526058367748E-2</v>
      </c>
      <c r="BB96" s="20">
        <f t="shared" si="53"/>
        <v>3.5730923243273573E-2</v>
      </c>
      <c r="BC96" s="17">
        <f t="shared" si="50"/>
        <v>-50941.833580520004</v>
      </c>
      <c r="BD96" s="17">
        <f t="shared" si="51"/>
        <v>-130109.605220653</v>
      </c>
    </row>
    <row r="97" spans="1:56" ht="14.25" hidden="1" customHeight="1" x14ac:dyDescent="0.35">
      <c r="A97" s="19">
        <v>45751</v>
      </c>
      <c r="B97" s="17">
        <f>+'BD MD'!B96</f>
        <v>37845651</v>
      </c>
      <c r="C97" s="17">
        <f t="shared" si="31"/>
        <v>2494838.4137931038</v>
      </c>
      <c r="D97" s="18">
        <f>+Tabla22[[#This Row],[Vta 2025]]/(SUM($C$94:$C$123))</f>
        <v>3.0038314494771637E-2</v>
      </c>
      <c r="E97" s="17">
        <v>29614522</v>
      </c>
      <c r="F97" s="19">
        <v>46116</v>
      </c>
      <c r="G97" s="17">
        <f t="shared" si="32"/>
        <v>1813607.8576939679</v>
      </c>
      <c r="H97" s="17">
        <v>1438592.65500991</v>
      </c>
      <c r="I97" s="17">
        <v>375015.20268405799</v>
      </c>
      <c r="J97" s="17">
        <v>1760543</v>
      </c>
      <c r="K97" s="17">
        <v>1533453</v>
      </c>
      <c r="L97" s="17">
        <v>20947.4137931035</v>
      </c>
      <c r="M97" s="17">
        <v>20033</v>
      </c>
      <c r="N97" s="17">
        <v>62700</v>
      </c>
      <c r="O97" s="17">
        <v>3141</v>
      </c>
      <c r="P97" s="17">
        <v>517</v>
      </c>
      <c r="Q97" s="17">
        <v>6216</v>
      </c>
      <c r="R97" s="17">
        <v>58034</v>
      </c>
      <c r="S97" s="17">
        <v>58547</v>
      </c>
      <c r="T97" s="17">
        <v>446985</v>
      </c>
      <c r="U97" s="17">
        <v>258489</v>
      </c>
      <c r="V97" s="17">
        <v>115709</v>
      </c>
      <c r="W97" s="17">
        <v>94071</v>
      </c>
      <c r="X97" s="17">
        <v>18229</v>
      </c>
      <c r="Y97" s="17">
        <v>8439</v>
      </c>
      <c r="Z97" s="17">
        <v>11174</v>
      </c>
      <c r="AA97" s="17">
        <v>5821</v>
      </c>
      <c r="AB97" s="17">
        <v>0</v>
      </c>
      <c r="AC97" s="17">
        <v>0</v>
      </c>
      <c r="AD97" s="17">
        <v>0</v>
      </c>
      <c r="AE97" s="17">
        <v>689</v>
      </c>
      <c r="AF97" s="17">
        <f t="shared" si="33"/>
        <v>1988899</v>
      </c>
      <c r="AG97" s="18">
        <f t="shared" si="34"/>
        <v>1.0966532768163664</v>
      </c>
      <c r="AH97" s="17">
        <f t="shared" si="35"/>
        <v>175291.14230603212</v>
      </c>
      <c r="AI97" s="20">
        <f t="shared" si="36"/>
        <v>-7.2327307381936823E-2</v>
      </c>
      <c r="AJ97" s="20">
        <f t="shared" si="37"/>
        <v>4.3378422722509559E-2</v>
      </c>
      <c r="AK97" s="21">
        <f t="shared" si="38"/>
        <v>6.7159584746969744E-2</v>
      </c>
      <c r="AL97" s="21">
        <f t="shared" si="39"/>
        <v>-0.4008155595344014</v>
      </c>
      <c r="AM97" s="31"/>
      <c r="AO97" s="38">
        <f t="shared" si="40"/>
        <v>46116</v>
      </c>
      <c r="AP97" s="17">
        <f>+Tabla22[[#This Row],[Web + APP 2025]]+Tabla22[[#This Row],[Afiliados 2025]]+Tabla22[[#This Row],[TMK 2025]]+Tabla22[[#This Row],[WA 2025]]+Tabla22[[#This Row],[Ent. en Tienda 2025]]</f>
        <v>1902741.4137931035</v>
      </c>
      <c r="AQ97" s="17">
        <f>+Tabla22[[#This Row],[Meli Drop 2025]]+Tabla22[[#This Row],[Meli Full 2025]]+Tabla22[[#This Row],[Amazon Drop 2025]]+Tabla22[[#This Row],[Amazon Full 2025]]+Tabla22[[#This Row],[TikTok 2025]]+Tabla22[[#This Row],[Shein 2025]]</f>
        <v>592097</v>
      </c>
      <c r="AR97" s="17">
        <f t="shared" si="41"/>
        <v>1621390</v>
      </c>
      <c r="AS97" s="17">
        <f t="shared" si="42"/>
        <v>367509</v>
      </c>
      <c r="AT97" s="18">
        <f t="shared" si="43"/>
        <v>-0.14786634261154341</v>
      </c>
      <c r="AU97" s="18">
        <f t="shared" si="44"/>
        <v>-0.37930947125217662</v>
      </c>
      <c r="AV97" s="49">
        <f t="shared" si="45"/>
        <v>1438592.65500991</v>
      </c>
      <c r="AW97" s="49">
        <f t="shared" si="46"/>
        <v>375015.20268405799</v>
      </c>
      <c r="AX97" s="39">
        <f t="shared" si="47"/>
        <v>1.1270667859685624</v>
      </c>
      <c r="AY97" s="39">
        <f t="shared" si="48"/>
        <v>0.9799842709566583</v>
      </c>
      <c r="AZ97" s="39">
        <f t="shared" si="49"/>
        <v>1.0966532768163664</v>
      </c>
      <c r="BA97" s="18">
        <f t="shared" si="52"/>
        <v>4.1975214293735262E-2</v>
      </c>
      <c r="BB97" s="20">
        <f t="shared" si="53"/>
        <v>2.7596225940618856E-2</v>
      </c>
      <c r="BC97" s="17">
        <f t="shared" si="50"/>
        <v>182797.34499009</v>
      </c>
      <c r="BD97" s="17">
        <f t="shared" si="51"/>
        <v>-7506.2026840579929</v>
      </c>
    </row>
    <row r="98" spans="1:56" ht="14.25" hidden="1" customHeight="1" x14ac:dyDescent="0.35">
      <c r="A98" s="16">
        <v>45752</v>
      </c>
      <c r="B98" s="17">
        <f>+'BD MD'!B97</f>
        <v>49424718</v>
      </c>
      <c r="C98" s="17">
        <f t="shared" si="31"/>
        <v>2143966.3103448274</v>
      </c>
      <c r="D98" s="18">
        <f>+Tabla22[[#This Row],[Vta 2025]]/(SUM($C$94:$C$123))</f>
        <v>2.5813749676244106E-2</v>
      </c>
      <c r="E98" s="17">
        <v>32111892</v>
      </c>
      <c r="F98" s="19">
        <v>46117</v>
      </c>
      <c r="G98" s="17">
        <f t="shared" si="32"/>
        <v>2403925.7696780148</v>
      </c>
      <c r="H98" s="17">
        <v>1923027.8825731699</v>
      </c>
      <c r="I98" s="17">
        <v>480897.88710484502</v>
      </c>
      <c r="J98" s="17">
        <v>1496166</v>
      </c>
      <c r="K98" s="17">
        <v>2062753</v>
      </c>
      <c r="L98" s="17">
        <v>21429.310344827602</v>
      </c>
      <c r="M98" s="17">
        <v>21508</v>
      </c>
      <c r="N98" s="17">
        <v>11511</v>
      </c>
      <c r="O98" s="17">
        <v>-895</v>
      </c>
      <c r="P98" s="17">
        <v>8</v>
      </c>
      <c r="Q98" s="17">
        <v>0</v>
      </c>
      <c r="R98" s="17">
        <v>49878</v>
      </c>
      <c r="S98" s="17">
        <v>60855</v>
      </c>
      <c r="T98" s="17">
        <v>435734</v>
      </c>
      <c r="U98" s="17">
        <v>330907</v>
      </c>
      <c r="V98" s="17">
        <v>114189</v>
      </c>
      <c r="W98" s="17">
        <v>116557</v>
      </c>
      <c r="X98" s="17">
        <v>9901</v>
      </c>
      <c r="Y98" s="17">
        <v>9893</v>
      </c>
      <c r="Z98" s="17">
        <v>5150</v>
      </c>
      <c r="AA98" s="17">
        <v>5934</v>
      </c>
      <c r="AB98" s="17">
        <v>0</v>
      </c>
      <c r="AC98" s="17">
        <v>0</v>
      </c>
      <c r="AD98" s="17">
        <v>0</v>
      </c>
      <c r="AE98" s="17">
        <v>2066</v>
      </c>
      <c r="AF98" s="17">
        <f t="shared" si="33"/>
        <v>2609578</v>
      </c>
      <c r="AG98" s="18">
        <f t="shared" si="34"/>
        <v>1.0855484944318936</v>
      </c>
      <c r="AH98" s="17">
        <f t="shared" si="35"/>
        <v>205652.2303219852</v>
      </c>
      <c r="AI98" s="20">
        <f t="shared" si="36"/>
        <v>1.772960806205548E-2</v>
      </c>
      <c r="AJ98" s="20">
        <f t="shared" si="37"/>
        <v>5.2541573348946838E-2</v>
      </c>
      <c r="AK98" s="21">
        <f t="shared" si="38"/>
        <v>8.1265158714410229E-2</v>
      </c>
      <c r="AL98" s="21">
        <f t="shared" si="39"/>
        <v>-0.34199211941112773</v>
      </c>
      <c r="AM98" s="31"/>
      <c r="AO98" s="38">
        <f t="shared" si="40"/>
        <v>46117</v>
      </c>
      <c r="AP98" s="17">
        <f>+Tabla22[[#This Row],[Web + APP 2025]]+Tabla22[[#This Row],[Afiliados 2025]]+Tabla22[[#This Row],[TMK 2025]]+Tabla22[[#This Row],[WA 2025]]+Tabla22[[#This Row],[Ent. en Tienda 2025]]</f>
        <v>1578992.3103448276</v>
      </c>
      <c r="AQ98" s="17">
        <f>+Tabla22[[#This Row],[Meli Drop 2025]]+Tabla22[[#This Row],[Meli Full 2025]]+Tabla22[[#This Row],[Amazon Drop 2025]]+Tabla22[[#This Row],[Amazon Full 2025]]+Tabla22[[#This Row],[TikTok 2025]]+Tabla22[[#This Row],[Shein 2025]]</f>
        <v>564974</v>
      </c>
      <c r="AR98" s="17">
        <f t="shared" si="41"/>
        <v>2144221</v>
      </c>
      <c r="AS98" s="17">
        <f t="shared" si="42"/>
        <v>465357</v>
      </c>
      <c r="AT98" s="18">
        <f t="shared" si="43"/>
        <v>0.35796798119411677</v>
      </c>
      <c r="AU98" s="18">
        <f t="shared" si="44"/>
        <v>-0.17632138824087484</v>
      </c>
      <c r="AV98" s="49">
        <f t="shared" si="45"/>
        <v>1923027.8825731699</v>
      </c>
      <c r="AW98" s="49">
        <f t="shared" si="46"/>
        <v>480897.88710484502</v>
      </c>
      <c r="AX98" s="39">
        <f t="shared" si="47"/>
        <v>1.1150233542796351</v>
      </c>
      <c r="AY98" s="39">
        <f t="shared" si="48"/>
        <v>0.96768360285713462</v>
      </c>
      <c r="AZ98" s="39">
        <f t="shared" si="49"/>
        <v>1.0855484944318936</v>
      </c>
      <c r="BA98" s="18">
        <f t="shared" si="52"/>
        <v>4.005239803678922E-2</v>
      </c>
      <c r="BB98" s="20">
        <f t="shared" si="53"/>
        <v>2.290076215238868E-2</v>
      </c>
      <c r="BC98" s="17">
        <f t="shared" si="50"/>
        <v>221193.11742683011</v>
      </c>
      <c r="BD98" s="17">
        <f t="shared" si="51"/>
        <v>-15540.887104845024</v>
      </c>
    </row>
    <row r="99" spans="1:56" ht="14.25" hidden="1" customHeight="1" x14ac:dyDescent="0.35">
      <c r="A99" s="19">
        <v>45753</v>
      </c>
      <c r="B99" s="17">
        <f>+'BD MD'!B98</f>
        <v>48801683</v>
      </c>
      <c r="C99" s="17">
        <f t="shared" si="31"/>
        <v>2564117.2068965519</v>
      </c>
      <c r="D99" s="18">
        <f>+Tabla22[[#This Row],[Vta 2025]]/(SUM($C$94:$C$123))</f>
        <v>3.0872443937205406E-2</v>
      </c>
      <c r="E99" s="17">
        <v>25748860</v>
      </c>
      <c r="F99" s="19">
        <v>46118</v>
      </c>
      <c r="G99" s="17">
        <f t="shared" si="32"/>
        <v>3799683.2282442148</v>
      </c>
      <c r="H99" s="17">
        <v>3238014.31839043</v>
      </c>
      <c r="I99" s="17">
        <v>561668.90985378495</v>
      </c>
      <c r="J99" s="17">
        <v>1847860</v>
      </c>
      <c r="K99" s="17">
        <v>3236683</v>
      </c>
      <c r="L99" s="17">
        <v>18636.206896551699</v>
      </c>
      <c r="M99" s="17">
        <v>13884</v>
      </c>
      <c r="N99" s="17">
        <v>26062</v>
      </c>
      <c r="O99" s="17">
        <v>33131</v>
      </c>
      <c r="P99" s="17">
        <v>2036</v>
      </c>
      <c r="Q99" s="17">
        <v>1049</v>
      </c>
      <c r="R99" s="17">
        <v>55957</v>
      </c>
      <c r="S99" s="17">
        <v>69872</v>
      </c>
      <c r="T99" s="17">
        <v>473249</v>
      </c>
      <c r="U99" s="17">
        <v>347578</v>
      </c>
      <c r="V99" s="17">
        <v>122349</v>
      </c>
      <c r="W99" s="17">
        <v>92698</v>
      </c>
      <c r="X99" s="17">
        <v>13822</v>
      </c>
      <c r="Y99" s="17">
        <v>11105</v>
      </c>
      <c r="Z99" s="17">
        <v>4146</v>
      </c>
      <c r="AA99" s="17">
        <v>6982</v>
      </c>
      <c r="AB99" s="17">
        <v>0</v>
      </c>
      <c r="AC99" s="17">
        <v>0</v>
      </c>
      <c r="AD99" s="17">
        <v>0</v>
      </c>
      <c r="AE99" s="17">
        <v>0</v>
      </c>
      <c r="AF99" s="17">
        <f t="shared" si="33"/>
        <v>3812982</v>
      </c>
      <c r="AG99" s="18">
        <f t="shared" si="34"/>
        <v>1.0034999685386747</v>
      </c>
      <c r="AH99" s="17">
        <f t="shared" si="35"/>
        <v>13298.771755785216</v>
      </c>
      <c r="AI99" s="20">
        <f t="shared" si="36"/>
        <v>3.5811557226196111E-2</v>
      </c>
      <c r="AJ99" s="20">
        <f t="shared" si="37"/>
        <v>0.13096739969516344</v>
      </c>
      <c r="AK99" s="21">
        <f t="shared" si="38"/>
        <v>0.14808352680468184</v>
      </c>
      <c r="AL99" s="21">
        <f t="shared" si="39"/>
        <v>-8.3911970822780901E-2</v>
      </c>
      <c r="AM99" s="31"/>
      <c r="AO99" s="38">
        <f t="shared" si="40"/>
        <v>46118</v>
      </c>
      <c r="AP99" s="17">
        <f>+Tabla22[[#This Row],[Web + APP 2025]]+Tabla22[[#This Row],[Afiliados 2025]]+Tabla22[[#This Row],[TMK 2025]]+Tabla22[[#This Row],[WA 2025]]+Tabla22[[#This Row],[Ent. en Tienda 2025]]</f>
        <v>1950551.2068965517</v>
      </c>
      <c r="AQ99" s="17">
        <f>+Tabla22[[#This Row],[Meli Drop 2025]]+Tabla22[[#This Row],[Meli Full 2025]]+Tabla22[[#This Row],[Amazon Drop 2025]]+Tabla22[[#This Row],[Amazon Full 2025]]+Tabla22[[#This Row],[TikTok 2025]]+Tabla22[[#This Row],[Shein 2025]]</f>
        <v>613566</v>
      </c>
      <c r="AR99" s="17">
        <f t="shared" si="41"/>
        <v>3354619</v>
      </c>
      <c r="AS99" s="17">
        <f t="shared" si="42"/>
        <v>458363</v>
      </c>
      <c r="AT99" s="18">
        <f t="shared" si="43"/>
        <v>0.7198312908367106</v>
      </c>
      <c r="AU99" s="18">
        <f t="shared" si="44"/>
        <v>-0.25295241261738755</v>
      </c>
      <c r="AV99" s="49">
        <f t="shared" si="45"/>
        <v>3238014.31839043</v>
      </c>
      <c r="AW99" s="49">
        <f t="shared" si="46"/>
        <v>561668.90985378495</v>
      </c>
      <c r="AX99" s="39">
        <f t="shared" si="47"/>
        <v>1.0360111692364389</v>
      </c>
      <c r="AY99" s="39">
        <f t="shared" si="48"/>
        <v>0.81607329862591504</v>
      </c>
      <c r="AZ99" s="39">
        <f t="shared" si="49"/>
        <v>1.0034999685386747</v>
      </c>
      <c r="BA99" s="18">
        <f t="shared" si="52"/>
        <v>4.3497204568423702E-2</v>
      </c>
      <c r="BB99" s="20">
        <f t="shared" si="53"/>
        <v>2.8289630647686664E-2</v>
      </c>
      <c r="BC99" s="17">
        <f t="shared" si="50"/>
        <v>116604.68160957005</v>
      </c>
      <c r="BD99" s="17">
        <f t="shared" si="51"/>
        <v>-103305.90985378495</v>
      </c>
    </row>
    <row r="100" spans="1:56" ht="14.25" hidden="1" customHeight="1" x14ac:dyDescent="0.35">
      <c r="A100" s="16">
        <v>45754</v>
      </c>
      <c r="B100" s="17">
        <f>+'BD MD'!B99</f>
        <v>28107408</v>
      </c>
      <c r="C100" s="17">
        <f t="shared" si="31"/>
        <v>3681154.1379310344</v>
      </c>
      <c r="D100" s="18">
        <f>+Tabla22[[#This Row],[Vta 2025]]/(SUM($C$94:$C$123))</f>
        <v>4.4321774543620761E-2</v>
      </c>
      <c r="E100" s="17">
        <v>29344448</v>
      </c>
      <c r="F100" s="19">
        <v>46119</v>
      </c>
      <c r="G100" s="17">
        <f t="shared" si="32"/>
        <v>4130456.0199458422</v>
      </c>
      <c r="H100" s="17">
        <v>3507321.56373533</v>
      </c>
      <c r="I100" s="17">
        <v>623134.45621051197</v>
      </c>
      <c r="J100" s="17">
        <v>2938155</v>
      </c>
      <c r="K100" s="17">
        <v>3458231</v>
      </c>
      <c r="L100" s="17">
        <v>17774.1379310345</v>
      </c>
      <c r="M100" s="17">
        <v>13114</v>
      </c>
      <c r="N100" s="17">
        <v>73052</v>
      </c>
      <c r="O100" s="17">
        <v>46704</v>
      </c>
      <c r="P100" s="17">
        <v>6096</v>
      </c>
      <c r="Q100" s="17">
        <v>6042</v>
      </c>
      <c r="R100" s="17">
        <v>48292</v>
      </c>
      <c r="S100" s="17">
        <v>57558</v>
      </c>
      <c r="T100" s="17">
        <v>444090</v>
      </c>
      <c r="U100" s="17">
        <v>339334</v>
      </c>
      <c r="V100" s="17">
        <v>111346</v>
      </c>
      <c r="W100" s="17">
        <v>100463</v>
      </c>
      <c r="X100" s="17">
        <v>36065</v>
      </c>
      <c r="Y100" s="17">
        <v>21803</v>
      </c>
      <c r="Z100" s="17">
        <v>6284</v>
      </c>
      <c r="AA100" s="17">
        <v>5551</v>
      </c>
      <c r="AB100" s="17">
        <v>0</v>
      </c>
      <c r="AC100" s="17">
        <v>0</v>
      </c>
      <c r="AD100" s="17">
        <v>0</v>
      </c>
      <c r="AE100" s="17">
        <v>0</v>
      </c>
      <c r="AF100" s="17">
        <f t="shared" si="33"/>
        <v>4048800</v>
      </c>
      <c r="AG100" s="18">
        <f t="shared" si="34"/>
        <v>0.98023074944956978</v>
      </c>
      <c r="AH100" s="17">
        <f t="shared" si="35"/>
        <v>-81656.019945842214</v>
      </c>
      <c r="AI100" s="20">
        <f t="shared" si="36"/>
        <v>2.3932840375529896E-2</v>
      </c>
      <c r="AJ100" s="20">
        <f t="shared" si="37"/>
        <v>0.12800076920925405</v>
      </c>
      <c r="AK100" s="21">
        <f t="shared" ref="AK100:AK131" si="54">+AF100/E100</f>
        <v>0.13797499274820232</v>
      </c>
      <c r="AL100" s="21">
        <f t="shared" si="39"/>
        <v>-5.00873486120057E-2</v>
      </c>
      <c r="AM100" s="31"/>
      <c r="AO100" s="38">
        <f t="shared" si="40"/>
        <v>46119</v>
      </c>
      <c r="AP100" s="17">
        <f>+Tabla22[[#This Row],[Web + APP 2025]]+Tabla22[[#This Row],[Afiliados 2025]]+Tabla22[[#This Row],[TMK 2025]]+Tabla22[[#This Row],[WA 2025]]+Tabla22[[#This Row],[Ent. en Tienda 2025]]</f>
        <v>3083369.1379310344</v>
      </c>
      <c r="AQ100" s="17">
        <f>+Tabla22[[#This Row],[Meli Drop 2025]]+Tabla22[[#This Row],[Meli Full 2025]]+Tabla22[[#This Row],[Amazon Drop 2025]]+Tabla22[[#This Row],[Amazon Full 2025]]+Tabla22[[#This Row],[TikTok 2025]]+Tabla22[[#This Row],[Shein 2025]]</f>
        <v>597785</v>
      </c>
      <c r="AR100" s="17">
        <f t="shared" si="41"/>
        <v>3581649</v>
      </c>
      <c r="AS100" s="17">
        <f t="shared" si="42"/>
        <v>467151</v>
      </c>
      <c r="AT100" s="18">
        <f t="shared" si="43"/>
        <v>0.16160240301403395</v>
      </c>
      <c r="AU100" s="18">
        <f t="shared" si="44"/>
        <v>-0.21853007352141651</v>
      </c>
      <c r="AV100" s="49">
        <f t="shared" si="45"/>
        <v>3507321.56373533</v>
      </c>
      <c r="AW100" s="49">
        <f t="shared" si="46"/>
        <v>623134.45621051197</v>
      </c>
      <c r="AX100" s="39">
        <f t="shared" si="47"/>
        <v>1.0211920791732341</v>
      </c>
      <c r="AY100" s="39">
        <f t="shared" si="48"/>
        <v>0.74967929528548416</v>
      </c>
      <c r="AZ100" s="39">
        <f t="shared" si="49"/>
        <v>0.98023074944956978</v>
      </c>
      <c r="BA100" s="18">
        <f t="shared" si="52"/>
        <v>4.2378450619713549E-2</v>
      </c>
      <c r="BB100" s="20">
        <f t="shared" si="53"/>
        <v>4.4719345872149228E-2</v>
      </c>
      <c r="BC100" s="17">
        <f t="shared" si="50"/>
        <v>74327.436264669988</v>
      </c>
      <c r="BD100" s="17">
        <f t="shared" si="51"/>
        <v>-155983.45621051197</v>
      </c>
    </row>
    <row r="101" spans="1:56" ht="14.25" hidden="1" customHeight="1" x14ac:dyDescent="0.35">
      <c r="A101" s="19">
        <v>45755</v>
      </c>
      <c r="B101" s="17">
        <f>+'BD MD'!B100</f>
        <v>30891733</v>
      </c>
      <c r="C101" s="17">
        <f t="shared" si="31"/>
        <v>3954165.5862068967</v>
      </c>
      <c r="D101" s="18">
        <f>+Tabla22[[#This Row],[Vta 2025]]/(SUM($C$94:$C$123))</f>
        <v>4.7608882718099717E-2</v>
      </c>
      <c r="E101" s="17">
        <v>32604834</v>
      </c>
      <c r="F101" s="19">
        <v>46120</v>
      </c>
      <c r="G101" s="17">
        <f t="shared" si="32"/>
        <v>4462204.5025639776</v>
      </c>
      <c r="H101" s="17">
        <v>3823240.0389817902</v>
      </c>
      <c r="I101" s="17">
        <v>638964.46358218696</v>
      </c>
      <c r="J101" s="17">
        <v>3216605</v>
      </c>
      <c r="K101" s="17">
        <v>3303877</v>
      </c>
      <c r="L101" s="17">
        <v>21327.586206896602</v>
      </c>
      <c r="M101" s="17">
        <v>7511</v>
      </c>
      <c r="N101" s="17">
        <v>89117</v>
      </c>
      <c r="O101" s="17">
        <v>44772</v>
      </c>
      <c r="P101" s="17">
        <v>9523</v>
      </c>
      <c r="Q101" s="17">
        <v>1353</v>
      </c>
      <c r="R101" s="17">
        <v>65722</v>
      </c>
      <c r="S101" s="17">
        <v>93757</v>
      </c>
      <c r="T101" s="17">
        <v>426938</v>
      </c>
      <c r="U101" s="17">
        <v>499464</v>
      </c>
      <c r="V101" s="17">
        <v>95196</v>
      </c>
      <c r="W101" s="17">
        <v>121896</v>
      </c>
      <c r="X101" s="17">
        <v>19287</v>
      </c>
      <c r="Y101" s="17">
        <v>23159</v>
      </c>
      <c r="Z101" s="17">
        <v>10450</v>
      </c>
      <c r="AA101" s="17">
        <v>6698</v>
      </c>
      <c r="AB101" s="17">
        <v>0</v>
      </c>
      <c r="AC101" s="17">
        <v>1621</v>
      </c>
      <c r="AD101" s="17">
        <v>0</v>
      </c>
      <c r="AE101" s="17">
        <v>2497</v>
      </c>
      <c r="AF101" s="17">
        <f t="shared" si="33"/>
        <v>4106605</v>
      </c>
      <c r="AG101" s="18">
        <f t="shared" si="34"/>
        <v>0.92030855995962302</v>
      </c>
      <c r="AH101" s="17">
        <f t="shared" si="35"/>
        <v>-355599.50256397761</v>
      </c>
      <c r="AI101" s="20">
        <f t="shared" si="36"/>
        <v>0.22831004738395433</v>
      </c>
      <c r="AJ101" s="20">
        <f t="shared" si="37"/>
        <v>9.9589552271077394E-2</v>
      </c>
      <c r="AK101" s="21">
        <f t="shared" si="54"/>
        <v>0.12595080226447403</v>
      </c>
      <c r="AL101" s="21">
        <f t="shared" si="39"/>
        <v>-2.8772778976274505E-2</v>
      </c>
      <c r="AM101" s="31"/>
      <c r="AO101" s="38">
        <f t="shared" si="40"/>
        <v>46120</v>
      </c>
      <c r="AP101" s="17">
        <f>+Tabla22[[#This Row],[Web + APP 2025]]+Tabla22[[#This Row],[Afiliados 2025]]+Tabla22[[#This Row],[TMK 2025]]+Tabla22[[#This Row],[WA 2025]]+Tabla22[[#This Row],[Ent. en Tienda 2025]]</f>
        <v>3402294.5862068967</v>
      </c>
      <c r="AQ101" s="17">
        <f>+Tabla22[[#This Row],[Meli Drop 2025]]+Tabla22[[#This Row],[Meli Full 2025]]+Tabla22[[#This Row],[Amazon Drop 2025]]+Tabla22[[#This Row],[Amazon Full 2025]]+Tabla22[[#This Row],[TikTok 2025]]+Tabla22[[#This Row],[Shein 2025]]</f>
        <v>551871</v>
      </c>
      <c r="AR101" s="17">
        <f t="shared" si="41"/>
        <v>3451270</v>
      </c>
      <c r="AS101" s="17">
        <f t="shared" si="42"/>
        <v>655335</v>
      </c>
      <c r="AT101" s="18">
        <f t="shared" si="43"/>
        <v>1.4394818717830216E-2</v>
      </c>
      <c r="AU101" s="18">
        <f t="shared" si="44"/>
        <v>0.18747859554134938</v>
      </c>
      <c r="AV101" s="49">
        <f t="shared" si="45"/>
        <v>3823240.0389817902</v>
      </c>
      <c r="AW101" s="49">
        <f t="shared" si="46"/>
        <v>638964.46358218696</v>
      </c>
      <c r="AX101" s="39">
        <f t="shared" si="47"/>
        <v>0.90270816501470474</v>
      </c>
      <c r="AY101" s="39">
        <f t="shared" si="48"/>
        <v>1.0256204176458201</v>
      </c>
      <c r="AZ101" s="39">
        <f t="shared" si="49"/>
        <v>0.92030855995962302</v>
      </c>
      <c r="BA101" s="18">
        <f t="shared" si="52"/>
        <v>3.912349410231427E-2</v>
      </c>
      <c r="BB101" s="20">
        <f t="shared" si="53"/>
        <v>4.9344850244437438E-2</v>
      </c>
      <c r="BC101" s="17">
        <f t="shared" si="50"/>
        <v>-371970.03898179019</v>
      </c>
      <c r="BD101" s="17">
        <f t="shared" si="51"/>
        <v>16370.53641781304</v>
      </c>
    </row>
    <row r="102" spans="1:56" ht="14.25" hidden="1" customHeight="1" x14ac:dyDescent="0.35">
      <c r="A102" s="16">
        <v>45756</v>
      </c>
      <c r="B102" s="17">
        <f>+'BD MD'!B101</f>
        <v>33570758</v>
      </c>
      <c r="C102" s="17">
        <f t="shared" si="31"/>
        <v>3343296.7586206896</v>
      </c>
      <c r="D102" s="18">
        <f>+Tabla22[[#This Row],[Vta 2025]]/(SUM($C$94:$C$123))</f>
        <v>4.0253909403339526E-2</v>
      </c>
      <c r="E102" s="17">
        <v>37442596</v>
      </c>
      <c r="F102" s="19">
        <v>46121</v>
      </c>
      <c r="G102" s="17">
        <f t="shared" si="32"/>
        <v>3442825.792989464</v>
      </c>
      <c r="H102" s="17">
        <v>2838051.03188224</v>
      </c>
      <c r="I102" s="17">
        <v>604774.76110722404</v>
      </c>
      <c r="J102" s="17">
        <v>2654418</v>
      </c>
      <c r="K102" s="17">
        <v>3172823</v>
      </c>
      <c r="L102" s="17">
        <v>17257.758620689699</v>
      </c>
      <c r="M102" s="17">
        <v>20804</v>
      </c>
      <c r="N102" s="17">
        <v>79591</v>
      </c>
      <c r="O102" s="17">
        <v>11709</v>
      </c>
      <c r="P102" s="17">
        <v>3785</v>
      </c>
      <c r="Q102" s="17">
        <v>1421</v>
      </c>
      <c r="R102" s="17">
        <v>72783</v>
      </c>
      <c r="S102" s="17">
        <v>87691</v>
      </c>
      <c r="T102" s="17">
        <v>402853</v>
      </c>
      <c r="U102" s="17">
        <v>462300</v>
      </c>
      <c r="V102" s="17">
        <v>84871</v>
      </c>
      <c r="W102" s="17">
        <v>118189</v>
      </c>
      <c r="X102" s="17">
        <v>19957</v>
      </c>
      <c r="Y102" s="17">
        <v>14527</v>
      </c>
      <c r="Z102" s="17">
        <v>7781</v>
      </c>
      <c r="AA102" s="17">
        <v>13979</v>
      </c>
      <c r="AB102" s="17">
        <v>0</v>
      </c>
      <c r="AC102" s="17">
        <v>0</v>
      </c>
      <c r="AD102" s="17">
        <v>0</v>
      </c>
      <c r="AE102" s="17">
        <v>818</v>
      </c>
      <c r="AF102" s="17">
        <f t="shared" si="33"/>
        <v>3904261</v>
      </c>
      <c r="AG102" s="18">
        <f t="shared" si="34"/>
        <v>1.1340280440416546</v>
      </c>
      <c r="AH102" s="17">
        <f t="shared" si="35"/>
        <v>461435.20701053599</v>
      </c>
      <c r="AI102" s="20">
        <f t="shared" si="36"/>
        <v>0.36723234514242131</v>
      </c>
      <c r="AJ102" s="20">
        <f t="shared" si="37"/>
        <v>7.4766793291071651E-2</v>
      </c>
      <c r="AK102" s="21">
        <f t="shared" si="54"/>
        <v>0.10427324537005928</v>
      </c>
      <c r="AL102" s="21">
        <f t="shared" si="39"/>
        <v>-1.9656693648064549E-2</v>
      </c>
      <c r="AM102" s="31"/>
      <c r="AO102" s="38">
        <f t="shared" si="40"/>
        <v>46121</v>
      </c>
      <c r="AP102" s="17">
        <f>+Tabla22[[#This Row],[Web + APP 2025]]+Tabla22[[#This Row],[Afiliados 2025]]+Tabla22[[#This Row],[TMK 2025]]+Tabla22[[#This Row],[WA 2025]]+Tabla22[[#This Row],[Ent. en Tienda 2025]]</f>
        <v>2827834.7586206896</v>
      </c>
      <c r="AQ102" s="17">
        <f>+Tabla22[[#This Row],[Meli Drop 2025]]+Tabla22[[#This Row],[Meli Full 2025]]+Tabla22[[#This Row],[Amazon Drop 2025]]+Tabla22[[#This Row],[Amazon Full 2025]]+Tabla22[[#This Row],[TikTok 2025]]+Tabla22[[#This Row],[Shein 2025]]</f>
        <v>515462</v>
      </c>
      <c r="AR102" s="17">
        <f t="shared" si="41"/>
        <v>3294448</v>
      </c>
      <c r="AS102" s="17">
        <f t="shared" si="42"/>
        <v>609813</v>
      </c>
      <c r="AT102" s="18">
        <f t="shared" si="43"/>
        <v>0.16500725155769236</v>
      </c>
      <c r="AU102" s="18">
        <f t="shared" si="44"/>
        <v>0.18304162091482978</v>
      </c>
      <c r="AV102" s="49">
        <f t="shared" si="45"/>
        <v>2838051.03188224</v>
      </c>
      <c r="AW102" s="49">
        <f t="shared" si="46"/>
        <v>604774.76110722404</v>
      </c>
      <c r="AX102" s="39">
        <f t="shared" si="47"/>
        <v>1.1608135170899554</v>
      </c>
      <c r="AY102" s="39">
        <f t="shared" si="48"/>
        <v>1.0083307691008003</v>
      </c>
      <c r="AZ102" s="39">
        <f t="shared" si="49"/>
        <v>1.1340280440416546</v>
      </c>
      <c r="BA102" s="18">
        <f t="shared" si="52"/>
        <v>3.6542370439771467E-2</v>
      </c>
      <c r="BB102" s="20">
        <f t="shared" si="53"/>
        <v>4.1013227733381029E-2</v>
      </c>
      <c r="BC102" s="17">
        <f t="shared" si="50"/>
        <v>456396.96811776003</v>
      </c>
      <c r="BD102" s="17">
        <f t="shared" si="51"/>
        <v>5038.2388927759603</v>
      </c>
    </row>
    <row r="103" spans="1:56" ht="14.25" hidden="1" customHeight="1" x14ac:dyDescent="0.35">
      <c r="A103" s="19">
        <v>45757</v>
      </c>
      <c r="B103" s="17">
        <f>+'BD MD'!B102</f>
        <v>38193351</v>
      </c>
      <c r="C103" s="17">
        <f t="shared" si="31"/>
        <v>2855594.3793103448</v>
      </c>
      <c r="D103" s="18">
        <f>+Tabla22[[#This Row],[Vta 2025]]/(SUM($C$94:$C$123))</f>
        <v>3.4381882834973787E-2</v>
      </c>
      <c r="E103" s="17">
        <v>38060436</v>
      </c>
      <c r="F103" s="19">
        <v>46122</v>
      </c>
      <c r="G103" s="17">
        <f t="shared" si="32"/>
        <v>3326298.0552961957</v>
      </c>
      <c r="H103" s="17">
        <v>2749076.7175187599</v>
      </c>
      <c r="I103" s="17">
        <v>577221.33777743601</v>
      </c>
      <c r="J103" s="17">
        <v>2192657</v>
      </c>
      <c r="K103" s="17">
        <v>2535597</v>
      </c>
      <c r="L103" s="17">
        <v>17516.379310344801</v>
      </c>
      <c r="M103" s="17">
        <v>22229</v>
      </c>
      <c r="N103" s="17">
        <v>43419</v>
      </c>
      <c r="O103" s="17">
        <v>16211</v>
      </c>
      <c r="P103" s="17">
        <v>11270</v>
      </c>
      <c r="Q103" s="17">
        <v>1789</v>
      </c>
      <c r="R103" s="17">
        <v>53292</v>
      </c>
      <c r="S103" s="17">
        <v>52425</v>
      </c>
      <c r="T103" s="17">
        <v>414956</v>
      </c>
      <c r="U103" s="17">
        <v>374003</v>
      </c>
      <c r="V103" s="17">
        <v>99227</v>
      </c>
      <c r="W103" s="17">
        <v>127024</v>
      </c>
      <c r="X103" s="17">
        <v>16763</v>
      </c>
      <c r="Y103" s="17">
        <v>13679</v>
      </c>
      <c r="Z103" s="17">
        <v>6494</v>
      </c>
      <c r="AA103" s="17">
        <v>5354</v>
      </c>
      <c r="AB103" s="17">
        <v>0</v>
      </c>
      <c r="AC103" s="17">
        <v>0</v>
      </c>
      <c r="AD103" s="17">
        <v>0</v>
      </c>
      <c r="AE103" s="17">
        <v>646</v>
      </c>
      <c r="AF103" s="17">
        <f t="shared" si="33"/>
        <v>3148957</v>
      </c>
      <c r="AG103" s="18">
        <f t="shared" si="34"/>
        <v>0.94668515799002739</v>
      </c>
      <c r="AH103" s="17">
        <f t="shared" si="35"/>
        <v>-177341.05529619567</v>
      </c>
      <c r="AI103" s="20">
        <f t="shared" si="36"/>
        <v>0.41306601555280498</v>
      </c>
      <c r="AJ103" s="20">
        <f t="shared" si="37"/>
        <v>5.7685967788381379E-2</v>
      </c>
      <c r="AK103" s="21">
        <f t="shared" si="54"/>
        <v>8.2735704866859647E-2</v>
      </c>
      <c r="AL103" s="21">
        <f t="shared" si="39"/>
        <v>-1.4765381074470674E-2</v>
      </c>
      <c r="AM103" s="31"/>
      <c r="AO103" s="38">
        <f t="shared" si="40"/>
        <v>46122</v>
      </c>
      <c r="AP103" s="17">
        <f>+Tabla22[[#This Row],[Web + APP 2025]]+Tabla22[[#This Row],[Afiliados 2025]]+Tabla22[[#This Row],[TMK 2025]]+Tabla22[[#This Row],[WA 2025]]+Tabla22[[#This Row],[Ent. en Tienda 2025]]</f>
        <v>2318154.3793103448</v>
      </c>
      <c r="AQ103" s="17">
        <f>+Tabla22[[#This Row],[Meli Drop 2025]]+Tabla22[[#This Row],[Meli Full 2025]]+Tabla22[[#This Row],[Amazon Drop 2025]]+Tabla22[[#This Row],[Amazon Full 2025]]+Tabla22[[#This Row],[TikTok 2025]]+Tabla22[[#This Row],[Shein 2025]]</f>
        <v>537440</v>
      </c>
      <c r="AR103" s="17">
        <f t="shared" si="41"/>
        <v>2628251</v>
      </c>
      <c r="AS103" s="17">
        <f t="shared" si="42"/>
        <v>520706</v>
      </c>
      <c r="AT103" s="18">
        <f t="shared" si="43"/>
        <v>0.1337687530465117</v>
      </c>
      <c r="AU103" s="18">
        <f t="shared" si="44"/>
        <v>-3.1136498958023173E-2</v>
      </c>
      <c r="AV103" s="49">
        <f t="shared" si="45"/>
        <v>2749076.7175187599</v>
      </c>
      <c r="AW103" s="49">
        <f t="shared" si="46"/>
        <v>577221.33777743601</v>
      </c>
      <c r="AX103" s="39">
        <f t="shared" si="47"/>
        <v>0.95604861925140672</v>
      </c>
      <c r="AY103" s="39">
        <f t="shared" si="48"/>
        <v>0.90209069887290427</v>
      </c>
      <c r="AZ103" s="39">
        <f t="shared" si="49"/>
        <v>0.94668515799002739</v>
      </c>
      <c r="BA103" s="18">
        <f t="shared" si="52"/>
        <v>3.8100444977807825E-2</v>
      </c>
      <c r="BB103" s="20">
        <f t="shared" si="53"/>
        <v>3.3621127680799737E-2</v>
      </c>
      <c r="BC103" s="17">
        <f t="shared" si="50"/>
        <v>-120825.71751875989</v>
      </c>
      <c r="BD103" s="17">
        <f t="shared" si="51"/>
        <v>-56515.337777436012</v>
      </c>
    </row>
    <row r="104" spans="1:56" ht="14.25" hidden="1" customHeight="1" x14ac:dyDescent="0.35">
      <c r="A104" s="16">
        <v>45758</v>
      </c>
      <c r="B104" s="17">
        <f>+'BD MD'!B103</f>
        <v>38630835</v>
      </c>
      <c r="C104" s="17">
        <f t="shared" si="31"/>
        <v>2228457.1034482759</v>
      </c>
      <c r="D104" s="18">
        <f>+Tabla22[[#This Row],[Vta 2025]]/(SUM($C$94:$C$123))</f>
        <v>2.683103440343227E-2</v>
      </c>
      <c r="E104" s="17">
        <v>44317773</v>
      </c>
      <c r="F104" s="19">
        <v>46123</v>
      </c>
      <c r="G104" s="17">
        <f t="shared" si="32"/>
        <v>2937113.3031593719</v>
      </c>
      <c r="H104" s="17">
        <v>2441321.4519349602</v>
      </c>
      <c r="I104" s="17">
        <v>495791.85122441198</v>
      </c>
      <c r="J104" s="17">
        <v>1604794</v>
      </c>
      <c r="K104" s="17">
        <v>1919461</v>
      </c>
      <c r="L104" s="17">
        <v>16868.103448275899</v>
      </c>
      <c r="M104" s="17">
        <v>23291</v>
      </c>
      <c r="N104" s="17">
        <v>51502</v>
      </c>
      <c r="O104" s="17">
        <v>9774</v>
      </c>
      <c r="P104" s="17">
        <v>8066</v>
      </c>
      <c r="Q104" s="17">
        <v>0</v>
      </c>
      <c r="R104" s="17">
        <v>71162</v>
      </c>
      <c r="S104" s="17">
        <v>121634</v>
      </c>
      <c r="T104" s="17">
        <v>379811</v>
      </c>
      <c r="U104" s="17">
        <v>377396</v>
      </c>
      <c r="V104" s="17">
        <v>81052</v>
      </c>
      <c r="W104" s="17">
        <v>109212</v>
      </c>
      <c r="X104" s="17">
        <v>5276</v>
      </c>
      <c r="Y104" s="17">
        <v>11510</v>
      </c>
      <c r="Z104" s="17">
        <v>9926</v>
      </c>
      <c r="AA104" s="17">
        <v>7393</v>
      </c>
      <c r="AB104" s="17">
        <v>0</v>
      </c>
      <c r="AC104" s="17">
        <v>0</v>
      </c>
      <c r="AD104" s="17">
        <v>0</v>
      </c>
      <c r="AE104" s="17">
        <v>0</v>
      </c>
      <c r="AF104" s="17">
        <f t="shared" si="33"/>
        <v>2579671</v>
      </c>
      <c r="AG104" s="18">
        <f t="shared" si="34"/>
        <v>0.87830149324682805</v>
      </c>
      <c r="AH104" s="17">
        <f t="shared" si="35"/>
        <v>-357442.30315937195</v>
      </c>
      <c r="AI104" s="20">
        <f t="shared" si="36"/>
        <v>0.32706090842252045</v>
      </c>
      <c r="AJ104" s="20">
        <f t="shared" si="37"/>
        <v>4.129742863523745E-2</v>
      </c>
      <c r="AK104" s="21">
        <f t="shared" si="54"/>
        <v>5.8208497976646977E-2</v>
      </c>
      <c r="AL104" s="21">
        <f t="shared" si="39"/>
        <v>-5.8484498566177434E-2</v>
      </c>
      <c r="AM104" s="31"/>
      <c r="AO104" s="38">
        <f t="shared" si="40"/>
        <v>46123</v>
      </c>
      <c r="AP104" s="17">
        <f>+Tabla22[[#This Row],[Web + APP 2025]]+Tabla22[[#This Row],[Afiliados 2025]]+Tabla22[[#This Row],[TMK 2025]]+Tabla22[[#This Row],[WA 2025]]+Tabla22[[#This Row],[Ent. en Tienda 2025]]</f>
        <v>1752392.1034482759</v>
      </c>
      <c r="AQ104" s="17">
        <f>+Tabla22[[#This Row],[Meli Drop 2025]]+Tabla22[[#This Row],[Meli Full 2025]]+Tabla22[[#This Row],[Amazon Drop 2025]]+Tabla22[[#This Row],[Amazon Full 2025]]+Tabla22[[#This Row],[TikTok 2025]]+Tabla22[[#This Row],[Shein 2025]]</f>
        <v>476065</v>
      </c>
      <c r="AR104" s="17">
        <f t="shared" si="41"/>
        <v>2074160</v>
      </c>
      <c r="AS104" s="17">
        <f t="shared" si="42"/>
        <v>505511</v>
      </c>
      <c r="AT104" s="18">
        <f t="shared" si="43"/>
        <v>0.18361638124171198</v>
      </c>
      <c r="AU104" s="18">
        <f t="shared" si="44"/>
        <v>6.1852898238685894E-2</v>
      </c>
      <c r="AV104" s="49">
        <f t="shared" si="45"/>
        <v>2441321.4519349602</v>
      </c>
      <c r="AW104" s="49">
        <f t="shared" si="46"/>
        <v>495791.85122441198</v>
      </c>
      <c r="AX104" s="39">
        <f t="shared" si="47"/>
        <v>0.8496054455901525</v>
      </c>
      <c r="AY104" s="39">
        <f t="shared" si="48"/>
        <v>1.0196032846275822</v>
      </c>
      <c r="AZ104" s="39">
        <f t="shared" si="49"/>
        <v>0.87830149324682805</v>
      </c>
      <c r="BA104" s="18">
        <f t="shared" si="52"/>
        <v>3.3749420099657791E-2</v>
      </c>
      <c r="BB104" s="20">
        <f t="shared" si="53"/>
        <v>2.5415649269393242E-2</v>
      </c>
      <c r="BC104" s="17">
        <f t="shared" si="50"/>
        <v>-367161.45193496021</v>
      </c>
      <c r="BD104" s="17">
        <f t="shared" si="51"/>
        <v>9719.1487755880225</v>
      </c>
    </row>
    <row r="105" spans="1:56" ht="14.25" hidden="1" customHeight="1" x14ac:dyDescent="0.35">
      <c r="A105" s="19">
        <v>45759</v>
      </c>
      <c r="B105" s="17">
        <f>+'BD MD'!B104</f>
        <v>47070678</v>
      </c>
      <c r="C105" s="17">
        <f t="shared" si="31"/>
        <v>1943897.9655172415</v>
      </c>
      <c r="D105" s="18">
        <f>+Tabla22[[#This Row],[Vta 2025]]/(SUM($C$94:$C$123))</f>
        <v>2.3404889916367962E-2</v>
      </c>
      <c r="E105" s="17">
        <v>45342867</v>
      </c>
      <c r="F105" s="19">
        <v>46124</v>
      </c>
      <c r="G105" s="17">
        <f t="shared" si="32"/>
        <v>3206594.500332939</v>
      </c>
      <c r="H105" s="17">
        <v>2685635.78252867</v>
      </c>
      <c r="I105" s="17">
        <v>520958.71780426899</v>
      </c>
      <c r="J105" s="17">
        <v>1381331</v>
      </c>
      <c r="K105" s="17">
        <v>2182914</v>
      </c>
      <c r="L105" s="17">
        <v>16293.9655172414</v>
      </c>
      <c r="M105" s="17">
        <v>23094</v>
      </c>
      <c r="N105" s="17">
        <v>6610</v>
      </c>
      <c r="O105" s="17">
        <v>-748</v>
      </c>
      <c r="P105" s="17">
        <v>11834</v>
      </c>
      <c r="Q105" s="17">
        <v>0</v>
      </c>
      <c r="R105" s="17">
        <v>53467</v>
      </c>
      <c r="S105" s="17">
        <v>47402</v>
      </c>
      <c r="T105" s="17">
        <v>372193</v>
      </c>
      <c r="U105" s="17">
        <v>497090</v>
      </c>
      <c r="V105" s="17">
        <v>72801</v>
      </c>
      <c r="W105" s="17">
        <v>137516</v>
      </c>
      <c r="X105" s="17">
        <v>17561</v>
      </c>
      <c r="Y105" s="17">
        <v>16747</v>
      </c>
      <c r="Z105" s="17">
        <v>11807</v>
      </c>
      <c r="AA105" s="17">
        <v>6469</v>
      </c>
      <c r="AB105" s="17">
        <v>0</v>
      </c>
      <c r="AC105" s="17">
        <v>0</v>
      </c>
      <c r="AD105" s="17">
        <v>0</v>
      </c>
      <c r="AE105" s="17">
        <v>0</v>
      </c>
      <c r="AF105" s="17">
        <f t="shared" si="33"/>
        <v>2910484</v>
      </c>
      <c r="AG105" s="18">
        <f t="shared" si="34"/>
        <v>0.90765576991347241</v>
      </c>
      <c r="AH105" s="17">
        <f t="shared" si="35"/>
        <v>-296110.50033293897</v>
      </c>
      <c r="AI105" s="20">
        <f t="shared" si="36"/>
        <v>0.36574766384175361</v>
      </c>
      <c r="AJ105" s="20">
        <f t="shared" si="37"/>
        <v>4.9721323973147505E-2</v>
      </c>
      <c r="AK105" s="21">
        <f t="shared" si="54"/>
        <v>6.4188354035928083E-2</v>
      </c>
      <c r="AL105" s="21">
        <f t="shared" si="39"/>
        <v>5.7929948187108726E-2</v>
      </c>
      <c r="AM105" s="31"/>
      <c r="AO105" s="38">
        <f t="shared" si="40"/>
        <v>46124</v>
      </c>
      <c r="AP105" s="17">
        <f>+Tabla22[[#This Row],[Web + APP 2025]]+Tabla22[[#This Row],[Afiliados 2025]]+Tabla22[[#This Row],[TMK 2025]]+Tabla22[[#This Row],[WA 2025]]+Tabla22[[#This Row],[Ent. en Tienda 2025]]</f>
        <v>1469535.9655172415</v>
      </c>
      <c r="AQ105" s="17">
        <f>+Tabla22[[#This Row],[Meli Drop 2025]]+Tabla22[[#This Row],[Meli Full 2025]]+Tabla22[[#This Row],[Amazon Drop 2025]]+Tabla22[[#This Row],[Amazon Full 2025]]+Tabla22[[#This Row],[TikTok 2025]]+Tabla22[[#This Row],[Shein 2025]]</f>
        <v>474362</v>
      </c>
      <c r="AR105" s="17">
        <f t="shared" si="41"/>
        <v>2252662</v>
      </c>
      <c r="AS105" s="17">
        <f t="shared" si="42"/>
        <v>657822</v>
      </c>
      <c r="AT105" s="18">
        <f t="shared" si="43"/>
        <v>0.5329070215761047</v>
      </c>
      <c r="AU105" s="18">
        <f t="shared" si="44"/>
        <v>0.38675104666899962</v>
      </c>
      <c r="AV105" s="49">
        <f t="shared" si="45"/>
        <v>2685635.78252867</v>
      </c>
      <c r="AW105" s="49">
        <f t="shared" si="46"/>
        <v>520958.71780426899</v>
      </c>
      <c r="AX105" s="39">
        <f t="shared" si="47"/>
        <v>0.8387816451711847</v>
      </c>
      <c r="AY105" s="39">
        <f t="shared" si="48"/>
        <v>1.2627142564627403</v>
      </c>
      <c r="AZ105" s="39">
        <f t="shared" si="49"/>
        <v>0.90765576991347241</v>
      </c>
      <c r="BA105" s="18">
        <f t="shared" si="52"/>
        <v>3.3628690236236373E-2</v>
      </c>
      <c r="BB105" s="20">
        <f t="shared" si="53"/>
        <v>2.13132726487704E-2</v>
      </c>
      <c r="BC105" s="17">
        <f t="shared" si="50"/>
        <v>-432973.78252867004</v>
      </c>
      <c r="BD105" s="17">
        <f t="shared" si="51"/>
        <v>136863.28219573101</v>
      </c>
    </row>
    <row r="106" spans="1:56" ht="14.25" hidden="1" customHeight="1" x14ac:dyDescent="0.35">
      <c r="A106" s="16">
        <v>45760</v>
      </c>
      <c r="B106" s="17">
        <f>+'BD MD'!B105</f>
        <v>42859990</v>
      </c>
      <c r="C106" s="17">
        <f t="shared" si="31"/>
        <v>2131055.4482758623</v>
      </c>
      <c r="D106" s="18">
        <f>+Tabla22[[#This Row],[Vta 2025]]/(SUM($C$94:$C$123))</f>
        <v>2.5658300516458021E-2</v>
      </c>
      <c r="E106" s="17">
        <v>25303094</v>
      </c>
      <c r="F106" s="19">
        <v>46125</v>
      </c>
      <c r="G106" s="17">
        <f t="shared" si="32"/>
        <v>4091565.706355758</v>
      </c>
      <c r="H106" s="17">
        <v>3548869.4431393798</v>
      </c>
      <c r="I106" s="17">
        <v>542696.26321637805</v>
      </c>
      <c r="J106" s="17">
        <v>1569406</v>
      </c>
      <c r="K106" s="17">
        <v>3545385</v>
      </c>
      <c r="L106" s="17">
        <v>19453.448275862102</v>
      </c>
      <c r="M106" s="17">
        <v>17718</v>
      </c>
      <c r="N106" s="17">
        <v>1820</v>
      </c>
      <c r="O106" s="17">
        <v>56841</v>
      </c>
      <c r="P106" s="17">
        <v>11036</v>
      </c>
      <c r="Q106" s="17">
        <v>2996</v>
      </c>
      <c r="R106" s="17">
        <v>72440</v>
      </c>
      <c r="S106" s="17">
        <v>100894</v>
      </c>
      <c r="T106" s="17">
        <v>333556</v>
      </c>
      <c r="U106" s="17">
        <v>599220</v>
      </c>
      <c r="V106" s="17">
        <v>96341</v>
      </c>
      <c r="W106" s="17">
        <v>96164</v>
      </c>
      <c r="X106" s="17">
        <v>15131</v>
      </c>
      <c r="Y106" s="17">
        <v>20425</v>
      </c>
      <c r="Z106" s="17">
        <v>11872</v>
      </c>
      <c r="AA106" s="17">
        <v>6939</v>
      </c>
      <c r="AB106" s="17">
        <v>0</v>
      </c>
      <c r="AC106" s="17">
        <v>1740</v>
      </c>
      <c r="AD106" s="17">
        <v>0</v>
      </c>
      <c r="AE106" s="17">
        <v>2669</v>
      </c>
      <c r="AF106" s="17">
        <f t="shared" si="33"/>
        <v>4450991</v>
      </c>
      <c r="AG106" s="18">
        <f t="shared" si="34"/>
        <v>1.0878454165078952</v>
      </c>
      <c r="AH106" s="17">
        <f t="shared" si="35"/>
        <v>359425.29364424199</v>
      </c>
      <c r="AI106" s="20">
        <f t="shared" si="36"/>
        <v>0.31249180447219582</v>
      </c>
      <c r="AJ106" s="20">
        <f t="shared" si="37"/>
        <v>0.10189160909166961</v>
      </c>
      <c r="AK106" s="21">
        <f t="shared" si="54"/>
        <v>0.17590698592037796</v>
      </c>
      <c r="AL106" s="21">
        <f t="shared" si="39"/>
        <v>-0.23975786875324512</v>
      </c>
      <c r="AM106" s="31"/>
      <c r="AO106" s="38">
        <f t="shared" si="40"/>
        <v>46125</v>
      </c>
      <c r="AP106" s="17">
        <f>+Tabla22[[#This Row],[Web + APP 2025]]+Tabla22[[#This Row],[Afiliados 2025]]+Tabla22[[#This Row],[TMK 2025]]+Tabla22[[#This Row],[WA 2025]]+Tabla22[[#This Row],[Ent. en Tienda 2025]]</f>
        <v>1674155.448275862</v>
      </c>
      <c r="AQ106" s="17">
        <f>+Tabla22[[#This Row],[Meli Drop 2025]]+Tabla22[[#This Row],[Meli Full 2025]]+Tabla22[[#This Row],[Amazon Drop 2025]]+Tabla22[[#This Row],[Amazon Full 2025]]+Tabla22[[#This Row],[TikTok 2025]]+Tabla22[[#This Row],[Shein 2025]]</f>
        <v>456900</v>
      </c>
      <c r="AR106" s="17">
        <f t="shared" si="41"/>
        <v>3723834</v>
      </c>
      <c r="AS106" s="17">
        <f t="shared" si="42"/>
        <v>727157</v>
      </c>
      <c r="AT106" s="18">
        <f t="shared" si="43"/>
        <v>1.2243059949032871</v>
      </c>
      <c r="AU106" s="18">
        <f t="shared" si="44"/>
        <v>0.59150142263077266</v>
      </c>
      <c r="AV106" s="49">
        <f t="shared" si="45"/>
        <v>3548869.4431393798</v>
      </c>
      <c r="AW106" s="49">
        <f t="shared" si="46"/>
        <v>542696.26321637805</v>
      </c>
      <c r="AX106" s="39">
        <f t="shared" si="47"/>
        <v>1.0493014915493324</v>
      </c>
      <c r="AY106" s="39">
        <f t="shared" si="48"/>
        <v>1.3398968249576388</v>
      </c>
      <c r="AZ106" s="39">
        <f t="shared" si="49"/>
        <v>1.0878454165078952</v>
      </c>
      <c r="BA106" s="18">
        <f t="shared" si="52"/>
        <v>3.239076605827701E-2</v>
      </c>
      <c r="BB106" s="20">
        <f t="shared" si="53"/>
        <v>2.428095151313208E-2</v>
      </c>
      <c r="BC106" s="17">
        <f t="shared" si="50"/>
        <v>174964.55686062016</v>
      </c>
      <c r="BD106" s="17">
        <f t="shared" si="51"/>
        <v>184460.73678362195</v>
      </c>
    </row>
    <row r="107" spans="1:56" ht="14.25" hidden="1" customHeight="1" x14ac:dyDescent="0.35">
      <c r="A107" s="19">
        <v>45761</v>
      </c>
      <c r="B107" s="17">
        <f>+'BD MD'!B106</f>
        <v>33282941</v>
      </c>
      <c r="C107" s="17">
        <f t="shared" si="31"/>
        <v>3391252.4137931033</v>
      </c>
      <c r="D107" s="18">
        <f>+Tabla22[[#This Row],[Vta 2025]]/(SUM($C$94:$C$123))</f>
        <v>4.0831304333571371E-2</v>
      </c>
      <c r="E107" s="17">
        <v>28217356</v>
      </c>
      <c r="F107" s="19">
        <v>46126</v>
      </c>
      <c r="G107" s="17">
        <f t="shared" si="32"/>
        <v>4355526.0469413977</v>
      </c>
      <c r="H107" s="17">
        <v>3902260.8948228299</v>
      </c>
      <c r="I107" s="17">
        <v>453265.15211856802</v>
      </c>
      <c r="J107" s="17">
        <v>2602332</v>
      </c>
      <c r="K107" s="17">
        <v>3863997</v>
      </c>
      <c r="L107" s="17">
        <v>16797.4137931035</v>
      </c>
      <c r="M107" s="17">
        <v>23988</v>
      </c>
      <c r="N107" s="17">
        <v>67991</v>
      </c>
      <c r="O107" s="17">
        <v>19513</v>
      </c>
      <c r="P107" s="17">
        <v>21714</v>
      </c>
      <c r="Q107" s="17">
        <v>3125</v>
      </c>
      <c r="R107" s="17">
        <v>83069</v>
      </c>
      <c r="S107" s="17">
        <v>94878</v>
      </c>
      <c r="T107" s="17">
        <v>470529</v>
      </c>
      <c r="U107" s="17">
        <v>330568</v>
      </c>
      <c r="V107" s="17">
        <v>93695</v>
      </c>
      <c r="W107" s="17">
        <v>67207</v>
      </c>
      <c r="X107" s="17">
        <v>26519</v>
      </c>
      <c r="Y107" s="17">
        <v>14175</v>
      </c>
      <c r="Z107" s="17">
        <v>8606</v>
      </c>
      <c r="AA107" s="17">
        <v>8738</v>
      </c>
      <c r="AB107" s="17">
        <v>0</v>
      </c>
      <c r="AC107" s="17">
        <v>2248</v>
      </c>
      <c r="AD107" s="17">
        <v>0</v>
      </c>
      <c r="AE107" s="17">
        <v>732</v>
      </c>
      <c r="AF107" s="17">
        <f t="shared" si="33"/>
        <v>4429169</v>
      </c>
      <c r="AG107" s="18">
        <f t="shared" si="34"/>
        <v>1.0169079354054873</v>
      </c>
      <c r="AH107" s="17">
        <f t="shared" si="35"/>
        <v>73642.953058602288</v>
      </c>
      <c r="AI107" s="20">
        <f t="shared" si="36"/>
        <v>0.46342650016029285</v>
      </c>
      <c r="AJ107" s="20">
        <f t="shared" si="37"/>
        <v>7.9556236029688684E-2</v>
      </c>
      <c r="AK107" s="21">
        <f t="shared" si="54"/>
        <v>0.15696612396994247</v>
      </c>
      <c r="AL107" s="21">
        <f t="shared" si="39"/>
        <v>-0.25828133412310206</v>
      </c>
      <c r="AM107" s="31"/>
      <c r="AO107" s="38">
        <f t="shared" si="40"/>
        <v>46126</v>
      </c>
      <c r="AP107" s="17">
        <f>+Tabla22[[#This Row],[Web + APP 2025]]+Tabla22[[#This Row],[Afiliados 2025]]+Tabla22[[#This Row],[TMK 2025]]+Tabla22[[#This Row],[WA 2025]]+Tabla22[[#This Row],[Ent. en Tienda 2025]]</f>
        <v>2791903.4137931033</v>
      </c>
      <c r="AQ107" s="17">
        <f>+Tabla22[[#This Row],[Meli Drop 2025]]+Tabla22[[#This Row],[Meli Full 2025]]+Tabla22[[#This Row],[Amazon Drop 2025]]+Tabla22[[#This Row],[Amazon Full 2025]]+Tabla22[[#This Row],[TikTok 2025]]+Tabla22[[#This Row],[Shein 2025]]</f>
        <v>599349</v>
      </c>
      <c r="AR107" s="17">
        <f t="shared" si="41"/>
        <v>4005501</v>
      </c>
      <c r="AS107" s="17">
        <f t="shared" si="42"/>
        <v>423668</v>
      </c>
      <c r="AT107" s="18">
        <f t="shared" si="43"/>
        <v>0.43468466001053119</v>
      </c>
      <c r="AU107" s="18">
        <f t="shared" si="44"/>
        <v>-0.29311970154284062</v>
      </c>
      <c r="AV107" s="49">
        <f t="shared" si="45"/>
        <v>3902260.8948228299</v>
      </c>
      <c r="AW107" s="49">
        <f t="shared" si="46"/>
        <v>453265.15211856802</v>
      </c>
      <c r="AX107" s="39">
        <f t="shared" si="47"/>
        <v>1.0264564845764514</v>
      </c>
      <c r="AY107" s="39">
        <f t="shared" si="48"/>
        <v>0.93470234369390526</v>
      </c>
      <c r="AZ107" s="39">
        <f t="shared" si="49"/>
        <v>1.0169079354054873</v>
      </c>
      <c r="BA107" s="18">
        <f t="shared" si="52"/>
        <v>4.2489326430865101E-2</v>
      </c>
      <c r="BB107" s="20">
        <f t="shared" si="53"/>
        <v>4.0492100951242158E-2</v>
      </c>
      <c r="BC107" s="17">
        <f t="shared" si="50"/>
        <v>103240.10517717013</v>
      </c>
      <c r="BD107" s="17">
        <f t="shared" si="51"/>
        <v>-29597.152118568018</v>
      </c>
    </row>
    <row r="108" spans="1:56" ht="14.25" hidden="1" customHeight="1" x14ac:dyDescent="0.35">
      <c r="A108" s="16">
        <v>45762</v>
      </c>
      <c r="B108" s="17">
        <f>+'BD MD'!B107</f>
        <v>38043206</v>
      </c>
      <c r="C108" s="17">
        <f t="shared" si="31"/>
        <v>3026574.2758620689</v>
      </c>
      <c r="D108" s="18">
        <f>+Tabla22[[#This Row],[Vta 2025]]/(SUM($C$94:$C$123))</f>
        <v>3.6440512314345808E-2</v>
      </c>
      <c r="E108" s="17">
        <v>30934395</v>
      </c>
      <c r="F108" s="19">
        <v>46127</v>
      </c>
      <c r="G108" s="17">
        <f t="shared" si="32"/>
        <v>4584480.9785924656</v>
      </c>
      <c r="H108" s="17">
        <v>4112402.5295298402</v>
      </c>
      <c r="I108" s="17">
        <v>472078.449062625</v>
      </c>
      <c r="J108" s="17">
        <v>2444873</v>
      </c>
      <c r="K108" s="17">
        <v>3534692</v>
      </c>
      <c r="L108" s="17">
        <v>19573.275862069</v>
      </c>
      <c r="M108" s="17">
        <v>21408</v>
      </c>
      <c r="N108" s="17">
        <v>50256</v>
      </c>
      <c r="O108" s="17">
        <v>53680</v>
      </c>
      <c r="P108" s="17">
        <v>13006</v>
      </c>
      <c r="Q108" s="17">
        <v>4047</v>
      </c>
      <c r="R108" s="17">
        <v>55749</v>
      </c>
      <c r="S108" s="17">
        <v>65918</v>
      </c>
      <c r="T108" s="17">
        <v>297114</v>
      </c>
      <c r="U108" s="17">
        <v>262840</v>
      </c>
      <c r="V108" s="17">
        <v>118730</v>
      </c>
      <c r="W108" s="17">
        <v>39646</v>
      </c>
      <c r="X108" s="17">
        <v>16825</v>
      </c>
      <c r="Y108" s="17">
        <v>15104</v>
      </c>
      <c r="Z108" s="17">
        <v>10448</v>
      </c>
      <c r="AA108" s="17">
        <v>8648</v>
      </c>
      <c r="AB108" s="17">
        <v>0</v>
      </c>
      <c r="AC108" s="17">
        <v>4107</v>
      </c>
      <c r="AD108" s="17">
        <v>0</v>
      </c>
      <c r="AE108" s="17">
        <v>2066</v>
      </c>
      <c r="AF108" s="17">
        <f t="shared" si="33"/>
        <v>4012156</v>
      </c>
      <c r="AG108" s="18">
        <f t="shared" si="34"/>
        <v>0.87516035484387988</v>
      </c>
      <c r="AH108" s="17">
        <f t="shared" si="35"/>
        <v>-572324.97859246563</v>
      </c>
      <c r="AI108" s="20">
        <f t="shared" si="36"/>
        <v>0.65860774226145491</v>
      </c>
      <c r="AJ108" s="20">
        <f t="shared" si="37"/>
        <v>5.8822968242790596E-2</v>
      </c>
      <c r="AK108" s="21">
        <f t="shared" si="54"/>
        <v>0.12969886755503057</v>
      </c>
      <c r="AL108" s="21">
        <f t="shared" si="39"/>
        <v>-0.24776343549109126</v>
      </c>
      <c r="AM108" s="31"/>
      <c r="AO108" s="38">
        <f t="shared" si="40"/>
        <v>46127</v>
      </c>
      <c r="AP108" s="17">
        <f>+Tabla22[[#This Row],[Web + APP 2025]]+Tabla22[[#This Row],[Afiliados 2025]]+Tabla22[[#This Row],[TMK 2025]]+Tabla22[[#This Row],[WA 2025]]+Tabla22[[#This Row],[Ent. en Tienda 2025]]</f>
        <v>2583457.2758620689</v>
      </c>
      <c r="AQ108" s="17">
        <f>+Tabla22[[#This Row],[Meli Drop 2025]]+Tabla22[[#This Row],[Meli Full 2025]]+Tabla22[[#This Row],[Amazon Drop 2025]]+Tabla22[[#This Row],[Amazon Full 2025]]+Tabla22[[#This Row],[TikTok 2025]]+Tabla22[[#This Row],[Shein 2025]]</f>
        <v>443117</v>
      </c>
      <c r="AR108" s="17">
        <f t="shared" si="41"/>
        <v>3679745</v>
      </c>
      <c r="AS108" s="17">
        <f t="shared" si="42"/>
        <v>332411</v>
      </c>
      <c r="AT108" s="18">
        <f t="shared" si="43"/>
        <v>0.42434908228629897</v>
      </c>
      <c r="AU108" s="18">
        <f t="shared" si="44"/>
        <v>-0.24983469377162237</v>
      </c>
      <c r="AV108" s="49">
        <f t="shared" si="45"/>
        <v>4112402.5295298402</v>
      </c>
      <c r="AW108" s="49">
        <f t="shared" si="46"/>
        <v>472078.449062625</v>
      </c>
      <c r="AX108" s="39">
        <f t="shared" si="47"/>
        <v>0.89479202815797687</v>
      </c>
      <c r="AY108" s="39">
        <f t="shared" si="48"/>
        <v>0.70414356058838645</v>
      </c>
      <c r="AZ108" s="39">
        <f t="shared" si="49"/>
        <v>0.87516035484387988</v>
      </c>
      <c r="BA108" s="18">
        <f t="shared" si="52"/>
        <v>3.1413655249388342E-2</v>
      </c>
      <c r="BB108" s="20">
        <f t="shared" si="53"/>
        <v>3.746892256394517E-2</v>
      </c>
      <c r="BC108" s="17">
        <f t="shared" si="50"/>
        <v>-432657.52952984022</v>
      </c>
      <c r="BD108" s="17">
        <f t="shared" si="51"/>
        <v>-139667.449062625</v>
      </c>
    </row>
    <row r="109" spans="1:56" ht="14.25" hidden="1" customHeight="1" x14ac:dyDescent="0.35">
      <c r="A109" s="19">
        <v>45763</v>
      </c>
      <c r="B109" s="48">
        <f>+'BD MD'!B108</f>
        <v>41123227</v>
      </c>
      <c r="C109" s="17">
        <f t="shared" si="31"/>
        <v>2418990.2758620689</v>
      </c>
      <c r="D109" s="18">
        <f>+Tabla22[[#This Row],[Vta 2025]]/(SUM($C$94:$C$123))</f>
        <v>2.912508892937268E-2</v>
      </c>
      <c r="E109" s="17">
        <v>35697133</v>
      </c>
      <c r="F109" s="19">
        <v>46128</v>
      </c>
      <c r="G109" s="17">
        <f t="shared" si="32"/>
        <v>3849003.8644771161</v>
      </c>
      <c r="H109" s="17">
        <v>3227221.74691774</v>
      </c>
      <c r="I109" s="17">
        <v>621782.11755937606</v>
      </c>
      <c r="J109" s="48">
        <v>1792566</v>
      </c>
      <c r="K109" s="17">
        <v>3470178</v>
      </c>
      <c r="L109" s="48">
        <v>19598.275862069</v>
      </c>
      <c r="M109" s="17">
        <v>28270</v>
      </c>
      <c r="N109" s="48">
        <v>46001</v>
      </c>
      <c r="O109" s="17">
        <v>24297</v>
      </c>
      <c r="P109" s="48">
        <v>12990</v>
      </c>
      <c r="Q109" s="17">
        <v>671</v>
      </c>
      <c r="R109" s="48">
        <v>70129</v>
      </c>
      <c r="S109" s="17">
        <v>75563</v>
      </c>
      <c r="T109" s="48">
        <v>329344</v>
      </c>
      <c r="U109" s="17">
        <v>302084</v>
      </c>
      <c r="V109" s="48">
        <v>114466</v>
      </c>
      <c r="W109" s="17">
        <v>48237</v>
      </c>
      <c r="X109" s="48">
        <v>22862</v>
      </c>
      <c r="Y109" s="17">
        <v>25300</v>
      </c>
      <c r="Z109" s="48">
        <v>11034</v>
      </c>
      <c r="AA109" s="17">
        <v>8648</v>
      </c>
      <c r="AB109" s="48">
        <v>0</v>
      </c>
      <c r="AC109" s="17">
        <v>2420</v>
      </c>
      <c r="AD109" s="48">
        <v>0</v>
      </c>
      <c r="AE109" s="17">
        <v>903</v>
      </c>
      <c r="AF109" s="17">
        <f t="shared" si="33"/>
        <v>3986571</v>
      </c>
      <c r="AG109" s="18">
        <f t="shared" si="34"/>
        <v>1.0357409710061625</v>
      </c>
      <c r="AH109" s="17">
        <f t="shared" si="35"/>
        <v>137567.13552288385</v>
      </c>
      <c r="AI109" s="20">
        <f t="shared" si="36"/>
        <v>1.1231561035769011</v>
      </c>
      <c r="AJ109" s="20">
        <f t="shared" si="37"/>
        <v>5.2150620206851087E-2</v>
      </c>
      <c r="AK109" s="21">
        <f t="shared" si="54"/>
        <v>0.11167762408258389</v>
      </c>
      <c r="AL109" s="21">
        <f t="shared" si="39"/>
        <v>-8.5399066547285907E-3</v>
      </c>
      <c r="AM109" s="31"/>
      <c r="AO109" s="38">
        <f t="shared" si="40"/>
        <v>46128</v>
      </c>
      <c r="AP109" s="17">
        <f>+Tabla22[[#This Row],[Web + APP 2025]]+Tabla22[[#This Row],[Afiliados 2025]]+Tabla22[[#This Row],[TMK 2025]]+Tabla22[[#This Row],[WA 2025]]+Tabla22[[#This Row],[Ent. en Tienda 2025]]</f>
        <v>1941284.2758620691</v>
      </c>
      <c r="AQ109" s="17">
        <f>+Tabla22[[#This Row],[Meli Drop 2025]]+Tabla22[[#This Row],[Meli Full 2025]]+Tabla22[[#This Row],[Amazon Drop 2025]]+Tabla22[[#This Row],[Amazon Full 2025]]+Tabla22[[#This Row],[TikTok 2025]]+Tabla22[[#This Row],[Shein 2025]]</f>
        <v>477706</v>
      </c>
      <c r="AR109" s="17">
        <f t="shared" si="41"/>
        <v>3598979</v>
      </c>
      <c r="AS109" s="17">
        <f t="shared" si="42"/>
        <v>387592</v>
      </c>
      <c r="AT109" s="18">
        <f t="shared" si="43"/>
        <v>0.85391652564733</v>
      </c>
      <c r="AU109" s="18">
        <f t="shared" si="44"/>
        <v>-0.18863903739957211</v>
      </c>
      <c r="AV109" s="49">
        <f t="shared" si="45"/>
        <v>3227221.74691774</v>
      </c>
      <c r="AW109" s="49">
        <f t="shared" si="46"/>
        <v>621782.11755937606</v>
      </c>
      <c r="AX109" s="39">
        <f t="shared" si="47"/>
        <v>1.1151942079707782</v>
      </c>
      <c r="AY109" s="39">
        <f t="shared" si="48"/>
        <v>0.62335662132159586</v>
      </c>
      <c r="AZ109" s="39">
        <f t="shared" si="49"/>
        <v>1.0357409710061625</v>
      </c>
      <c r="BA109" s="18">
        <f t="shared" si="52"/>
        <v>3.3865754630412075E-2</v>
      </c>
      <c r="BB109" s="20">
        <f t="shared" si="53"/>
        <v>2.8155228610315802E-2</v>
      </c>
      <c r="BC109" s="17">
        <f t="shared" si="50"/>
        <v>371757.25308226002</v>
      </c>
      <c r="BD109" s="17">
        <f t="shared" si="51"/>
        <v>-234190.11755937606</v>
      </c>
    </row>
    <row r="110" spans="1:56" ht="14.25" hidden="1" customHeight="1" x14ac:dyDescent="0.35">
      <c r="A110" s="16">
        <v>45764</v>
      </c>
      <c r="B110" s="17">
        <f>+'BD MD'!B109</f>
        <v>36004609</v>
      </c>
      <c r="C110" s="17">
        <f t="shared" si="31"/>
        <v>1877662.6896551724</v>
      </c>
      <c r="D110" s="18">
        <f>+Tabla22[[#This Row],[Vta 2025]]/(SUM($C$94:$C$123))</f>
        <v>2.2607404982677267E-2</v>
      </c>
      <c r="E110" s="17">
        <v>36809100</v>
      </c>
      <c r="F110" s="19">
        <v>46129</v>
      </c>
      <c r="G110" s="17">
        <f t="shared" si="32"/>
        <v>3229637.3642553282</v>
      </c>
      <c r="H110" s="17">
        <v>2423378.2517975001</v>
      </c>
      <c r="I110" s="17">
        <v>806259.11245782801</v>
      </c>
      <c r="J110" s="17">
        <v>1396188</v>
      </c>
      <c r="K110" s="17">
        <v>2853424</v>
      </c>
      <c r="L110" s="17">
        <v>18720.689655172398</v>
      </c>
      <c r="M110" s="17">
        <v>23469</v>
      </c>
      <c r="N110" s="17">
        <v>28846</v>
      </c>
      <c r="O110" s="17">
        <v>52403</v>
      </c>
      <c r="P110" s="17">
        <v>77</v>
      </c>
      <c r="Q110" s="17">
        <v>274</v>
      </c>
      <c r="R110" s="17">
        <v>58156</v>
      </c>
      <c r="S110" s="17">
        <v>99139</v>
      </c>
      <c r="T110" s="17">
        <v>252134</v>
      </c>
      <c r="U110" s="17">
        <v>306316</v>
      </c>
      <c r="V110" s="17">
        <v>102799</v>
      </c>
      <c r="W110" s="17">
        <v>34098</v>
      </c>
      <c r="X110" s="17">
        <v>13428</v>
      </c>
      <c r="Y110" s="17">
        <v>17055</v>
      </c>
      <c r="Z110" s="17">
        <v>7314</v>
      </c>
      <c r="AA110" s="17">
        <v>11232</v>
      </c>
      <c r="AB110" s="17">
        <v>0</v>
      </c>
      <c r="AC110" s="17">
        <v>2023</v>
      </c>
      <c r="AD110" s="17">
        <v>0</v>
      </c>
      <c r="AE110" s="17">
        <v>0</v>
      </c>
      <c r="AF110" s="17">
        <f t="shared" si="33"/>
        <v>3399433</v>
      </c>
      <c r="AG110" s="18">
        <f t="shared" si="34"/>
        <v>1.0525742108460596</v>
      </c>
      <c r="AH110" s="17">
        <f t="shared" si="35"/>
        <v>169795.6357446718</v>
      </c>
      <c r="AI110" s="20">
        <f t="shared" si="36"/>
        <v>1.2426681127691501</v>
      </c>
      <c r="AJ110" s="20">
        <f t="shared" si="37"/>
        <v>9.7540778059402464E-2</v>
      </c>
      <c r="AK110" s="21">
        <f t="shared" si="54"/>
        <v>9.2353059433672655E-2</v>
      </c>
      <c r="AL110" s="21">
        <f t="shared" si="39"/>
        <v>1.3686447854564099</v>
      </c>
      <c r="AM110" s="31"/>
      <c r="AO110" s="38">
        <f t="shared" si="40"/>
        <v>46129</v>
      </c>
      <c r="AP110" s="17">
        <f>+Tabla22[[#This Row],[Web + APP 2025]]+Tabla22[[#This Row],[Afiliados 2025]]+Tabla22[[#This Row],[TMK 2025]]+Tabla22[[#This Row],[WA 2025]]+Tabla22[[#This Row],[Ent. en Tienda 2025]]</f>
        <v>1501987.6896551724</v>
      </c>
      <c r="AQ110" s="17">
        <f>+Tabla22[[#This Row],[Meli Drop 2025]]+Tabla22[[#This Row],[Meli Full 2025]]+Tabla22[[#This Row],[Amazon Drop 2025]]+Tabla22[[#This Row],[Amazon Full 2025]]+Tabla22[[#This Row],[TikTok 2025]]+Tabla22[[#This Row],[Shein 2025]]</f>
        <v>375675</v>
      </c>
      <c r="AR110" s="17">
        <f t="shared" si="41"/>
        <v>3028709</v>
      </c>
      <c r="AS110" s="17">
        <f t="shared" si="42"/>
        <v>370724</v>
      </c>
      <c r="AT110" s="18">
        <f t="shared" si="43"/>
        <v>1.0164672592591844</v>
      </c>
      <c r="AU110" s="18">
        <f t="shared" si="44"/>
        <v>-1.3178944566447082E-2</v>
      </c>
      <c r="AV110" s="49">
        <f t="shared" si="45"/>
        <v>2423378.2517975001</v>
      </c>
      <c r="AW110" s="49">
        <f t="shared" si="46"/>
        <v>806259.11245782801</v>
      </c>
      <c r="AX110" s="39">
        <f t="shared" si="47"/>
        <v>1.2497879758364201</v>
      </c>
      <c r="AY110" s="39">
        <f t="shared" si="48"/>
        <v>0.45980751630809136</v>
      </c>
      <c r="AZ110" s="39">
        <f t="shared" si="49"/>
        <v>1.0525742108460596</v>
      </c>
      <c r="BA110" s="18">
        <f t="shared" si="52"/>
        <v>2.6632525802020607E-2</v>
      </c>
      <c r="BB110" s="20">
        <f t="shared" si="53"/>
        <v>2.1783933089007369E-2</v>
      </c>
      <c r="BC110" s="17">
        <f t="shared" si="50"/>
        <v>605330.74820249993</v>
      </c>
      <c r="BD110" s="17">
        <f t="shared" si="51"/>
        <v>-435535.11245782801</v>
      </c>
    </row>
    <row r="111" spans="1:56" ht="14.25" hidden="1" customHeight="1" x14ac:dyDescent="0.35">
      <c r="A111" s="19">
        <v>45765</v>
      </c>
      <c r="B111" s="17">
        <f>+'BD MD'!B110</f>
        <v>15540152</v>
      </c>
      <c r="C111" s="17">
        <f t="shared" si="31"/>
        <v>1515798.5172413792</v>
      </c>
      <c r="D111" s="18">
        <f>+Tabla22[[#This Row],[Vta 2025]]/(SUM($C$94:$C$123))</f>
        <v>1.8250493627111931E-2</v>
      </c>
      <c r="E111" s="17">
        <v>47810548</v>
      </c>
      <c r="F111" s="19">
        <v>46130</v>
      </c>
      <c r="G111" s="17">
        <f t="shared" si="32"/>
        <v>3047041.5702864998</v>
      </c>
      <c r="H111" s="17">
        <v>2295427.3833223199</v>
      </c>
      <c r="I111" s="17">
        <v>751614.18696417997</v>
      </c>
      <c r="J111" s="17">
        <v>1047803</v>
      </c>
      <c r="K111" s="17">
        <v>1975856</v>
      </c>
      <c r="L111" s="17">
        <v>13265.517241379301</v>
      </c>
      <c r="M111" s="17">
        <v>34542</v>
      </c>
      <c r="N111" s="17">
        <v>10416</v>
      </c>
      <c r="O111" s="17">
        <v>12478</v>
      </c>
      <c r="P111" s="17">
        <v>1772</v>
      </c>
      <c r="Q111" s="17">
        <v>5202</v>
      </c>
      <c r="R111" s="17">
        <v>83897</v>
      </c>
      <c r="S111" s="17">
        <v>74166</v>
      </c>
      <c r="T111" s="17">
        <v>262910</v>
      </c>
      <c r="U111" s="17">
        <v>278466</v>
      </c>
      <c r="V111" s="17">
        <v>73506</v>
      </c>
      <c r="W111" s="17">
        <v>33090</v>
      </c>
      <c r="X111" s="17">
        <v>15139</v>
      </c>
      <c r="Y111" s="17">
        <v>20145</v>
      </c>
      <c r="Z111" s="17">
        <v>7090</v>
      </c>
      <c r="AA111" s="17">
        <v>8615</v>
      </c>
      <c r="AB111" s="17">
        <v>0</v>
      </c>
      <c r="AC111" s="17">
        <v>2201</v>
      </c>
      <c r="AD111" s="17">
        <v>0</v>
      </c>
      <c r="AE111" s="17">
        <v>775</v>
      </c>
      <c r="AF111" s="17">
        <f t="shared" si="33"/>
        <v>2445536</v>
      </c>
      <c r="AG111" s="18">
        <f t="shared" si="34"/>
        <v>0.80259357924350772</v>
      </c>
      <c r="AH111" s="17">
        <f t="shared" si="35"/>
        <v>-601505.5702864998</v>
      </c>
      <c r="AI111" s="20">
        <f t="shared" si="36"/>
        <v>0.79573039760842534</v>
      </c>
      <c r="AJ111" s="20">
        <f t="shared" si="37"/>
        <v>4.9561586382346208E-2</v>
      </c>
      <c r="AK111" s="21">
        <f t="shared" si="54"/>
        <v>5.1150553639334982E-2</v>
      </c>
      <c r="AL111" s="21">
        <f t="shared" si="39"/>
        <v>0.73994689965650906</v>
      </c>
      <c r="AM111" s="31"/>
      <c r="AO111" s="38">
        <f t="shared" si="40"/>
        <v>46130</v>
      </c>
      <c r="AP111" s="17">
        <f>+Tabla22[[#This Row],[Web + APP 2025]]+Tabla22[[#This Row],[Afiliados 2025]]+Tabla22[[#This Row],[TMK 2025]]+Tabla22[[#This Row],[WA 2025]]+Tabla22[[#This Row],[Ent. en Tienda 2025]]</f>
        <v>1157153.5172413792</v>
      </c>
      <c r="AQ111" s="17">
        <f>+Tabla22[[#This Row],[Meli Drop 2025]]+Tabla22[[#This Row],[Meli Full 2025]]+Tabla22[[#This Row],[Amazon Drop 2025]]+Tabla22[[#This Row],[Amazon Full 2025]]+Tabla22[[#This Row],[TikTok 2025]]+Tabla22[[#This Row],[Shein 2025]]</f>
        <v>358645</v>
      </c>
      <c r="AR111" s="17">
        <f t="shared" si="41"/>
        <v>2102244</v>
      </c>
      <c r="AS111" s="17">
        <f t="shared" si="42"/>
        <v>343292</v>
      </c>
      <c r="AT111" s="18">
        <f t="shared" si="43"/>
        <v>0.81673733750703126</v>
      </c>
      <c r="AU111" s="18">
        <f t="shared" si="44"/>
        <v>-4.2808348087942094E-2</v>
      </c>
      <c r="AV111" s="49">
        <f t="shared" si="45"/>
        <v>2295427.3833223199</v>
      </c>
      <c r="AW111" s="49">
        <f t="shared" si="46"/>
        <v>751614.18696417997</v>
      </c>
      <c r="AX111" s="39">
        <f t="shared" si="47"/>
        <v>0.91583990644796043</v>
      </c>
      <c r="AY111" s="39">
        <f t="shared" si="48"/>
        <v>0.45673964908323428</v>
      </c>
      <c r="AZ111" s="39">
        <f t="shared" si="49"/>
        <v>0.80259357924350772</v>
      </c>
      <c r="BA111" s="18">
        <f t="shared" si="52"/>
        <v>2.542522716780643E-2</v>
      </c>
      <c r="BB111" s="20">
        <f t="shared" si="53"/>
        <v>1.6782664043726529E-2</v>
      </c>
      <c r="BC111" s="17">
        <f t="shared" si="50"/>
        <v>-193183.38332231995</v>
      </c>
      <c r="BD111" s="17">
        <f t="shared" si="51"/>
        <v>-408322.18696417997</v>
      </c>
    </row>
    <row r="112" spans="1:56" ht="14.25" hidden="1" customHeight="1" x14ac:dyDescent="0.35">
      <c r="A112" s="16">
        <v>45766</v>
      </c>
      <c r="B112" s="17">
        <f>+'BD MD'!B111</f>
        <v>27478165</v>
      </c>
      <c r="C112" s="17">
        <f t="shared" si="31"/>
        <v>1361861.4482758623</v>
      </c>
      <c r="D112" s="18">
        <f>+Tabla22[[#This Row],[Vta 2025]]/(SUM($C$94:$C$123))</f>
        <v>1.6397062934196113E-2</v>
      </c>
      <c r="E112" s="17">
        <v>47890384</v>
      </c>
      <c r="F112" s="19">
        <v>46131</v>
      </c>
      <c r="G112" s="17">
        <f t="shared" si="32"/>
        <v>3292789.7531871479</v>
      </c>
      <c r="H112" s="17">
        <v>2583740.9904822102</v>
      </c>
      <c r="I112" s="17">
        <v>709048.76270493795</v>
      </c>
      <c r="J112" s="17">
        <v>1029021</v>
      </c>
      <c r="K112" s="17">
        <v>2555315</v>
      </c>
      <c r="L112" s="17">
        <v>15128.4482758621</v>
      </c>
      <c r="M112" s="17">
        <v>26884</v>
      </c>
      <c r="N112" s="17">
        <v>1459</v>
      </c>
      <c r="O112" s="17">
        <v>-3026</v>
      </c>
      <c r="P112" s="17">
        <v>1022</v>
      </c>
      <c r="Q112" s="17">
        <v>5082</v>
      </c>
      <c r="R112" s="17">
        <v>56811</v>
      </c>
      <c r="S112" s="17">
        <v>58228</v>
      </c>
      <c r="T112" s="17">
        <v>164386</v>
      </c>
      <c r="U112" s="17">
        <v>337847</v>
      </c>
      <c r="V112" s="17">
        <v>71020</v>
      </c>
      <c r="W112" s="17">
        <v>30590</v>
      </c>
      <c r="X112" s="17">
        <v>15099</v>
      </c>
      <c r="Y112" s="17">
        <v>30639</v>
      </c>
      <c r="Z112" s="17">
        <v>7915</v>
      </c>
      <c r="AA112" s="17">
        <v>7830</v>
      </c>
      <c r="AB112" s="17">
        <v>0</v>
      </c>
      <c r="AC112" s="17">
        <v>2928</v>
      </c>
      <c r="AD112" s="17">
        <v>0</v>
      </c>
      <c r="AE112" s="17">
        <v>2669</v>
      </c>
      <c r="AF112" s="17">
        <f t="shared" si="33"/>
        <v>3054986</v>
      </c>
      <c r="AG112" s="18">
        <f t="shared" si="34"/>
        <v>0.92778046246136014</v>
      </c>
      <c r="AH112" s="17">
        <f t="shared" si="35"/>
        <v>-237803.7531871479</v>
      </c>
      <c r="AI112" s="20">
        <f t="shared" si="36"/>
        <v>0.67633657162917116</v>
      </c>
      <c r="AJ112" s="20">
        <f t="shared" si="37"/>
        <v>6.3435371277133751E-2</v>
      </c>
      <c r="AK112" s="21">
        <f t="shared" si="54"/>
        <v>6.37912195483753E-2</v>
      </c>
      <c r="AL112" s="21">
        <f t="shared" si="39"/>
        <v>0.66698541836299374</v>
      </c>
      <c r="AM112" s="31"/>
      <c r="AO112" s="38">
        <f t="shared" si="40"/>
        <v>46131</v>
      </c>
      <c r="AP112" s="17">
        <f>+Tabla22[[#This Row],[Web + APP 2025]]+Tabla22[[#This Row],[Afiliados 2025]]+Tabla22[[#This Row],[TMK 2025]]+Tabla22[[#This Row],[WA 2025]]+Tabla22[[#This Row],[Ent. en Tienda 2025]]</f>
        <v>1103441.4482758623</v>
      </c>
      <c r="AQ112" s="17">
        <f>+Tabla22[[#This Row],[Meli Drop 2025]]+Tabla22[[#This Row],[Meli Full 2025]]+Tabla22[[#This Row],[Amazon Drop 2025]]+Tabla22[[#This Row],[Amazon Full 2025]]+Tabla22[[#This Row],[TikTok 2025]]+Tabla22[[#This Row],[Shein 2025]]</f>
        <v>258420</v>
      </c>
      <c r="AR112" s="17">
        <f t="shared" si="41"/>
        <v>2642483</v>
      </c>
      <c r="AS112" s="17">
        <f t="shared" si="42"/>
        <v>412503</v>
      </c>
      <c r="AT112" s="18">
        <f t="shared" si="43"/>
        <v>1.3947650363586619</v>
      </c>
      <c r="AU112" s="18">
        <f t="shared" si="44"/>
        <v>0.5962502902252147</v>
      </c>
      <c r="AV112" s="49">
        <f t="shared" si="45"/>
        <v>2583740.9904822102</v>
      </c>
      <c r="AW112" s="49">
        <f t="shared" si="46"/>
        <v>709048.76270493795</v>
      </c>
      <c r="AX112" s="39">
        <f t="shared" si="47"/>
        <v>1.0227352547078747</v>
      </c>
      <c r="AY112" s="39">
        <f t="shared" si="48"/>
        <v>0.5817695787611975</v>
      </c>
      <c r="AZ112" s="39">
        <f t="shared" si="49"/>
        <v>0.92778046246136014</v>
      </c>
      <c r="BA112" s="18">
        <f t="shared" si="52"/>
        <v>1.8320030126460812E-2</v>
      </c>
      <c r="BB112" s="20">
        <f t="shared" si="53"/>
        <v>1.6003656249937225E-2</v>
      </c>
      <c r="BC112" s="17">
        <f t="shared" si="50"/>
        <v>58742.009517789818</v>
      </c>
      <c r="BD112" s="17">
        <f t="shared" si="51"/>
        <v>-296545.76270493795</v>
      </c>
    </row>
    <row r="113" spans="1:63" ht="14.25" hidden="1" customHeight="1" x14ac:dyDescent="0.35">
      <c r="A113" s="19">
        <v>45767</v>
      </c>
      <c r="B113" s="17">
        <f>+'BD MD'!B112</f>
        <v>28728736</v>
      </c>
      <c r="C113" s="17">
        <f t="shared" si="31"/>
        <v>1822418.0344827585</v>
      </c>
      <c r="D113" s="18">
        <f>+Tabla22[[#This Row],[Vta 2025]]/(SUM($C$94:$C$123))</f>
        <v>2.1942249148515978E-2</v>
      </c>
      <c r="E113" s="17">
        <v>25946603</v>
      </c>
      <c r="F113" s="19">
        <v>46132</v>
      </c>
      <c r="G113" s="17">
        <f t="shared" si="32"/>
        <v>4640854.5148641914</v>
      </c>
      <c r="H113" s="17">
        <v>3921418.0021528802</v>
      </c>
      <c r="I113" s="17">
        <v>719436.51271131099</v>
      </c>
      <c r="J113" s="17">
        <v>1427487</v>
      </c>
      <c r="K113" s="17">
        <v>3569997</v>
      </c>
      <c r="L113" s="17">
        <v>14906.0344827586</v>
      </c>
      <c r="M113" s="17">
        <v>23882</v>
      </c>
      <c r="N113" s="17">
        <v>6558</v>
      </c>
      <c r="O113" s="17">
        <v>57151</v>
      </c>
      <c r="P113" s="17">
        <v>2552</v>
      </c>
      <c r="Q113" s="17">
        <v>2735</v>
      </c>
      <c r="R113" s="17">
        <v>23514</v>
      </c>
      <c r="S113" s="17">
        <v>75423</v>
      </c>
      <c r="T113" s="17">
        <v>241574</v>
      </c>
      <c r="U113" s="17">
        <v>380425</v>
      </c>
      <c r="V113" s="17">
        <v>85791</v>
      </c>
      <c r="W113" s="17">
        <v>38997</v>
      </c>
      <c r="X113" s="17">
        <v>14358</v>
      </c>
      <c r="Y113" s="17">
        <v>24724</v>
      </c>
      <c r="Z113" s="17">
        <v>5678</v>
      </c>
      <c r="AA113" s="17">
        <v>7395</v>
      </c>
      <c r="AB113" s="17">
        <v>0</v>
      </c>
      <c r="AC113" s="17">
        <v>672</v>
      </c>
      <c r="AD113" s="17">
        <v>0</v>
      </c>
      <c r="AE113" s="17">
        <v>4349</v>
      </c>
      <c r="AF113" s="17">
        <f t="shared" si="33"/>
        <v>4185750</v>
      </c>
      <c r="AG113" s="18">
        <f t="shared" si="34"/>
        <v>0.90193519029598168</v>
      </c>
      <c r="AH113" s="17">
        <f t="shared" si="35"/>
        <v>-455104.51486419141</v>
      </c>
      <c r="AI113" s="20">
        <f t="shared" si="36"/>
        <v>0.42648818936279276</v>
      </c>
      <c r="AJ113" s="20">
        <f t="shared" si="37"/>
        <v>0.12120522681596414</v>
      </c>
      <c r="AK113" s="21">
        <f t="shared" si="54"/>
        <v>0.16132169594609361</v>
      </c>
      <c r="AL113" s="21">
        <f t="shared" si="39"/>
        <v>7.1758039289308684E-2</v>
      </c>
      <c r="AM113" s="31"/>
      <c r="AO113" s="38">
        <f t="shared" si="40"/>
        <v>46132</v>
      </c>
      <c r="AP113" s="17">
        <f>+Tabla22[[#This Row],[Web + APP 2025]]+Tabla22[[#This Row],[Afiliados 2025]]+Tabla22[[#This Row],[TMK 2025]]+Tabla22[[#This Row],[WA 2025]]+Tabla22[[#This Row],[Ent. en Tienda 2025]]</f>
        <v>1475017.0344827585</v>
      </c>
      <c r="AQ113" s="17">
        <f>+Tabla22[[#This Row],[Meli Drop 2025]]+Tabla22[[#This Row],[Meli Full 2025]]+Tabla22[[#This Row],[Amazon Drop 2025]]+Tabla22[[#This Row],[Amazon Full 2025]]+Tabla22[[#This Row],[TikTok 2025]]+Tabla22[[#This Row],[Shein 2025]]</f>
        <v>347401</v>
      </c>
      <c r="AR113" s="17">
        <f t="shared" si="41"/>
        <v>3729188</v>
      </c>
      <c r="AS113" s="17">
        <f t="shared" si="42"/>
        <v>456562</v>
      </c>
      <c r="AT113" s="18">
        <f t="shared" si="43"/>
        <v>1.5282338527756103</v>
      </c>
      <c r="AU113" s="18">
        <f t="shared" si="44"/>
        <v>0.31422189343150997</v>
      </c>
      <c r="AV113" s="49">
        <f t="shared" si="45"/>
        <v>3921418.0021528802</v>
      </c>
      <c r="AW113" s="49">
        <f t="shared" si="46"/>
        <v>719436.51271131099</v>
      </c>
      <c r="AX113" s="39">
        <f t="shared" si="47"/>
        <v>0.95097946659923915</v>
      </c>
      <c r="AY113" s="39">
        <f t="shared" si="48"/>
        <v>0.634610548579712</v>
      </c>
      <c r="AZ113" s="39">
        <f t="shared" si="49"/>
        <v>0.90193519029598168</v>
      </c>
      <c r="BA113" s="18">
        <f t="shared" si="52"/>
        <v>2.4628112320883105E-2</v>
      </c>
      <c r="BB113" s="20">
        <f t="shared" si="53"/>
        <v>2.1392766802033714E-2</v>
      </c>
      <c r="BC113" s="17">
        <f t="shared" si="50"/>
        <v>-192230.00215288019</v>
      </c>
      <c r="BD113" s="17">
        <f t="shared" si="51"/>
        <v>-262874.51271131099</v>
      </c>
    </row>
    <row r="114" spans="1:63" ht="14.25" hidden="1" customHeight="1" x14ac:dyDescent="0.35">
      <c r="A114" s="16">
        <v>45768</v>
      </c>
      <c r="B114" s="17">
        <f>+'BD MD'!B113</f>
        <v>24209385</v>
      </c>
      <c r="C114" s="17">
        <f t="shared" si="31"/>
        <v>2934304</v>
      </c>
      <c r="D114" s="18">
        <f>+Tabla22[[#This Row],[Vta 2025]]/(SUM($C$94:$C$123))</f>
        <v>3.5329561180380296E-2</v>
      </c>
      <c r="E114" s="17">
        <v>29155457</v>
      </c>
      <c r="F114" s="19">
        <v>46133</v>
      </c>
      <c r="G114" s="17">
        <f t="shared" si="32"/>
        <v>4656374.6585687567</v>
      </c>
      <c r="H114" s="17">
        <v>4035988.4624826298</v>
      </c>
      <c r="I114" s="17">
        <v>620386.19608612696</v>
      </c>
      <c r="J114" s="17">
        <v>2363849</v>
      </c>
      <c r="K114" s="17">
        <v>4139341</v>
      </c>
      <c r="L114" s="17">
        <v>17125</v>
      </c>
      <c r="M114" s="17">
        <v>24511</v>
      </c>
      <c r="N114" s="17">
        <v>35717</v>
      </c>
      <c r="O114" s="17">
        <v>54526</v>
      </c>
      <c r="P114" s="17">
        <v>5563</v>
      </c>
      <c r="Q114" s="17">
        <v>3314</v>
      </c>
      <c r="R114" s="17">
        <v>61395</v>
      </c>
      <c r="S114" s="17">
        <v>85133</v>
      </c>
      <c r="T114" s="17">
        <v>313296</v>
      </c>
      <c r="U114" s="17">
        <v>395267</v>
      </c>
      <c r="V114" s="17">
        <v>96557</v>
      </c>
      <c r="W114" s="17">
        <v>32186</v>
      </c>
      <c r="X114" s="17">
        <v>30744</v>
      </c>
      <c r="Y114" s="17">
        <v>19904</v>
      </c>
      <c r="Z114" s="17">
        <v>10058</v>
      </c>
      <c r="AA114" s="17">
        <v>12866</v>
      </c>
      <c r="AB114" s="17">
        <v>0</v>
      </c>
      <c r="AC114" s="17">
        <v>1339</v>
      </c>
      <c r="AD114" s="17">
        <v>0</v>
      </c>
      <c r="AE114" s="17">
        <v>2841</v>
      </c>
      <c r="AF114" s="17">
        <f t="shared" si="33"/>
        <v>4771228</v>
      </c>
      <c r="AG114" s="18">
        <f t="shared" si="34"/>
        <v>1.0246658290736739</v>
      </c>
      <c r="AH114" s="17">
        <f t="shared" si="35"/>
        <v>114853.34143124335</v>
      </c>
      <c r="AI114" s="20">
        <f t="shared" si="36"/>
        <v>0.52428761144730562</v>
      </c>
      <c r="AJ114" s="20">
        <f t="shared" si="37"/>
        <v>0.10985371247421367</v>
      </c>
      <c r="AK114" s="21">
        <f t="shared" si="54"/>
        <v>0.16364785501390014</v>
      </c>
      <c r="AL114" s="21">
        <f t="shared" si="39"/>
        <v>2.3225467768674957E-2</v>
      </c>
      <c r="AM114" s="31"/>
      <c r="AO114" s="38">
        <f t="shared" si="40"/>
        <v>46133</v>
      </c>
      <c r="AP114" s="17">
        <f>+Tabla22[[#This Row],[Web + APP 2025]]+Tabla22[[#This Row],[Afiliados 2025]]+Tabla22[[#This Row],[TMK 2025]]+Tabla22[[#This Row],[WA 2025]]+Tabla22[[#This Row],[Ent. en Tienda 2025]]</f>
        <v>2483649</v>
      </c>
      <c r="AQ114" s="17">
        <f>+Tabla22[[#This Row],[Meli Drop 2025]]+Tabla22[[#This Row],[Meli Full 2025]]+Tabla22[[#This Row],[Amazon Drop 2025]]+Tabla22[[#This Row],[Amazon Full 2025]]+Tabla22[[#This Row],[TikTok 2025]]+Tabla22[[#This Row],[Shein 2025]]</f>
        <v>450655</v>
      </c>
      <c r="AR114" s="17">
        <f t="shared" si="41"/>
        <v>4306825</v>
      </c>
      <c r="AS114" s="17">
        <f t="shared" si="42"/>
        <v>464403</v>
      </c>
      <c r="AT114" s="18">
        <f t="shared" si="43"/>
        <v>0.73407152137842346</v>
      </c>
      <c r="AU114" s="18">
        <f t="shared" si="44"/>
        <v>3.050670690439472E-2</v>
      </c>
      <c r="AV114" s="49">
        <f t="shared" si="45"/>
        <v>4035988.4624826298</v>
      </c>
      <c r="AW114" s="49">
        <f t="shared" si="46"/>
        <v>620386.19608612696</v>
      </c>
      <c r="AX114" s="39">
        <f t="shared" si="47"/>
        <v>1.0671053795210237</v>
      </c>
      <c r="AY114" s="39">
        <f t="shared" si="48"/>
        <v>0.74857081432470796</v>
      </c>
      <c r="AZ114" s="39">
        <f t="shared" si="49"/>
        <v>1.0246658290736739</v>
      </c>
      <c r="BA114" s="18">
        <f t="shared" si="52"/>
        <v>3.1948042630756894E-2</v>
      </c>
      <c r="BB114" s="20">
        <f t="shared" si="53"/>
        <v>3.6021362894792582E-2</v>
      </c>
      <c r="BC114" s="17">
        <f t="shared" si="50"/>
        <v>270836.53751737019</v>
      </c>
      <c r="BD114" s="17">
        <f t="shared" si="51"/>
        <v>-155983.19608612696</v>
      </c>
    </row>
    <row r="115" spans="1:63" ht="14.25" hidden="1" customHeight="1" x14ac:dyDescent="0.35">
      <c r="A115" s="19">
        <v>45769</v>
      </c>
      <c r="B115" s="17">
        <f>+'BD MD'!B114</f>
        <v>28493678</v>
      </c>
      <c r="C115" s="17">
        <f t="shared" si="31"/>
        <v>3130136.3103448278</v>
      </c>
      <c r="D115" s="18">
        <f>+Tabla22[[#This Row],[Vta 2025]]/(SUM($C$94:$C$123))</f>
        <v>3.7687418304053512E-2</v>
      </c>
      <c r="E115" s="17">
        <v>30577431</v>
      </c>
      <c r="F115" s="19">
        <v>46134</v>
      </c>
      <c r="G115" s="17">
        <f t="shared" si="32"/>
        <v>4508167.3730940577</v>
      </c>
      <c r="H115" s="17">
        <v>3939193.9936038898</v>
      </c>
      <c r="I115" s="17">
        <v>568973.37949016795</v>
      </c>
      <c r="J115" s="17">
        <v>2523969</v>
      </c>
      <c r="K115" s="17">
        <v>3741744</v>
      </c>
      <c r="L115" s="17">
        <v>18554.310344827602</v>
      </c>
      <c r="M115" s="17">
        <v>21002</v>
      </c>
      <c r="N115" s="17">
        <v>108487</v>
      </c>
      <c r="O115" s="17">
        <v>36270</v>
      </c>
      <c r="P115" s="17">
        <v>10773</v>
      </c>
      <c r="Q115" s="17">
        <v>0</v>
      </c>
      <c r="R115" s="17">
        <v>28432</v>
      </c>
      <c r="S115" s="17">
        <v>93176</v>
      </c>
      <c r="T115" s="17">
        <v>315822</v>
      </c>
      <c r="U115" s="17">
        <v>357567</v>
      </c>
      <c r="V115" s="17">
        <v>99999</v>
      </c>
      <c r="W115" s="17">
        <v>53926</v>
      </c>
      <c r="X115" s="17">
        <v>19059</v>
      </c>
      <c r="Y115" s="17">
        <v>25691</v>
      </c>
      <c r="Z115" s="17">
        <v>5041</v>
      </c>
      <c r="AA115" s="17">
        <v>4757</v>
      </c>
      <c r="AB115" s="17">
        <v>0</v>
      </c>
      <c r="AC115" s="17">
        <v>5288</v>
      </c>
      <c r="AD115" s="17">
        <v>0</v>
      </c>
      <c r="AE115" s="17">
        <v>4650</v>
      </c>
      <c r="AF115" s="17">
        <f t="shared" si="33"/>
        <v>4344071</v>
      </c>
      <c r="AG115" s="18">
        <f t="shared" si="34"/>
        <v>0.96360020391580214</v>
      </c>
      <c r="AH115" s="17">
        <f t="shared" si="35"/>
        <v>-164096.37309405766</v>
      </c>
      <c r="AI115" s="20">
        <f t="shared" si="36"/>
        <v>0.28447423466388511</v>
      </c>
      <c r="AJ115" s="20">
        <f t="shared" si="37"/>
        <v>0.10635308849722269</v>
      </c>
      <c r="AK115" s="21">
        <f t="shared" si="54"/>
        <v>0.14206788660564715</v>
      </c>
      <c r="AL115" s="21">
        <f t="shared" si="39"/>
        <v>-3.8432926571173143E-2</v>
      </c>
      <c r="AM115" s="31"/>
      <c r="AO115" s="38">
        <f t="shared" si="40"/>
        <v>46134</v>
      </c>
      <c r="AP115" s="17">
        <f>+Tabla22[[#This Row],[Web + APP 2025]]+Tabla22[[#This Row],[Afiliados 2025]]+Tabla22[[#This Row],[TMK 2025]]+Tabla22[[#This Row],[WA 2025]]+Tabla22[[#This Row],[Ent. en Tienda 2025]]</f>
        <v>2690215.3103448278</v>
      </c>
      <c r="AQ115" s="17">
        <f>+Tabla22[[#This Row],[Meli Drop 2025]]+Tabla22[[#This Row],[Meli Full 2025]]+Tabla22[[#This Row],[Amazon Drop 2025]]+Tabla22[[#This Row],[Amazon Full 2025]]+Tabla22[[#This Row],[TikTok 2025]]+Tabla22[[#This Row],[Shein 2025]]</f>
        <v>439921</v>
      </c>
      <c r="AR115" s="17">
        <f t="shared" si="41"/>
        <v>3892192</v>
      </c>
      <c r="AS115" s="17">
        <f t="shared" si="42"/>
        <v>451879</v>
      </c>
      <c r="AT115" s="18">
        <f t="shared" si="43"/>
        <v>0.44679572115776289</v>
      </c>
      <c r="AU115" s="18">
        <f t="shared" si="44"/>
        <v>2.7182153159317268E-2</v>
      </c>
      <c r="AV115" s="49">
        <f t="shared" si="45"/>
        <v>3939193.9936038898</v>
      </c>
      <c r="AW115" s="49">
        <f t="shared" si="46"/>
        <v>568973.37949016795</v>
      </c>
      <c r="AX115" s="39">
        <f t="shared" si="47"/>
        <v>0.98806811909233017</v>
      </c>
      <c r="AY115" s="39">
        <f t="shared" si="48"/>
        <v>0.79420060109826041</v>
      </c>
      <c r="AZ115" s="39">
        <f t="shared" si="49"/>
        <v>0.96360020391580214</v>
      </c>
      <c r="BA115" s="18">
        <f t="shared" si="52"/>
        <v>3.1187082939643861E-2</v>
      </c>
      <c r="BB115" s="20">
        <f t="shared" si="53"/>
        <v>3.9017277384629671E-2</v>
      </c>
      <c r="BC115" s="17">
        <f t="shared" si="50"/>
        <v>-47001.99360388983</v>
      </c>
      <c r="BD115" s="17">
        <f t="shared" si="51"/>
        <v>-117094.37949016795</v>
      </c>
    </row>
    <row r="116" spans="1:63" ht="14.25" hidden="1" customHeight="1" x14ac:dyDescent="0.35">
      <c r="A116" s="16">
        <v>45770</v>
      </c>
      <c r="B116" s="17">
        <f>+'BD MD'!B115</f>
        <v>31799582</v>
      </c>
      <c r="C116" s="17">
        <f t="shared" si="31"/>
        <v>3381983.7586206896</v>
      </c>
      <c r="D116" s="18">
        <f>+Tabla22[[#This Row],[Vta 2025]]/(SUM($C$94:$C$123))</f>
        <v>4.071970801636169E-2</v>
      </c>
      <c r="E116" s="17">
        <v>35456383</v>
      </c>
      <c r="F116" s="19">
        <v>46135</v>
      </c>
      <c r="G116" s="17">
        <f t="shared" si="32"/>
        <v>3746831.352177362</v>
      </c>
      <c r="H116" s="17">
        <v>3186575.4791342602</v>
      </c>
      <c r="I116" s="17">
        <v>560255.87304310198</v>
      </c>
      <c r="J116" s="17">
        <v>2790322</v>
      </c>
      <c r="K116" s="17">
        <v>3133148</v>
      </c>
      <c r="L116" s="17">
        <v>14407.758620689699</v>
      </c>
      <c r="M116" s="17">
        <v>22359</v>
      </c>
      <c r="N116" s="17">
        <v>48820</v>
      </c>
      <c r="O116" s="17">
        <v>23409</v>
      </c>
      <c r="P116" s="17">
        <v>26723</v>
      </c>
      <c r="Q116" s="17">
        <v>0</v>
      </c>
      <c r="R116" s="17">
        <v>52261</v>
      </c>
      <c r="S116" s="17">
        <v>68920</v>
      </c>
      <c r="T116" s="17">
        <v>314535</v>
      </c>
      <c r="U116" s="17">
        <v>357674</v>
      </c>
      <c r="V116" s="17">
        <v>102425</v>
      </c>
      <c r="W116" s="17">
        <v>42322</v>
      </c>
      <c r="X116" s="17">
        <v>23735</v>
      </c>
      <c r="Y116" s="17">
        <v>18255</v>
      </c>
      <c r="Z116" s="17">
        <v>8755</v>
      </c>
      <c r="AA116" s="17">
        <v>8264</v>
      </c>
      <c r="AB116" s="17">
        <v>0</v>
      </c>
      <c r="AC116" s="17">
        <v>5048</v>
      </c>
      <c r="AD116" s="17">
        <v>0</v>
      </c>
      <c r="AE116" s="17">
        <v>4994</v>
      </c>
      <c r="AF116" s="17">
        <f t="shared" si="33"/>
        <v>3684393</v>
      </c>
      <c r="AG116" s="18">
        <f t="shared" si="34"/>
        <v>0.98333569186638792</v>
      </c>
      <c r="AH116" s="17">
        <f t="shared" si="35"/>
        <v>-62438.352177361958</v>
      </c>
      <c r="AI116" s="20">
        <f t="shared" si="36"/>
        <v>0.42593433236935518</v>
      </c>
      <c r="AJ116" s="20">
        <f t="shared" si="37"/>
        <v>7.2175324648648551E-2</v>
      </c>
      <c r="AK116" s="21">
        <f t="shared" si="54"/>
        <v>0.10391339127851817</v>
      </c>
      <c r="AL116" s="21">
        <f t="shared" si="39"/>
        <v>-9.5860398727257712E-3</v>
      </c>
      <c r="AM116" s="31"/>
      <c r="AO116" s="38">
        <f t="shared" si="40"/>
        <v>46135</v>
      </c>
      <c r="AP116" s="17">
        <f>+Tabla22[[#This Row],[Web + APP 2025]]+Tabla22[[#This Row],[Afiliados 2025]]+Tabla22[[#This Row],[TMK 2025]]+Tabla22[[#This Row],[WA 2025]]+Tabla22[[#This Row],[Ent. en Tienda 2025]]</f>
        <v>2932533.7586206896</v>
      </c>
      <c r="AQ116" s="17">
        <f>+Tabla22[[#This Row],[Meli Drop 2025]]+Tabla22[[#This Row],[Meli Full 2025]]+Tabla22[[#This Row],[Amazon Drop 2025]]+Tabla22[[#This Row],[Amazon Full 2025]]+Tabla22[[#This Row],[TikTok 2025]]+Tabla22[[#This Row],[Shein 2025]]</f>
        <v>449450</v>
      </c>
      <c r="AR116" s="17">
        <f t="shared" si="41"/>
        <v>3247836</v>
      </c>
      <c r="AS116" s="17">
        <f t="shared" si="42"/>
        <v>436557</v>
      </c>
      <c r="AT116" s="18">
        <f t="shared" si="43"/>
        <v>0.10751870816573716</v>
      </c>
      <c r="AU116" s="18">
        <f t="shared" si="44"/>
        <v>-2.8686171987985287E-2</v>
      </c>
      <c r="AV116" s="49">
        <f t="shared" si="45"/>
        <v>3186575.4791342602</v>
      </c>
      <c r="AW116" s="49">
        <f t="shared" si="46"/>
        <v>560255.87304310198</v>
      </c>
      <c r="AX116" s="39">
        <f t="shared" si="47"/>
        <v>1.0192245629412748</v>
      </c>
      <c r="AY116" s="39">
        <f t="shared" si="48"/>
        <v>0.77921003777931752</v>
      </c>
      <c r="AZ116" s="39">
        <f t="shared" si="49"/>
        <v>0.98333569186638792</v>
      </c>
      <c r="BA116" s="18">
        <f t="shared" si="52"/>
        <v>3.1862617213597288E-2</v>
      </c>
      <c r="BB116" s="20">
        <f t="shared" si="53"/>
        <v>4.2531719546725785E-2</v>
      </c>
      <c r="BC116" s="17">
        <f t="shared" si="50"/>
        <v>61260.520865739789</v>
      </c>
      <c r="BD116" s="17">
        <f t="shared" si="51"/>
        <v>-123698.87304310198</v>
      </c>
    </row>
    <row r="117" spans="1:63" ht="14.25" hidden="1" customHeight="1" x14ac:dyDescent="0.35">
      <c r="A117" s="19">
        <v>45771</v>
      </c>
      <c r="B117" s="17">
        <f>+'BD MD'!B116</f>
        <v>35799559</v>
      </c>
      <c r="C117" s="17">
        <f t="shared" si="31"/>
        <v>2583844.7931034481</v>
      </c>
      <c r="D117" s="18">
        <f>+Tabla22[[#This Row],[Vta 2025]]/(SUM($C$94:$C$123))</f>
        <v>3.1109967712464468E-2</v>
      </c>
      <c r="E117" s="17">
        <v>35631295</v>
      </c>
      <c r="F117" s="19">
        <v>46136</v>
      </c>
      <c r="G117" s="17">
        <f t="shared" si="32"/>
        <v>2943088.510209234</v>
      </c>
      <c r="H117" s="17">
        <v>2445372.7951799599</v>
      </c>
      <c r="I117" s="17">
        <v>497715.715029274</v>
      </c>
      <c r="J117" s="17">
        <v>2029339</v>
      </c>
      <c r="K117" s="17">
        <v>2485615</v>
      </c>
      <c r="L117" s="17">
        <v>15613.793103448301</v>
      </c>
      <c r="M117" s="17">
        <v>21234</v>
      </c>
      <c r="N117" s="17">
        <v>42994</v>
      </c>
      <c r="O117" s="17">
        <v>22286</v>
      </c>
      <c r="P117" s="17">
        <v>15816</v>
      </c>
      <c r="Q117" s="17">
        <v>0</v>
      </c>
      <c r="R117" s="17">
        <v>73103</v>
      </c>
      <c r="S117" s="17">
        <v>56136</v>
      </c>
      <c r="T117" s="17">
        <v>277457</v>
      </c>
      <c r="U117" s="17">
        <v>280641</v>
      </c>
      <c r="V117" s="17">
        <v>104526</v>
      </c>
      <c r="W117" s="17">
        <v>37782</v>
      </c>
      <c r="X117" s="17">
        <v>16782</v>
      </c>
      <c r="Y117" s="17">
        <v>17034</v>
      </c>
      <c r="Z117" s="17">
        <v>8214</v>
      </c>
      <c r="AA117" s="17">
        <v>10707</v>
      </c>
      <c r="AB117" s="17">
        <v>0</v>
      </c>
      <c r="AC117" s="17">
        <v>8599</v>
      </c>
      <c r="AD117" s="17">
        <v>0</v>
      </c>
      <c r="AE117" s="17">
        <v>1378</v>
      </c>
      <c r="AF117" s="17">
        <f t="shared" si="33"/>
        <v>2941412</v>
      </c>
      <c r="AG117" s="18">
        <f t="shared" si="34"/>
        <v>0.99943035685015302</v>
      </c>
      <c r="AH117" s="17">
        <f t="shared" si="35"/>
        <v>-1676.5102092339657</v>
      </c>
      <c r="AI117" s="20">
        <f t="shared" si="36"/>
        <v>0.15867807086619079</v>
      </c>
      <c r="AJ117" s="20">
        <f t="shared" si="37"/>
        <v>6.6232494637862321E-2</v>
      </c>
      <c r="AK117" s="21">
        <f t="shared" si="54"/>
        <v>8.2551363906363778E-2</v>
      </c>
      <c r="AL117" s="21">
        <f t="shared" si="39"/>
        <v>-7.037103344893747E-2</v>
      </c>
      <c r="AM117" s="31"/>
      <c r="AO117" s="38">
        <f t="shared" si="40"/>
        <v>46136</v>
      </c>
      <c r="AP117" s="17">
        <f>+Tabla22[[#This Row],[Web + APP 2025]]+Tabla22[[#This Row],[Afiliados 2025]]+Tabla22[[#This Row],[TMK 2025]]+Tabla22[[#This Row],[WA 2025]]+Tabla22[[#This Row],[Ent. en Tienda 2025]]</f>
        <v>2176865.7931034481</v>
      </c>
      <c r="AQ117" s="17">
        <f>+Tabla22[[#This Row],[Meli Drop 2025]]+Tabla22[[#This Row],[Meli Full 2025]]+Tabla22[[#This Row],[Amazon Drop 2025]]+Tabla22[[#This Row],[Amazon Full 2025]]+Tabla22[[#This Row],[TikTok 2025]]+Tabla22[[#This Row],[Shein 2025]]</f>
        <v>406979</v>
      </c>
      <c r="AR117" s="17">
        <f t="shared" si="41"/>
        <v>2585271</v>
      </c>
      <c r="AS117" s="17">
        <f t="shared" si="42"/>
        <v>356141</v>
      </c>
      <c r="AT117" s="18">
        <f t="shared" si="43"/>
        <v>0.18761156897702413</v>
      </c>
      <c r="AU117" s="18">
        <f t="shared" si="44"/>
        <v>-0.12491553618245654</v>
      </c>
      <c r="AV117" s="49">
        <f t="shared" si="45"/>
        <v>2445372.7951799599</v>
      </c>
      <c r="AW117" s="49">
        <f t="shared" si="46"/>
        <v>497715.715029274</v>
      </c>
      <c r="AX117" s="39">
        <f t="shared" si="47"/>
        <v>1.0572093568292702</v>
      </c>
      <c r="AY117" s="39">
        <f t="shared" si="48"/>
        <v>0.71555104499574207</v>
      </c>
      <c r="AZ117" s="39">
        <f t="shared" si="49"/>
        <v>0.99943035685015302</v>
      </c>
      <c r="BA117" s="18">
        <f t="shared" si="52"/>
        <v>2.8851743444148651E-2</v>
      </c>
      <c r="BB117" s="20">
        <f t="shared" si="53"/>
        <v>3.1571962345178319E-2</v>
      </c>
      <c r="BC117" s="17">
        <f t="shared" si="50"/>
        <v>139898.20482004015</v>
      </c>
      <c r="BD117" s="17">
        <f t="shared" si="51"/>
        <v>-141574.715029274</v>
      </c>
    </row>
    <row r="118" spans="1:63" ht="14.25" hidden="1" customHeight="1" x14ac:dyDescent="0.35">
      <c r="A118" s="16">
        <v>45772</v>
      </c>
      <c r="B118" s="17">
        <f>+'BD MD'!B117</f>
        <v>38328512</v>
      </c>
      <c r="C118" s="17">
        <f t="shared" si="31"/>
        <v>2538592.9655172415</v>
      </c>
      <c r="D118" s="18">
        <f>+Tabla22[[#This Row],[Vta 2025]]/(SUM($C$94:$C$123))</f>
        <v>3.0565127364896218E-2</v>
      </c>
      <c r="E118" s="17">
        <v>44200408</v>
      </c>
      <c r="F118" s="19">
        <v>46137</v>
      </c>
      <c r="G118" s="17">
        <f t="shared" si="32"/>
        <v>2922593.1010954212</v>
      </c>
      <c r="H118" s="17">
        <v>2381328.42008851</v>
      </c>
      <c r="I118" s="17">
        <v>541264.68100691098</v>
      </c>
      <c r="J118" s="17">
        <v>1938792</v>
      </c>
      <c r="K118" s="17">
        <v>1858764</v>
      </c>
      <c r="L118" s="17">
        <v>18018.965517241399</v>
      </c>
      <c r="M118" s="17">
        <v>23248</v>
      </c>
      <c r="N118" s="17">
        <v>42050</v>
      </c>
      <c r="O118" s="17">
        <v>9296</v>
      </c>
      <c r="P118" s="17">
        <v>8072</v>
      </c>
      <c r="Q118" s="17">
        <v>1497</v>
      </c>
      <c r="R118" s="17">
        <v>101687</v>
      </c>
      <c r="S118" s="17">
        <v>70341</v>
      </c>
      <c r="T118" s="17">
        <v>321502</v>
      </c>
      <c r="U118" s="17">
        <v>308728</v>
      </c>
      <c r="V118" s="17">
        <v>81927</v>
      </c>
      <c r="W118" s="17">
        <v>43807</v>
      </c>
      <c r="X118" s="17">
        <v>14919</v>
      </c>
      <c r="Y118" s="17">
        <v>13947</v>
      </c>
      <c r="Z118" s="17">
        <v>11625</v>
      </c>
      <c r="AA118" s="17">
        <v>4542</v>
      </c>
      <c r="AB118" s="17">
        <v>0</v>
      </c>
      <c r="AC118" s="17">
        <v>1327</v>
      </c>
      <c r="AD118" s="17">
        <v>0</v>
      </c>
      <c r="AE118" s="17">
        <v>2411</v>
      </c>
      <c r="AF118" s="17">
        <f t="shared" si="33"/>
        <v>2337908</v>
      </c>
      <c r="AG118" s="18">
        <f t="shared" si="34"/>
        <v>0.7999430365875172</v>
      </c>
      <c r="AH118" s="17">
        <f t="shared" si="35"/>
        <v>-584685.10109542124</v>
      </c>
      <c r="AI118" s="20">
        <f t="shared" si="36"/>
        <v>4.7114888971368396E-2</v>
      </c>
      <c r="AJ118" s="20">
        <f t="shared" si="37"/>
        <v>5.2314718693853068E-2</v>
      </c>
      <c r="AK118" s="21">
        <f t="shared" si="54"/>
        <v>5.2893357907465473E-2</v>
      </c>
      <c r="AL118" s="21">
        <f t="shared" si="39"/>
        <v>3.5659731653199467E-2</v>
      </c>
      <c r="AM118" s="31"/>
      <c r="AO118" s="38">
        <f t="shared" si="40"/>
        <v>46137</v>
      </c>
      <c r="AP118" s="17">
        <f>+Tabla22[[#This Row],[Web + APP 2025]]+Tabla22[[#This Row],[Afiliados 2025]]+Tabla22[[#This Row],[TMK 2025]]+Tabla22[[#This Row],[WA 2025]]+Tabla22[[#This Row],[Ent. en Tienda 2025]]</f>
        <v>2108619.9655172415</v>
      </c>
      <c r="AQ118" s="17">
        <f>+Tabla22[[#This Row],[Meli Drop 2025]]+Tabla22[[#This Row],[Meli Full 2025]]+Tabla22[[#This Row],[Amazon Drop 2025]]+Tabla22[[#This Row],[Amazon Full 2025]]+Tabla22[[#This Row],[TikTok 2025]]+Tabla22[[#This Row],[Shein 2025]]</f>
        <v>429973</v>
      </c>
      <c r="AR118" s="17">
        <f t="shared" si="41"/>
        <v>1963146</v>
      </c>
      <c r="AS118" s="17">
        <f t="shared" si="42"/>
        <v>374762</v>
      </c>
      <c r="AT118" s="18">
        <f t="shared" si="43"/>
        <v>-6.8990129988433901E-2</v>
      </c>
      <c r="AU118" s="18">
        <f t="shared" si="44"/>
        <v>-0.12840573710442282</v>
      </c>
      <c r="AV118" s="49">
        <f t="shared" si="45"/>
        <v>2381328.42008851</v>
      </c>
      <c r="AW118" s="49">
        <f t="shared" si="46"/>
        <v>541264.68100691098</v>
      </c>
      <c r="AX118" s="39">
        <f t="shared" si="47"/>
        <v>0.82439111860388958</v>
      </c>
      <c r="AY118" s="39">
        <f t="shared" si="48"/>
        <v>0.69238214343273385</v>
      </c>
      <c r="AZ118" s="39">
        <f t="shared" si="49"/>
        <v>0.7999430365875172</v>
      </c>
      <c r="BA118" s="18">
        <f t="shared" si="52"/>
        <v>3.0481844723956094E-2</v>
      </c>
      <c r="BB118" s="20">
        <f t="shared" si="53"/>
        <v>3.0582165589864582E-2</v>
      </c>
      <c r="BC118" s="17">
        <f t="shared" si="50"/>
        <v>-418182.42008851003</v>
      </c>
      <c r="BD118" s="17">
        <f t="shared" si="51"/>
        <v>-166502.68100691098</v>
      </c>
    </row>
    <row r="119" spans="1:63" ht="14.25" hidden="1" customHeight="1" x14ac:dyDescent="0.35">
      <c r="A119" s="19">
        <v>45773</v>
      </c>
      <c r="B119" s="17">
        <f>+'BD MD'!B118</f>
        <v>42678504</v>
      </c>
      <c r="C119" s="17">
        <f t="shared" si="31"/>
        <v>2232713.931034483</v>
      </c>
      <c r="D119" s="18">
        <f>+Tabla22[[#This Row],[Vta 2025]]/(SUM($C$94:$C$123))</f>
        <v>2.6882287392434513E-2</v>
      </c>
      <c r="E119" s="17">
        <v>44483663</v>
      </c>
      <c r="F119" s="19">
        <v>46138</v>
      </c>
      <c r="G119" s="17">
        <f t="shared" si="32"/>
        <v>3121767.4812489282</v>
      </c>
      <c r="H119" s="17">
        <v>2426796.8099636701</v>
      </c>
      <c r="I119" s="17">
        <v>694970.67128525802</v>
      </c>
      <c r="J119" s="17">
        <v>1752638</v>
      </c>
      <c r="K119" s="17">
        <v>2402155</v>
      </c>
      <c r="L119" s="17">
        <v>19887.931034482801</v>
      </c>
      <c r="M119" s="17">
        <v>22570</v>
      </c>
      <c r="N119" s="17">
        <v>25737</v>
      </c>
      <c r="O119" s="17">
        <v>5255</v>
      </c>
      <c r="P119" s="17">
        <v>1459</v>
      </c>
      <c r="Q119" s="17">
        <v>0</v>
      </c>
      <c r="R119" s="17">
        <v>72841</v>
      </c>
      <c r="S119" s="17">
        <v>42305</v>
      </c>
      <c r="T119" s="17">
        <v>250845</v>
      </c>
      <c r="U119" s="17">
        <v>188051</v>
      </c>
      <c r="V119" s="17">
        <v>82494</v>
      </c>
      <c r="W119" s="17">
        <v>44006</v>
      </c>
      <c r="X119" s="17">
        <v>16169</v>
      </c>
      <c r="Y119" s="17">
        <v>23511</v>
      </c>
      <c r="Z119" s="17">
        <v>10643</v>
      </c>
      <c r="AA119" s="17">
        <v>6576</v>
      </c>
      <c r="AB119" s="17">
        <v>0</v>
      </c>
      <c r="AC119" s="17">
        <v>0</v>
      </c>
      <c r="AD119" s="17">
        <v>0</v>
      </c>
      <c r="AE119" s="17">
        <v>5726</v>
      </c>
      <c r="AF119" s="17">
        <f t="shared" si="33"/>
        <v>2740155</v>
      </c>
      <c r="AG119" s="18">
        <f t="shared" si="34"/>
        <v>0.87775755768451524</v>
      </c>
      <c r="AH119" s="17">
        <f t="shared" si="35"/>
        <v>-381612.48124892823</v>
      </c>
      <c r="AI119" s="20">
        <f t="shared" si="36"/>
        <v>0.12358490181871318</v>
      </c>
      <c r="AJ119" s="20">
        <f t="shared" si="37"/>
        <v>5.8724910411467227E-2</v>
      </c>
      <c r="AK119" s="21">
        <f t="shared" si="54"/>
        <v>6.1599131348513275E-2</v>
      </c>
      <c r="AL119" s="21">
        <f t="shared" si="39"/>
        <v>7.115833055612808E-2</v>
      </c>
      <c r="AM119" s="31"/>
      <c r="AO119" s="38">
        <f t="shared" si="40"/>
        <v>46138</v>
      </c>
      <c r="AP119" s="17">
        <f>+Tabla22[[#This Row],[Web + APP 2025]]+Tabla22[[#This Row],[Afiliados 2025]]+Tabla22[[#This Row],[TMK 2025]]+Tabla22[[#This Row],[WA 2025]]+Tabla22[[#This Row],[Ent. en Tienda 2025]]</f>
        <v>1872562.9310344828</v>
      </c>
      <c r="AQ119" s="17">
        <f>+Tabla22[[#This Row],[Meli Drop 2025]]+Tabla22[[#This Row],[Meli Full 2025]]+Tabla22[[#This Row],[Amazon Drop 2025]]+Tabla22[[#This Row],[Amazon Full 2025]]+Tabla22[[#This Row],[TikTok 2025]]+Tabla22[[#This Row],[Shein 2025]]</f>
        <v>360151</v>
      </c>
      <c r="AR119" s="17">
        <f t="shared" si="41"/>
        <v>2472285</v>
      </c>
      <c r="AS119" s="17">
        <f t="shared" si="42"/>
        <v>267870</v>
      </c>
      <c r="AT119" s="18">
        <f t="shared" si="43"/>
        <v>0.32026804494853778</v>
      </c>
      <c r="AU119" s="18">
        <f t="shared" si="44"/>
        <v>-0.25622863743263247</v>
      </c>
      <c r="AV119" s="49">
        <f t="shared" si="45"/>
        <v>2426796.8099636701</v>
      </c>
      <c r="AW119" s="49">
        <f t="shared" si="46"/>
        <v>694970.67128525802</v>
      </c>
      <c r="AX119" s="39">
        <f t="shared" si="47"/>
        <v>1.0187441280001563</v>
      </c>
      <c r="AY119" s="39">
        <f t="shared" si="48"/>
        <v>0.38544072587208494</v>
      </c>
      <c r="AZ119" s="39">
        <f t="shared" si="49"/>
        <v>0.87775755768451524</v>
      </c>
      <c r="BA119" s="18">
        <f t="shared" si="52"/>
        <v>2.5531991216140342E-2</v>
      </c>
      <c r="BB119" s="20">
        <f t="shared" si="53"/>
        <v>2.7158535236714031E-2</v>
      </c>
      <c r="BC119" s="17">
        <f t="shared" si="50"/>
        <v>45488.190036329906</v>
      </c>
      <c r="BD119" s="17">
        <f t="shared" si="51"/>
        <v>-427100.67128525802</v>
      </c>
    </row>
    <row r="120" spans="1:63" ht="14.25" hidden="1" customHeight="1" x14ac:dyDescent="0.35">
      <c r="A120" s="16">
        <v>45774</v>
      </c>
      <c r="B120" s="17">
        <f>+'BD MD'!B119</f>
        <v>41528560</v>
      </c>
      <c r="C120" s="17">
        <f t="shared" si="31"/>
        <v>2438760.9655172415</v>
      </c>
      <c r="D120" s="18">
        <f>+Tabla22[[#This Row],[Vta 2025]]/(SUM($C$94:$C$123))</f>
        <v>2.9363131678096309E-2</v>
      </c>
      <c r="E120" s="17">
        <v>25760577</v>
      </c>
      <c r="F120" s="19">
        <v>46139</v>
      </c>
      <c r="G120" s="17">
        <f t="shared" si="32"/>
        <v>3938557.7823995668</v>
      </c>
      <c r="H120" s="17">
        <v>3150380.9104436301</v>
      </c>
      <c r="I120" s="17">
        <v>788176.87195593701</v>
      </c>
      <c r="J120" s="17">
        <v>1946010</v>
      </c>
      <c r="K120" s="17">
        <v>3645929</v>
      </c>
      <c r="L120" s="17">
        <v>18168.965517241399</v>
      </c>
      <c r="M120" s="17">
        <v>20822</v>
      </c>
      <c r="N120" s="17">
        <v>19936</v>
      </c>
      <c r="O120" s="17">
        <v>10309</v>
      </c>
      <c r="P120" s="17">
        <v>3572</v>
      </c>
      <c r="Q120" s="17">
        <v>2738</v>
      </c>
      <c r="R120" s="17">
        <v>72272</v>
      </c>
      <c r="S120" s="17">
        <v>64173</v>
      </c>
      <c r="T120" s="17">
        <v>273543</v>
      </c>
      <c r="U120" s="17">
        <v>460477</v>
      </c>
      <c r="V120" s="17">
        <v>81092</v>
      </c>
      <c r="W120" s="17">
        <v>93404</v>
      </c>
      <c r="X120" s="17">
        <v>16940</v>
      </c>
      <c r="Y120" s="17">
        <v>20032</v>
      </c>
      <c r="Z120" s="17">
        <v>7227</v>
      </c>
      <c r="AA120" s="17">
        <v>9335</v>
      </c>
      <c r="AB120" s="17">
        <v>0</v>
      </c>
      <c r="AC120" s="17">
        <v>8011</v>
      </c>
      <c r="AD120" s="17">
        <v>0</v>
      </c>
      <c r="AE120" s="17">
        <v>3607</v>
      </c>
      <c r="AF120" s="17">
        <f t="shared" si="33"/>
        <v>4338837</v>
      </c>
      <c r="AG120" s="18">
        <f t="shared" si="34"/>
        <v>1.1016309115456377</v>
      </c>
      <c r="AH120" s="17">
        <f t="shared" si="35"/>
        <v>400279.21760043316</v>
      </c>
      <c r="AI120" s="20">
        <f t="shared" si="36"/>
        <v>0.35542776188732339</v>
      </c>
      <c r="AJ120" s="20">
        <f t="shared" si="37"/>
        <v>0.13060615931839281</v>
      </c>
      <c r="AK120" s="21">
        <f t="shared" si="54"/>
        <v>0.16842934069372748</v>
      </c>
      <c r="AL120" s="21">
        <f t="shared" si="39"/>
        <v>5.1047361964892346E-2</v>
      </c>
      <c r="AM120" s="31"/>
      <c r="AO120" s="38">
        <f t="shared" si="40"/>
        <v>46139</v>
      </c>
      <c r="AP120" s="17">
        <f>+Tabla22[[#This Row],[Web + APP 2025]]+Tabla22[[#This Row],[Afiliados 2025]]+Tabla22[[#This Row],[TMK 2025]]+Tabla22[[#This Row],[WA 2025]]+Tabla22[[#This Row],[Ent. en Tienda 2025]]</f>
        <v>2059958.9655172415</v>
      </c>
      <c r="AQ120" s="17">
        <f>+Tabla22[[#This Row],[Meli Drop 2025]]+Tabla22[[#This Row],[Meli Full 2025]]+Tabla22[[#This Row],[Amazon Drop 2025]]+Tabla22[[#This Row],[Amazon Full 2025]]+Tabla22[[#This Row],[TikTok 2025]]+Tabla22[[#This Row],[Shein 2025]]</f>
        <v>378802</v>
      </c>
      <c r="AR120" s="17">
        <f t="shared" si="41"/>
        <v>3743971</v>
      </c>
      <c r="AS120" s="17">
        <f t="shared" si="42"/>
        <v>594866</v>
      </c>
      <c r="AT120" s="18">
        <f t="shared" si="43"/>
        <v>0.81749785440988854</v>
      </c>
      <c r="AU120" s="18">
        <f t="shared" si="44"/>
        <v>0.57038769594669514</v>
      </c>
      <c r="AV120" s="49">
        <f t="shared" si="45"/>
        <v>3150380.9104436301</v>
      </c>
      <c r="AW120" s="49">
        <f t="shared" si="46"/>
        <v>788176.87195593701</v>
      </c>
      <c r="AX120" s="39">
        <f t="shared" si="47"/>
        <v>1.1884185139608345</v>
      </c>
      <c r="AY120" s="39">
        <f t="shared" si="48"/>
        <v>0.75473668559162688</v>
      </c>
      <c r="AZ120" s="39">
        <f t="shared" si="49"/>
        <v>1.1016309115456377</v>
      </c>
      <c r="BA120" s="18">
        <f t="shared" si="52"/>
        <v>2.6854206531861342E-2</v>
      </c>
      <c r="BB120" s="20">
        <f t="shared" si="53"/>
        <v>2.9876415485955578E-2</v>
      </c>
      <c r="BC120" s="17">
        <f t="shared" si="50"/>
        <v>593590.08955636993</v>
      </c>
      <c r="BD120" s="17">
        <f t="shared" si="51"/>
        <v>-193310.87195593701</v>
      </c>
    </row>
    <row r="121" spans="1:63" ht="14.25" hidden="1" customHeight="1" x14ac:dyDescent="0.35">
      <c r="A121" s="19">
        <v>45775</v>
      </c>
      <c r="B121" s="17">
        <f>+'BD MD'!B120</f>
        <v>24509435</v>
      </c>
      <c r="C121" s="17">
        <f t="shared" si="31"/>
        <v>3201083.1724137929</v>
      </c>
      <c r="D121" s="18">
        <f>+Tabla22[[#This Row],[Vta 2025]]/(SUM($C$94:$C$123))</f>
        <v>3.8541631604386915E-2</v>
      </c>
      <c r="E121" s="17">
        <v>29247943</v>
      </c>
      <c r="F121" s="19">
        <v>46140</v>
      </c>
      <c r="G121" s="17">
        <f t="shared" si="32"/>
        <v>4775363.2823169054</v>
      </c>
      <c r="H121" s="17">
        <v>3865009.1529240501</v>
      </c>
      <c r="I121" s="17">
        <v>910354.12939285499</v>
      </c>
      <c r="J121" s="17">
        <v>2632448</v>
      </c>
      <c r="K121" s="17">
        <v>3414301</v>
      </c>
      <c r="L121" s="17">
        <v>14455.1724137931</v>
      </c>
      <c r="M121" s="17">
        <v>21260</v>
      </c>
      <c r="N121" s="17">
        <v>64714</v>
      </c>
      <c r="O121" s="17">
        <v>30481</v>
      </c>
      <c r="P121" s="17">
        <v>9783</v>
      </c>
      <c r="Q121" s="17">
        <v>1453</v>
      </c>
      <c r="R121" s="17">
        <v>89766</v>
      </c>
      <c r="S121" s="17">
        <v>60651</v>
      </c>
      <c r="T121" s="17">
        <v>268976</v>
      </c>
      <c r="U121" s="17">
        <v>297757</v>
      </c>
      <c r="V121" s="17">
        <v>80501</v>
      </c>
      <c r="W121" s="17">
        <v>122634</v>
      </c>
      <c r="X121" s="17">
        <v>31107</v>
      </c>
      <c r="Y121" s="17">
        <v>18935</v>
      </c>
      <c r="Z121" s="17">
        <v>9333</v>
      </c>
      <c r="AA121" s="17">
        <v>8545</v>
      </c>
      <c r="AB121" s="17">
        <v>0</v>
      </c>
      <c r="AC121" s="17">
        <v>11569</v>
      </c>
      <c r="AD121" s="17">
        <v>0</v>
      </c>
      <c r="AE121" s="17">
        <v>4607</v>
      </c>
      <c r="AF121" s="17">
        <f t="shared" si="33"/>
        <v>3992193</v>
      </c>
      <c r="AG121" s="18">
        <f t="shared" si="34"/>
        <v>0.8359977584915953</v>
      </c>
      <c r="AH121" s="17">
        <f t="shared" si="35"/>
        <v>-783170.28231690545</v>
      </c>
      <c r="AI121" s="20">
        <f t="shared" si="36"/>
        <v>0.12930378229221229</v>
      </c>
      <c r="AJ121" s="20">
        <f t="shared" si="37"/>
        <v>0.1332747093309751</v>
      </c>
      <c r="AK121" s="21">
        <f t="shared" si="54"/>
        <v>0.13649482973896659</v>
      </c>
      <c r="AL121" s="21">
        <f t="shared" si="39"/>
        <v>0.10266179033445377</v>
      </c>
      <c r="AM121" s="31"/>
      <c r="AO121" s="38">
        <f t="shared" si="40"/>
        <v>46140</v>
      </c>
      <c r="AP121" s="17">
        <f>+Tabla22[[#This Row],[Web + APP 2025]]+Tabla22[[#This Row],[Afiliados 2025]]+Tabla22[[#This Row],[TMK 2025]]+Tabla22[[#This Row],[WA 2025]]+Tabla22[[#This Row],[Ent. en Tienda 2025]]</f>
        <v>2811166.1724137929</v>
      </c>
      <c r="AQ121" s="17">
        <f>+Tabla22[[#This Row],[Meli Drop 2025]]+Tabla22[[#This Row],[Meli Full 2025]]+Tabla22[[#This Row],[Amazon Drop 2025]]+Tabla22[[#This Row],[Amazon Full 2025]]+Tabla22[[#This Row],[TikTok 2025]]+Tabla22[[#This Row],[Shein 2025]]</f>
        <v>389917</v>
      </c>
      <c r="AR121" s="17">
        <f t="shared" si="41"/>
        <v>3528146</v>
      </c>
      <c r="AS121" s="17">
        <f t="shared" si="42"/>
        <v>464047</v>
      </c>
      <c r="AT121" s="18">
        <f t="shared" si="43"/>
        <v>0.25504711696590188</v>
      </c>
      <c r="AU121" s="18">
        <f t="shared" si="44"/>
        <v>0.19011738395607281</v>
      </c>
      <c r="AV121" s="49">
        <f t="shared" si="45"/>
        <v>3865009.1529240501</v>
      </c>
      <c r="AW121" s="49">
        <f t="shared" si="46"/>
        <v>910354.12939285499</v>
      </c>
      <c r="AX121" s="39">
        <f t="shared" si="47"/>
        <v>0.91284285765036333</v>
      </c>
      <c r="AY121" s="39">
        <f t="shared" si="48"/>
        <v>0.50974338998109248</v>
      </c>
      <c r="AZ121" s="39">
        <f t="shared" si="49"/>
        <v>0.8359977584915953</v>
      </c>
      <c r="BA121" s="18">
        <f t="shared" si="52"/>
        <v>2.7642176251138535E-2</v>
      </c>
      <c r="BB121" s="20">
        <f t="shared" si="53"/>
        <v>4.0771476506576532E-2</v>
      </c>
      <c r="BC121" s="17">
        <f t="shared" si="50"/>
        <v>-336863.15292405011</v>
      </c>
      <c r="BD121" s="17">
        <f t="shared" si="51"/>
        <v>-446307.12939285499</v>
      </c>
    </row>
    <row r="122" spans="1:63" ht="14.25" hidden="1" customHeight="1" x14ac:dyDescent="0.35">
      <c r="A122" s="16">
        <v>45776</v>
      </c>
      <c r="B122" s="17">
        <f>+'BD MD'!B121</f>
        <v>26524854</v>
      </c>
      <c r="C122" s="17">
        <f t="shared" si="31"/>
        <v>3535092.2068965519</v>
      </c>
      <c r="D122" s="18">
        <f>+Tabla22[[#This Row],[Vta 2025]]/(SUM($C$94:$C$123))</f>
        <v>4.2563161963394838E-2</v>
      </c>
      <c r="E122" s="17">
        <v>33378286</v>
      </c>
      <c r="F122" s="19">
        <v>46141</v>
      </c>
      <c r="G122" s="17">
        <f t="shared" si="32"/>
        <v>4786174.5106639257</v>
      </c>
      <c r="H122" s="17">
        <v>3969770.1570955799</v>
      </c>
      <c r="I122" s="17">
        <v>816404.35356834601</v>
      </c>
      <c r="J122" s="17">
        <v>3065439</v>
      </c>
      <c r="K122" s="17">
        <v>3197203</v>
      </c>
      <c r="L122" s="17">
        <v>17661.206896551699</v>
      </c>
      <c r="M122" s="17">
        <v>23371</v>
      </c>
      <c r="N122" s="17">
        <v>28804</v>
      </c>
      <c r="O122" s="17">
        <v>59752</v>
      </c>
      <c r="P122" s="17">
        <v>996</v>
      </c>
      <c r="Q122" s="17">
        <v>1516</v>
      </c>
      <c r="R122" s="17">
        <v>85432</v>
      </c>
      <c r="S122" s="17">
        <v>126425</v>
      </c>
      <c r="T122" s="17">
        <v>243921</v>
      </c>
      <c r="U122" s="17">
        <v>317515</v>
      </c>
      <c r="V122" s="17">
        <v>68863</v>
      </c>
      <c r="W122" s="17">
        <v>127512</v>
      </c>
      <c r="X122" s="17">
        <v>14584</v>
      </c>
      <c r="Y122" s="17">
        <v>17434</v>
      </c>
      <c r="Z122" s="17">
        <v>9392</v>
      </c>
      <c r="AA122" s="17">
        <v>4509</v>
      </c>
      <c r="AB122" s="17">
        <v>0</v>
      </c>
      <c r="AC122" s="17">
        <v>7208</v>
      </c>
      <c r="AD122" s="17">
        <v>0</v>
      </c>
      <c r="AE122" s="17">
        <v>4478</v>
      </c>
      <c r="AF122" s="17">
        <f t="shared" si="33"/>
        <v>3886923</v>
      </c>
      <c r="AG122" s="18">
        <f t="shared" si="34"/>
        <v>0.81211476751206391</v>
      </c>
      <c r="AH122" s="17">
        <f t="shared" si="35"/>
        <v>-899251.51066392567</v>
      </c>
      <c r="AI122" s="20">
        <f t="shared" si="36"/>
        <v>0.18545306909786663</v>
      </c>
      <c r="AJ122" s="20">
        <f t="shared" si="37"/>
        <v>0.12699229170806989</v>
      </c>
      <c r="AK122" s="21">
        <f t="shared" si="54"/>
        <v>0.11645064698648697</v>
      </c>
      <c r="AL122" s="21">
        <f t="shared" si="39"/>
        <v>0.29276569819807174</v>
      </c>
      <c r="AM122" s="31"/>
      <c r="AO122" s="38">
        <f t="shared" si="40"/>
        <v>46141</v>
      </c>
      <c r="AP122" s="17">
        <f>+Tabla22[[#This Row],[Web + APP 2025]]+Tabla22[[#This Row],[Afiliados 2025]]+Tabla22[[#This Row],[TMK 2025]]+Tabla22[[#This Row],[WA 2025]]+Tabla22[[#This Row],[Ent. en Tienda 2025]]</f>
        <v>3198332.2068965519</v>
      </c>
      <c r="AQ122" s="17">
        <f>+Tabla22[[#This Row],[Meli Drop 2025]]+Tabla22[[#This Row],[Meli Full 2025]]+Tabla22[[#This Row],[Amazon Drop 2025]]+Tabla22[[#This Row],[Amazon Full 2025]]+Tabla22[[#This Row],[TikTok 2025]]+Tabla22[[#This Row],[Shein 2025]]</f>
        <v>336760</v>
      </c>
      <c r="AR122" s="17">
        <f t="shared" si="41"/>
        <v>3408267</v>
      </c>
      <c r="AS122" s="17">
        <f t="shared" si="42"/>
        <v>478656</v>
      </c>
      <c r="AT122" s="18">
        <f t="shared" si="43"/>
        <v>6.563883284255656E-2</v>
      </c>
      <c r="AU122" s="18">
        <f t="shared" si="44"/>
        <v>0.42135645563606139</v>
      </c>
      <c r="AV122" s="49">
        <f t="shared" si="45"/>
        <v>3969770.1570955799</v>
      </c>
      <c r="AW122" s="49">
        <f t="shared" si="46"/>
        <v>816404.35356834601</v>
      </c>
      <c r="AX122" s="39">
        <f t="shared" si="47"/>
        <v>0.85855524756466128</v>
      </c>
      <c r="AY122" s="39">
        <f t="shared" si="48"/>
        <v>0.5862977064096816</v>
      </c>
      <c r="AZ122" s="39">
        <f t="shared" si="49"/>
        <v>0.81211476751206391</v>
      </c>
      <c r="BA122" s="18">
        <f t="shared" si="52"/>
        <v>2.387374562877077E-2</v>
      </c>
      <c r="BB122" s="20">
        <f t="shared" si="53"/>
        <v>4.6386701616340932E-2</v>
      </c>
      <c r="BC122" s="17">
        <f t="shared" si="50"/>
        <v>-561503.1570955799</v>
      </c>
      <c r="BD122" s="17">
        <f t="shared" si="51"/>
        <v>-337748.35356834601</v>
      </c>
    </row>
    <row r="123" spans="1:63" ht="14.25" hidden="1" customHeight="1" x14ac:dyDescent="0.35">
      <c r="A123" s="19">
        <v>45777</v>
      </c>
      <c r="B123" s="17">
        <f>+'BD MD'!B122</f>
        <v>25819285</v>
      </c>
      <c r="C123" s="17">
        <f t="shared" si="31"/>
        <v>3278850.1724137929</v>
      </c>
      <c r="D123" s="18">
        <f>+Tabla22[[#This Row],[Vta 2025]]/(SUM($C$94:$C$123))</f>
        <v>3.9477960622891689E-2</v>
      </c>
      <c r="E123" s="17">
        <v>30386544</v>
      </c>
      <c r="F123" s="19">
        <v>46142</v>
      </c>
      <c r="G123" s="17">
        <f t="shared" si="32"/>
        <v>4665726.4877311597</v>
      </c>
      <c r="H123" s="17">
        <v>3834357.5068530198</v>
      </c>
      <c r="I123" s="17">
        <v>831368.98087813996</v>
      </c>
      <c r="J123" s="17">
        <v>2779622</v>
      </c>
      <c r="K123" s="17">
        <v>2367928</v>
      </c>
      <c r="L123" s="17">
        <v>15955.1724137931</v>
      </c>
      <c r="M123" s="17">
        <v>13584</v>
      </c>
      <c r="N123" s="17">
        <v>51237</v>
      </c>
      <c r="O123" s="17">
        <v>30645</v>
      </c>
      <c r="P123" s="17">
        <v>13462</v>
      </c>
      <c r="Q123" s="17">
        <v>1800</v>
      </c>
      <c r="R123" s="17">
        <v>80785</v>
      </c>
      <c r="S123" s="17">
        <v>78185</v>
      </c>
      <c r="T123" s="17">
        <v>259639</v>
      </c>
      <c r="U123" s="50">
        <v>230564</v>
      </c>
      <c r="V123" s="17">
        <v>53075</v>
      </c>
      <c r="W123" s="17">
        <v>119400</v>
      </c>
      <c r="X123" s="17">
        <v>18341</v>
      </c>
      <c r="Y123" s="17">
        <v>15064</v>
      </c>
      <c r="Z123" s="17">
        <v>6734</v>
      </c>
      <c r="AA123" s="17">
        <v>10948</v>
      </c>
      <c r="AB123" s="17">
        <v>0</v>
      </c>
      <c r="AC123" s="17">
        <v>2681</v>
      </c>
      <c r="AD123" s="17">
        <v>0</v>
      </c>
      <c r="AE123" s="17">
        <v>1816</v>
      </c>
      <c r="AF123" s="17">
        <f t="shared" si="33"/>
        <v>2872615</v>
      </c>
      <c r="AG123" s="18">
        <f t="shared" si="34"/>
        <v>0.6156843971788174</v>
      </c>
      <c r="AH123" s="17">
        <f t="shared" si="35"/>
        <v>-1793111.4877311597</v>
      </c>
      <c r="AI123" s="20">
        <f t="shared" si="36"/>
        <v>3.7476202425303917E-3</v>
      </c>
      <c r="AJ123" s="20">
        <f t="shared" si="37"/>
        <v>7.154938064119494E-2</v>
      </c>
      <c r="AK123" s="21">
        <f t="shared" si="54"/>
        <v>9.4535758985951152E-2</v>
      </c>
      <c r="AL123" s="21">
        <f t="shared" si="39"/>
        <v>-0.24031370437191812</v>
      </c>
      <c r="AM123" s="31"/>
      <c r="AO123" s="38">
        <f t="shared" si="40"/>
        <v>46142</v>
      </c>
      <c r="AP123" s="17">
        <f>+Tabla22[[#This Row],[Web + APP 2025]]+Tabla22[[#This Row],[Afiliados 2025]]+Tabla22[[#This Row],[TMK 2025]]+Tabla22[[#This Row],[WA 2025]]+Tabla22[[#This Row],[Ent. en Tienda 2025]]</f>
        <v>2941061.1724137929</v>
      </c>
      <c r="AQ123" s="17">
        <f>+Tabla22[[#This Row],[Meli Drop 2025]]+Tabla22[[#This Row],[Meli Full 2025]]+Tabla22[[#This Row],[Amazon Drop 2025]]+Tabla22[[#This Row],[Amazon Full 2025]]+Tabla22[[#This Row],[TikTok 2025]]+Tabla22[[#This Row],[Shein 2025]]</f>
        <v>337789</v>
      </c>
      <c r="AR123" s="17">
        <f t="shared" si="41"/>
        <v>2492142</v>
      </c>
      <c r="AS123" s="17">
        <f t="shared" si="42"/>
        <v>380473</v>
      </c>
      <c r="AT123" s="18">
        <f t="shared" si="43"/>
        <v>-0.15263850226051412</v>
      </c>
      <c r="AU123" s="18">
        <f t="shared" si="44"/>
        <v>0.12636290702183905</v>
      </c>
      <c r="AV123" s="49">
        <f t="shared" si="45"/>
        <v>3834357.5068530198</v>
      </c>
      <c r="AW123" s="49">
        <f t="shared" si="46"/>
        <v>831368.98087813996</v>
      </c>
      <c r="AX123" s="39">
        <f t="shared" si="47"/>
        <v>0.64995034906001259</v>
      </c>
      <c r="AY123" s="39">
        <f t="shared" si="48"/>
        <v>0.45764637453531454</v>
      </c>
      <c r="AZ123" s="39">
        <f t="shared" si="49"/>
        <v>0.6156843971788174</v>
      </c>
      <c r="BA123" s="18">
        <f t="shared" si="52"/>
        <v>2.3946693972552707E-2</v>
      </c>
      <c r="BB123" s="20">
        <f t="shared" si="53"/>
        <v>4.2655396067359512E-2</v>
      </c>
      <c r="BC123" s="17">
        <f t="shared" si="50"/>
        <v>-1342215.5068530198</v>
      </c>
      <c r="BD123" s="17">
        <f t="shared" si="51"/>
        <v>-450895.98087813996</v>
      </c>
    </row>
    <row r="124" spans="1:63" ht="14.25" hidden="1" customHeight="1" x14ac:dyDescent="0.35">
      <c r="A124" s="16">
        <v>45778</v>
      </c>
      <c r="B124" s="17">
        <f>+'BD MD'!B123</f>
        <v>39998805</v>
      </c>
      <c r="C124" s="17">
        <f t="shared" si="31"/>
        <v>2861889.7241379311</v>
      </c>
      <c r="D124" s="18">
        <f t="shared" ref="D124:D154" si="55">+C124/(SUM($C$124:$C$154))</f>
        <v>2.6995257789858985E-2</v>
      </c>
      <c r="E124" s="17">
        <v>44124537</v>
      </c>
      <c r="F124" s="19">
        <v>46143</v>
      </c>
      <c r="G124" s="17">
        <f t="shared" si="32"/>
        <v>3662928.8948852308</v>
      </c>
      <c r="H124" s="17">
        <v>3090983.4582338501</v>
      </c>
      <c r="I124" s="17">
        <v>571945.43665138097</v>
      </c>
      <c r="J124" s="17">
        <v>2245026</v>
      </c>
      <c r="K124" s="17">
        <v>2069924</v>
      </c>
      <c r="L124" s="17">
        <v>19726.724137931</v>
      </c>
      <c r="M124" s="17">
        <v>31463</v>
      </c>
      <c r="N124" s="17">
        <v>14608</v>
      </c>
      <c r="O124" s="17">
        <v>2522</v>
      </c>
      <c r="P124" s="17">
        <v>195</v>
      </c>
      <c r="Q124" s="17">
        <v>0</v>
      </c>
      <c r="R124" s="17">
        <v>107730</v>
      </c>
      <c r="S124" s="17">
        <v>33966</v>
      </c>
      <c r="T124" s="17">
        <v>402948</v>
      </c>
      <c r="U124" s="17">
        <v>215596</v>
      </c>
      <c r="V124" s="17">
        <v>54211</v>
      </c>
      <c r="W124" s="17">
        <v>89389</v>
      </c>
      <c r="X124" s="17">
        <v>12681</v>
      </c>
      <c r="Y124" s="17">
        <v>23623</v>
      </c>
      <c r="Z124" s="17">
        <v>4764</v>
      </c>
      <c r="AA124" s="17">
        <v>9448</v>
      </c>
      <c r="AB124" s="17">
        <v>0</v>
      </c>
      <c r="AC124" s="17">
        <v>2225</v>
      </c>
      <c r="AD124" s="17">
        <v>0</v>
      </c>
      <c r="AE124" s="17">
        <v>3134</v>
      </c>
      <c r="AF124" s="17">
        <f t="shared" si="33"/>
        <v>2481290</v>
      </c>
      <c r="AG124" s="18">
        <f t="shared" si="34"/>
        <v>0.6774059970055043</v>
      </c>
      <c r="AH124" s="17">
        <f t="shared" si="35"/>
        <v>-1181638.8948852308</v>
      </c>
      <c r="AI124" s="20">
        <f t="shared" si="36"/>
        <v>-0.16474736012186497</v>
      </c>
      <c r="AJ124" s="20">
        <f t="shared" si="37"/>
        <v>8.7082735835159533E-2</v>
      </c>
      <c r="AK124" s="21">
        <f t="shared" si="54"/>
        <v>5.6233791189695653E-2</v>
      </c>
      <c r="AL124" s="21">
        <f t="shared" si="39"/>
        <v>0.29345867414067417</v>
      </c>
      <c r="AM124" s="31"/>
      <c r="AO124" s="38">
        <f t="shared" si="40"/>
        <v>46143</v>
      </c>
      <c r="AP124" s="17">
        <f t="shared" ref="AP124:AP154" si="56">+J124+L124+N124+P124+R124</f>
        <v>2387285.7241379311</v>
      </c>
      <c r="AQ124" s="17">
        <f>+Tabla22[[#This Row],[Meli Drop 2025]]+Tabla22[[#This Row],[Meli Full 2025]]+Tabla22[[#This Row],[Amazon Drop 2025]]+Tabla22[[#This Row],[Amazon Full 2025]]+Tabla22[[#This Row],[TikTok 2025]]+Tabla22[[#This Row],[Shein 2025]]</f>
        <v>474604</v>
      </c>
      <c r="AR124" s="17">
        <f t="shared" si="41"/>
        <v>2137875</v>
      </c>
      <c r="AS124" s="17">
        <f t="shared" si="42"/>
        <v>343415</v>
      </c>
      <c r="AT124" s="18">
        <f t="shared" si="43"/>
        <v>-0.10447460126625419</v>
      </c>
      <c r="AU124" s="18">
        <f t="shared" si="44"/>
        <v>-0.27641781358774897</v>
      </c>
      <c r="AV124" s="49">
        <f t="shared" si="45"/>
        <v>3090983.4582338501</v>
      </c>
      <c r="AW124" s="49">
        <f t="shared" si="46"/>
        <v>571945.43665138097</v>
      </c>
      <c r="AX124" s="39">
        <f t="shared" si="47"/>
        <v>0.6916488000946972</v>
      </c>
      <c r="AY124" s="39">
        <f t="shared" si="48"/>
        <v>0.60043314972599815</v>
      </c>
      <c r="AZ124" s="39">
        <f t="shared" si="49"/>
        <v>0.6774059970055043</v>
      </c>
      <c r="BA124" s="18">
        <v>2.0507999521570501E-2</v>
      </c>
      <c r="BB124" s="20">
        <v>2.8792812422046E-2</v>
      </c>
      <c r="BC124" s="17">
        <f t="shared" si="50"/>
        <v>-953108.45823385008</v>
      </c>
      <c r="BD124" s="17">
        <f t="shared" si="51"/>
        <v>-228530.43665138097</v>
      </c>
      <c r="BF124" s="27">
        <f t="shared" ref="BF124:BF147" si="57">+AP124/(SUM($AP$124:$AP$147))</f>
        <v>3.9050130105673077E-2</v>
      </c>
      <c r="BG124" s="27">
        <f t="shared" ref="BG124:BG147" si="58">+AQ124/(SUM($AQ$124:$AQ$147))</f>
        <v>3.4387076538422885E-2</v>
      </c>
      <c r="BI124" s="6">
        <f>+SUM(AP124:AP134)</f>
        <v>26787953.482758623</v>
      </c>
      <c r="BJ124">
        <f>+BI124/11</f>
        <v>2435268.4984326023</v>
      </c>
    </row>
    <row r="125" spans="1:63" ht="14.25" hidden="1" customHeight="1" x14ac:dyDescent="0.35">
      <c r="A125" s="19">
        <v>45779</v>
      </c>
      <c r="B125" s="17">
        <f>+'BD MD'!B124</f>
        <v>34113604</v>
      </c>
      <c r="C125" s="17">
        <f t="shared" si="31"/>
        <v>2970705.9655172415</v>
      </c>
      <c r="D125" s="18">
        <f t="shared" si="55"/>
        <v>2.8021685350285989E-2</v>
      </c>
      <c r="E125" s="17">
        <v>39743152</v>
      </c>
      <c r="F125" s="19">
        <v>46144</v>
      </c>
      <c r="G125" s="17">
        <f t="shared" si="32"/>
        <v>3806845.0181720783</v>
      </c>
      <c r="H125" s="17">
        <v>3283565.1481157802</v>
      </c>
      <c r="I125" s="17">
        <v>523279.87005629798</v>
      </c>
      <c r="J125" s="17">
        <v>2361198</v>
      </c>
      <c r="K125" s="17">
        <v>1930522</v>
      </c>
      <c r="L125" s="17">
        <v>17493.965517241399</v>
      </c>
      <c r="M125" s="17">
        <v>20804</v>
      </c>
      <c r="N125" s="17">
        <v>63530</v>
      </c>
      <c r="O125" s="17">
        <v>-732</v>
      </c>
      <c r="P125" s="17">
        <v>10847</v>
      </c>
      <c r="Q125" s="17">
        <v>1144</v>
      </c>
      <c r="R125" s="17">
        <v>83416</v>
      </c>
      <c r="S125" s="17">
        <v>87762</v>
      </c>
      <c r="T125" s="17">
        <v>355472</v>
      </c>
      <c r="U125" s="17">
        <v>178276</v>
      </c>
      <c r="V125" s="17">
        <v>50730</v>
      </c>
      <c r="W125" s="17">
        <v>69883</v>
      </c>
      <c r="X125" s="17">
        <v>19076</v>
      </c>
      <c r="Y125" s="17">
        <v>10926</v>
      </c>
      <c r="Z125" s="17">
        <v>8943</v>
      </c>
      <c r="AA125" s="17">
        <v>4862</v>
      </c>
      <c r="AB125" s="17">
        <v>0</v>
      </c>
      <c r="AC125" s="17">
        <v>447</v>
      </c>
      <c r="AD125" s="17">
        <v>0</v>
      </c>
      <c r="AE125" s="17">
        <v>4607</v>
      </c>
      <c r="AF125" s="17">
        <f t="shared" si="33"/>
        <v>2308501</v>
      </c>
      <c r="AG125" s="18">
        <f t="shared" si="34"/>
        <v>0.60640792808225907</v>
      </c>
      <c r="AH125" s="17">
        <f t="shared" si="35"/>
        <v>-1498344.0181720783</v>
      </c>
      <c r="AI125" s="20">
        <f t="shared" si="36"/>
        <v>2.2599130851069349E-2</v>
      </c>
      <c r="AJ125" s="20">
        <f t="shared" si="37"/>
        <v>5.9951768094176246E-2</v>
      </c>
      <c r="AK125" s="21">
        <f t="shared" si="54"/>
        <v>5.8085503635947146E-2</v>
      </c>
      <c r="AL125" s="21">
        <f t="shared" si="39"/>
        <v>5.5454839994688587E-2</v>
      </c>
      <c r="AM125" s="31"/>
      <c r="AO125" s="38">
        <f t="shared" si="40"/>
        <v>46144</v>
      </c>
      <c r="AP125" s="17">
        <f t="shared" si="56"/>
        <v>2536484.9655172415</v>
      </c>
      <c r="AQ125" s="17">
        <f>+Tabla22[[#This Row],[Meli Drop 2025]]+Tabla22[[#This Row],[Meli Full 2025]]+Tabla22[[#This Row],[Amazon Drop 2025]]+Tabla22[[#This Row],[Amazon Full 2025]]+Tabla22[[#This Row],[TikTok 2025]]+Tabla22[[#This Row],[Shein 2025]]</f>
        <v>434221</v>
      </c>
      <c r="AR125" s="17">
        <f t="shared" si="41"/>
        <v>2039500</v>
      </c>
      <c r="AS125" s="17">
        <f t="shared" si="42"/>
        <v>269001</v>
      </c>
      <c r="AT125" s="18">
        <f t="shared" si="43"/>
        <v>-0.19593452051701632</v>
      </c>
      <c r="AU125" s="18">
        <f t="shared" si="44"/>
        <v>-0.38049748860603239</v>
      </c>
      <c r="AV125" s="49">
        <f t="shared" si="45"/>
        <v>3283565.1481157802</v>
      </c>
      <c r="AW125" s="49">
        <f t="shared" si="46"/>
        <v>523279.87005629798</v>
      </c>
      <c r="AX125" s="39">
        <f t="shared" si="47"/>
        <v>0.62112365919413337</v>
      </c>
      <c r="AY125" s="39">
        <f t="shared" si="48"/>
        <v>0.5140671663350227</v>
      </c>
      <c r="AZ125" s="39">
        <f t="shared" si="49"/>
        <v>0.60640792808225907</v>
      </c>
      <c r="BA125" s="18">
        <v>1.8763019401976899E-2</v>
      </c>
      <c r="BB125" s="20">
        <v>3.0554491064355899E-2</v>
      </c>
      <c r="BC125" s="17">
        <f t="shared" si="50"/>
        <v>-1244065.1481157802</v>
      </c>
      <c r="BD125" s="17">
        <f t="shared" si="51"/>
        <v>-254278.87005629798</v>
      </c>
      <c r="BF125" s="27">
        <f t="shared" si="57"/>
        <v>4.149066318833694E-2</v>
      </c>
      <c r="BG125" s="27">
        <f t="shared" si="58"/>
        <v>3.146115658863078E-2</v>
      </c>
      <c r="BI125" s="6">
        <f>+SUM(AP135:AP154)</f>
        <v>56084198.344827585</v>
      </c>
      <c r="BJ125">
        <f>+BI125/20</f>
        <v>2804209.9172413792</v>
      </c>
      <c r="BK125">
        <f>+BJ125/BJ124-1</f>
        <v>0.15149927781936023</v>
      </c>
    </row>
    <row r="126" spans="1:63" ht="14.25" hidden="1" customHeight="1" x14ac:dyDescent="0.35">
      <c r="A126" s="16">
        <v>45780</v>
      </c>
      <c r="B126" s="17">
        <f>+'BD MD'!B125</f>
        <v>37655000</v>
      </c>
      <c r="C126" s="17">
        <f t="shared" si="31"/>
        <v>2257483.8275862066</v>
      </c>
      <c r="D126" s="18">
        <f t="shared" si="55"/>
        <v>2.1294097172274592E-2</v>
      </c>
      <c r="E126" s="17">
        <v>39483198</v>
      </c>
      <c r="F126" s="19">
        <v>46145</v>
      </c>
      <c r="G126" s="17">
        <f t="shared" si="32"/>
        <v>2883172.567160266</v>
      </c>
      <c r="H126" s="17">
        <v>2314560.4380195201</v>
      </c>
      <c r="I126" s="17">
        <v>568612.12914074596</v>
      </c>
      <c r="J126" s="17">
        <v>1666165</v>
      </c>
      <c r="K126" s="17">
        <v>2628259</v>
      </c>
      <c r="L126" s="17">
        <v>20994.827586206899</v>
      </c>
      <c r="M126" s="17">
        <v>23026</v>
      </c>
      <c r="N126" s="17">
        <v>23268</v>
      </c>
      <c r="O126" s="17">
        <v>11669</v>
      </c>
      <c r="P126" s="17">
        <v>3184</v>
      </c>
      <c r="Q126" s="17">
        <v>740</v>
      </c>
      <c r="R126" s="17">
        <v>72034</v>
      </c>
      <c r="S126" s="17">
        <v>66322</v>
      </c>
      <c r="T126" s="17">
        <v>398776</v>
      </c>
      <c r="U126" s="17">
        <v>227157</v>
      </c>
      <c r="V126" s="17">
        <v>45043</v>
      </c>
      <c r="W126" s="17">
        <v>91628</v>
      </c>
      <c r="X126" s="17">
        <v>18901</v>
      </c>
      <c r="Y126" s="17">
        <v>19133</v>
      </c>
      <c r="Z126" s="17">
        <v>9118</v>
      </c>
      <c r="AA126" s="17">
        <v>8602</v>
      </c>
      <c r="AB126" s="17">
        <v>0</v>
      </c>
      <c r="AC126" s="17">
        <v>370</v>
      </c>
      <c r="AD126" s="17">
        <v>0</v>
      </c>
      <c r="AE126" s="17">
        <v>5416</v>
      </c>
      <c r="AF126" s="17">
        <f t="shared" si="33"/>
        <v>3082322</v>
      </c>
      <c r="AG126" s="18">
        <f t="shared" si="34"/>
        <v>1.0690730187669215</v>
      </c>
      <c r="AH126" s="17">
        <f t="shared" si="35"/>
        <v>199149.43283973401</v>
      </c>
      <c r="AI126" s="20">
        <f t="shared" si="36"/>
        <v>4.1257143610655245E-2</v>
      </c>
      <c r="AJ126" s="20">
        <f t="shared" si="37"/>
        <v>7.5454684170121994E-2</v>
      </c>
      <c r="AK126" s="21">
        <f t="shared" si="54"/>
        <v>7.8066675348840792E-2</v>
      </c>
      <c r="AL126" s="21">
        <f t="shared" si="39"/>
        <v>6.4182771963274821E-3</v>
      </c>
      <c r="AM126" s="31"/>
      <c r="AO126" s="38">
        <f t="shared" si="40"/>
        <v>46145</v>
      </c>
      <c r="AP126" s="17">
        <f t="shared" si="56"/>
        <v>1785645.8275862068</v>
      </c>
      <c r="AQ126" s="17">
        <f>+Tabla22[[#This Row],[Meli Drop 2025]]+Tabla22[[#This Row],[Meli Full 2025]]+Tabla22[[#This Row],[Amazon Drop 2025]]+Tabla22[[#This Row],[Amazon Full 2025]]+Tabla22[[#This Row],[TikTok 2025]]+Tabla22[[#This Row],[Shein 2025]]</f>
        <v>471838</v>
      </c>
      <c r="AR126" s="17">
        <f t="shared" si="41"/>
        <v>2730016</v>
      </c>
      <c r="AS126" s="17">
        <f t="shared" si="42"/>
        <v>352306</v>
      </c>
      <c r="AT126" s="18">
        <f t="shared" si="43"/>
        <v>0.52886757151073471</v>
      </c>
      <c r="AU126" s="18">
        <f t="shared" si="44"/>
        <v>-0.25333271165103277</v>
      </c>
      <c r="AV126" s="49">
        <f t="shared" si="45"/>
        <v>2314560.4380195201</v>
      </c>
      <c r="AW126" s="49">
        <f t="shared" si="46"/>
        <v>568612.12914074596</v>
      </c>
      <c r="AX126" s="39">
        <f t="shared" si="47"/>
        <v>1.1794965277882177</v>
      </c>
      <c r="AY126" s="39">
        <f t="shared" si="48"/>
        <v>0.6195893157122494</v>
      </c>
      <c r="AZ126" s="39">
        <f t="shared" si="49"/>
        <v>1.0690730187669215</v>
      </c>
      <c r="BA126" s="18">
        <v>2.0388478559512299E-2</v>
      </c>
      <c r="BB126" s="20">
        <v>2.1632842283911598E-2</v>
      </c>
      <c r="BC126" s="17">
        <f t="shared" si="50"/>
        <v>415455.56198047986</v>
      </c>
      <c r="BD126" s="17">
        <f t="shared" si="51"/>
        <v>-216306.12914074596</v>
      </c>
      <c r="BF126" s="27">
        <f t="shared" si="57"/>
        <v>2.9208779319900482E-2</v>
      </c>
      <c r="BG126" s="27">
        <f t="shared" si="58"/>
        <v>3.4186668084837842E-2</v>
      </c>
    </row>
    <row r="127" spans="1:63" ht="14.25" hidden="1" customHeight="1" x14ac:dyDescent="0.35">
      <c r="A127" s="19">
        <v>45781</v>
      </c>
      <c r="B127" s="17">
        <f>+'BD MD'!B126</f>
        <v>39231400</v>
      </c>
      <c r="C127" s="17">
        <f t="shared" si="31"/>
        <v>2960192.8965517241</v>
      </c>
      <c r="D127" s="18">
        <f t="shared" si="55"/>
        <v>2.7922519053103733E-2</v>
      </c>
      <c r="E127" s="17">
        <v>32627546</v>
      </c>
      <c r="F127" s="19">
        <v>46146</v>
      </c>
      <c r="G127" s="17">
        <f t="shared" si="32"/>
        <v>3791917.7701865463</v>
      </c>
      <c r="H127" s="17">
        <v>3166007.94079248</v>
      </c>
      <c r="I127" s="17">
        <v>625909.82939406601</v>
      </c>
      <c r="J127" s="17">
        <v>2338777</v>
      </c>
      <c r="K127" s="17">
        <v>4124173</v>
      </c>
      <c r="L127" s="17">
        <v>20781.896551724101</v>
      </c>
      <c r="M127" s="17">
        <v>25420</v>
      </c>
      <c r="N127" s="17">
        <v>21236</v>
      </c>
      <c r="O127" s="17">
        <v>28207</v>
      </c>
      <c r="P127" s="17">
        <v>2543</v>
      </c>
      <c r="Q127" s="17">
        <v>5623</v>
      </c>
      <c r="R127" s="17">
        <v>57471</v>
      </c>
      <c r="S127" s="17">
        <v>67376</v>
      </c>
      <c r="T127" s="17">
        <v>451270</v>
      </c>
      <c r="U127" s="17">
        <v>521359</v>
      </c>
      <c r="V127" s="17">
        <v>37594</v>
      </c>
      <c r="W127" s="51">
        <v>170941</v>
      </c>
      <c r="X127" s="17">
        <v>17703</v>
      </c>
      <c r="Y127" s="51">
        <v>18893</v>
      </c>
      <c r="Z127" s="17">
        <v>12817</v>
      </c>
      <c r="AA127" s="17">
        <v>10593</v>
      </c>
      <c r="AB127" s="17">
        <v>0</v>
      </c>
      <c r="AC127" s="17">
        <v>2031</v>
      </c>
      <c r="AD127" s="17">
        <v>0</v>
      </c>
      <c r="AE127" s="17">
        <v>2109</v>
      </c>
      <c r="AF127" s="17">
        <f t="shared" si="33"/>
        <v>4976725</v>
      </c>
      <c r="AG127" s="18">
        <f t="shared" si="34"/>
        <v>1.3124559396115718</v>
      </c>
      <c r="AH127" s="17">
        <f t="shared" si="35"/>
        <v>1184807.2298134537</v>
      </c>
      <c r="AI127" s="20">
        <f t="shared" si="36"/>
        <v>0.10648620529531061</v>
      </c>
      <c r="AJ127" s="20">
        <f t="shared" si="37"/>
        <v>0.12813969350990781</v>
      </c>
      <c r="AK127" s="21">
        <f t="shared" si="54"/>
        <v>0.1525313917264878</v>
      </c>
      <c r="AL127" s="21">
        <f t="shared" si="39"/>
        <v>-7.0454929869623428E-2</v>
      </c>
      <c r="AM127" s="31"/>
      <c r="AO127" s="38">
        <f t="shared" si="40"/>
        <v>46146</v>
      </c>
      <c r="AP127" s="17">
        <f t="shared" si="56"/>
        <v>2440808.8965517241</v>
      </c>
      <c r="AQ127" s="17">
        <f>+Tabla22[[#This Row],[Meli Drop 2025]]+Tabla22[[#This Row],[Meli Full 2025]]+Tabla22[[#This Row],[Amazon Drop 2025]]+Tabla22[[#This Row],[Amazon Full 2025]]+Tabla22[[#This Row],[TikTok 2025]]+Tabla22[[#This Row],[Shein 2025]]</f>
        <v>519384</v>
      </c>
      <c r="AR127" s="17">
        <f t="shared" si="41"/>
        <v>4250799</v>
      </c>
      <c r="AS127" s="17">
        <f t="shared" si="42"/>
        <v>725926</v>
      </c>
      <c r="AT127" s="18">
        <f t="shared" si="43"/>
        <v>0.74155338666839365</v>
      </c>
      <c r="AU127" s="18">
        <f t="shared" si="44"/>
        <v>0.39766723657255509</v>
      </c>
      <c r="AV127" s="49">
        <f t="shared" si="45"/>
        <v>3166007.94079248</v>
      </c>
      <c r="AW127" s="49">
        <f t="shared" si="46"/>
        <v>625909.82939406601</v>
      </c>
      <c r="AX127" s="39">
        <f t="shared" si="47"/>
        <v>1.342636872520284</v>
      </c>
      <c r="AY127" s="39">
        <f t="shared" si="48"/>
        <v>1.159793257605106</v>
      </c>
      <c r="AZ127" s="39">
        <f t="shared" si="49"/>
        <v>1.3124559396115718</v>
      </c>
      <c r="BA127" s="18">
        <v>2.2442977352722202E-2</v>
      </c>
      <c r="BB127" s="20">
        <v>2.94582032731436E-2</v>
      </c>
      <c r="BC127" s="17">
        <f t="shared" si="50"/>
        <v>1084791.05920752</v>
      </c>
      <c r="BD127" s="17">
        <f t="shared" si="51"/>
        <v>100016.17060593399</v>
      </c>
      <c r="BF127" s="27">
        <f t="shared" si="57"/>
        <v>3.9925637727276156E-2</v>
      </c>
      <c r="BG127" s="27">
        <f t="shared" si="58"/>
        <v>3.7631577822420867E-2</v>
      </c>
    </row>
    <row r="128" spans="1:63" ht="14.25" hidden="1" customHeight="1" x14ac:dyDescent="0.35">
      <c r="A128" s="16">
        <v>45782</v>
      </c>
      <c r="B128" s="17">
        <f>+'BD MD'!B127</f>
        <v>35100553</v>
      </c>
      <c r="C128" s="17">
        <f t="shared" si="31"/>
        <v>4497774.1034482755</v>
      </c>
      <c r="D128" s="18">
        <f t="shared" si="55"/>
        <v>4.2426013266360994E-2</v>
      </c>
      <c r="E128" s="17">
        <v>38637821</v>
      </c>
      <c r="F128" s="19">
        <v>46147</v>
      </c>
      <c r="G128" s="17">
        <f t="shared" si="32"/>
        <v>5750368.4992179256</v>
      </c>
      <c r="H128" s="17">
        <v>4850315.21632984</v>
      </c>
      <c r="I128" s="17">
        <v>900053.28288808605</v>
      </c>
      <c r="J128" s="17">
        <v>3540534</v>
      </c>
      <c r="K128" s="17">
        <v>4494478</v>
      </c>
      <c r="L128" s="17">
        <v>14493.103448275901</v>
      </c>
      <c r="M128" s="17">
        <v>24526</v>
      </c>
      <c r="N128" s="17">
        <v>86421</v>
      </c>
      <c r="O128" s="17">
        <v>55447</v>
      </c>
      <c r="P128" s="17">
        <v>8958</v>
      </c>
      <c r="Q128" s="17">
        <v>6329</v>
      </c>
      <c r="R128" s="17">
        <v>100498</v>
      </c>
      <c r="S128" s="17">
        <v>70316</v>
      </c>
      <c r="T128" s="17">
        <v>625936</v>
      </c>
      <c r="U128" s="17">
        <v>610542</v>
      </c>
      <c r="V128" s="17">
        <v>72774</v>
      </c>
      <c r="W128" s="17">
        <v>206091</v>
      </c>
      <c r="X128" s="17">
        <v>35858</v>
      </c>
      <c r="Y128" s="17">
        <v>34471</v>
      </c>
      <c r="Z128" s="17">
        <v>12302</v>
      </c>
      <c r="AA128" s="17">
        <v>15053</v>
      </c>
      <c r="AB128" s="17">
        <v>0</v>
      </c>
      <c r="AC128" s="17">
        <v>4388</v>
      </c>
      <c r="AD128" s="17">
        <v>0</v>
      </c>
      <c r="AE128" s="17">
        <v>4047</v>
      </c>
      <c r="AF128" s="17">
        <f t="shared" si="33"/>
        <v>5525688</v>
      </c>
      <c r="AG128" s="18">
        <f t="shared" si="34"/>
        <v>0.96092763459446418</v>
      </c>
      <c r="AH128" s="17">
        <f t="shared" si="35"/>
        <v>-224680.49921792559</v>
      </c>
      <c r="AI128" s="20">
        <f t="shared" si="36"/>
        <v>0.15128158524678503</v>
      </c>
      <c r="AJ128" s="20">
        <f t="shared" si="37"/>
        <v>0.14484918969528923</v>
      </c>
      <c r="AK128" s="21">
        <f t="shared" si="54"/>
        <v>0.14301241263061909</v>
      </c>
      <c r="AL128" s="21">
        <f t="shared" si="39"/>
        <v>0.16606804728781244</v>
      </c>
      <c r="AM128" s="31"/>
      <c r="AO128" s="38">
        <f t="shared" si="40"/>
        <v>46147</v>
      </c>
      <c r="AP128" s="17">
        <f t="shared" si="56"/>
        <v>3750904.1034482759</v>
      </c>
      <c r="AQ128" s="17">
        <f>+Tabla22[[#This Row],[Meli Drop 2025]]+Tabla22[[#This Row],[Meli Full 2025]]+Tabla22[[#This Row],[Amazon Drop 2025]]+Tabla22[[#This Row],[Amazon Full 2025]]+Tabla22[[#This Row],[TikTok 2025]]+Tabla22[[#This Row],[Shein 2025]]</f>
        <v>746870</v>
      </c>
      <c r="AR128" s="17">
        <f t="shared" si="41"/>
        <v>4651096</v>
      </c>
      <c r="AS128" s="17">
        <f t="shared" si="42"/>
        <v>874592</v>
      </c>
      <c r="AT128" s="18">
        <f t="shared" si="43"/>
        <v>0.23999331140568514</v>
      </c>
      <c r="AU128" s="18">
        <f t="shared" si="44"/>
        <v>0.17100968039953401</v>
      </c>
      <c r="AV128" s="49">
        <f t="shared" si="45"/>
        <v>4850315.21632984</v>
      </c>
      <c r="AW128" s="49">
        <f t="shared" si="46"/>
        <v>900053.28288808605</v>
      </c>
      <c r="AX128" s="39">
        <f t="shared" si="47"/>
        <v>0.95892654241128139</v>
      </c>
      <c r="AY128" s="39">
        <f t="shared" si="48"/>
        <v>0.9717113604581431</v>
      </c>
      <c r="AZ128" s="39">
        <f t="shared" si="49"/>
        <v>0.96092763459446418</v>
      </c>
      <c r="BA128" s="18">
        <v>3.2272820293708697E-2</v>
      </c>
      <c r="BB128" s="20">
        <v>4.5048978769950197E-2</v>
      </c>
      <c r="BC128" s="17">
        <f t="shared" si="50"/>
        <v>-199219.21632984001</v>
      </c>
      <c r="BD128" s="17">
        <f t="shared" si="51"/>
        <v>-25461.282888086047</v>
      </c>
      <c r="BF128" s="27">
        <f t="shared" si="57"/>
        <v>6.1355577077582921E-2</v>
      </c>
      <c r="BG128" s="27">
        <f t="shared" si="58"/>
        <v>5.4113905180428107E-2</v>
      </c>
    </row>
    <row r="129" spans="1:59" ht="14.25" hidden="1" customHeight="1" x14ac:dyDescent="0.35">
      <c r="A129" s="19">
        <v>45783</v>
      </c>
      <c r="B129" s="17">
        <f>+'BD MD'!B128</f>
        <v>33135134</v>
      </c>
      <c r="C129" s="17">
        <f t="shared" si="31"/>
        <v>4799597.3103448283</v>
      </c>
      <c r="D129" s="18">
        <f t="shared" si="55"/>
        <v>4.5273011600508443E-2</v>
      </c>
      <c r="E129" s="17">
        <v>34646775</v>
      </c>
      <c r="F129" s="19">
        <v>46148</v>
      </c>
      <c r="G129" s="17">
        <f t="shared" si="32"/>
        <v>6152825.8702747505</v>
      </c>
      <c r="H129" s="17">
        <v>5175071.3334592404</v>
      </c>
      <c r="I129" s="17">
        <v>977754.53681551002</v>
      </c>
      <c r="J129" s="17">
        <v>3783300</v>
      </c>
      <c r="K129" s="17">
        <v>4088680</v>
      </c>
      <c r="L129" s="17">
        <v>19229.310344827602</v>
      </c>
      <c r="M129" s="17">
        <v>22236</v>
      </c>
      <c r="N129" s="17">
        <v>89988</v>
      </c>
      <c r="O129" s="17">
        <v>15858</v>
      </c>
      <c r="P129" s="17">
        <v>20578</v>
      </c>
      <c r="Q129" s="17">
        <v>0</v>
      </c>
      <c r="R129" s="17">
        <v>75155</v>
      </c>
      <c r="S129" s="17">
        <v>103050</v>
      </c>
      <c r="T129" s="17">
        <v>719475</v>
      </c>
      <c r="U129" s="17">
        <v>584166</v>
      </c>
      <c r="V129" s="17">
        <v>54500</v>
      </c>
      <c r="W129" s="17">
        <v>168986</v>
      </c>
      <c r="X129" s="17">
        <v>28166</v>
      </c>
      <c r="Y129" s="17">
        <v>21276</v>
      </c>
      <c r="Z129" s="17">
        <v>9206</v>
      </c>
      <c r="AA129" s="17">
        <v>9621</v>
      </c>
      <c r="AB129" s="17">
        <v>0</v>
      </c>
      <c r="AC129" s="17">
        <v>4594</v>
      </c>
      <c r="AD129" s="17">
        <v>0</v>
      </c>
      <c r="AE129" s="17">
        <v>0</v>
      </c>
      <c r="AF129" s="17">
        <f t="shared" si="33"/>
        <v>5018467</v>
      </c>
      <c r="AG129" s="18">
        <f t="shared" si="34"/>
        <v>0.815636116771155</v>
      </c>
      <c r="AH129" s="17">
        <f t="shared" si="35"/>
        <v>-1134358.8702747505</v>
      </c>
      <c r="AI129" s="20">
        <f t="shared" si="36"/>
        <v>0.19473919224373293</v>
      </c>
      <c r="AJ129" s="20">
        <f t="shared" si="37"/>
        <v>0.10636872994668767</v>
      </c>
      <c r="AK129" s="21">
        <f t="shared" si="54"/>
        <v>0.14484658384510535</v>
      </c>
      <c r="AL129" s="21">
        <f t="shared" si="39"/>
        <v>-0.12263798618546595</v>
      </c>
      <c r="AM129" s="31"/>
      <c r="AO129" s="38">
        <f t="shared" si="40"/>
        <v>46148</v>
      </c>
      <c r="AP129" s="17">
        <f t="shared" si="56"/>
        <v>3988250.3103448278</v>
      </c>
      <c r="AQ129" s="17">
        <f>+Tabla22[[#This Row],[Meli Drop 2025]]+Tabla22[[#This Row],[Meli Full 2025]]+Tabla22[[#This Row],[Amazon Drop 2025]]+Tabla22[[#This Row],[Amazon Full 2025]]+Tabla22[[#This Row],[TikTok 2025]]+Tabla22[[#This Row],[Shein 2025]]</f>
        <v>811347</v>
      </c>
      <c r="AR129" s="17">
        <f t="shared" si="41"/>
        <v>4229824</v>
      </c>
      <c r="AS129" s="17">
        <f t="shared" si="42"/>
        <v>788643</v>
      </c>
      <c r="AT129" s="18">
        <f t="shared" si="43"/>
        <v>6.0571346043294172E-2</v>
      </c>
      <c r="AU129" s="18">
        <f t="shared" si="44"/>
        <v>-2.7983094779422402E-2</v>
      </c>
      <c r="AV129" s="49">
        <f t="shared" si="45"/>
        <v>5175071.3334592404</v>
      </c>
      <c r="AW129" s="49">
        <f t="shared" si="46"/>
        <v>977754.53681551002</v>
      </c>
      <c r="AX129" s="39">
        <f t="shared" si="47"/>
        <v>0.81734602818945179</v>
      </c>
      <c r="AY129" s="39">
        <f t="shared" si="48"/>
        <v>0.8065858764190087</v>
      </c>
      <c r="AZ129" s="39">
        <f t="shared" si="49"/>
        <v>0.815636116771155</v>
      </c>
      <c r="BA129" s="18">
        <v>3.5058920463855399E-2</v>
      </c>
      <c r="BB129" s="20">
        <v>4.7942802311124501E-2</v>
      </c>
      <c r="BC129" s="17">
        <f t="shared" si="50"/>
        <v>-945247.33345924038</v>
      </c>
      <c r="BD129" s="17">
        <f t="shared" si="51"/>
        <v>-189111.53681551002</v>
      </c>
      <c r="BF129" s="27">
        <f t="shared" si="57"/>
        <v>6.523797798405391E-2</v>
      </c>
      <c r="BG129" s="27">
        <f t="shared" si="58"/>
        <v>5.8785537813039489E-2</v>
      </c>
    </row>
    <row r="130" spans="1:59" ht="14.25" hidden="1" customHeight="1" x14ac:dyDescent="0.35">
      <c r="A130" s="16">
        <v>45784</v>
      </c>
      <c r="B130" s="17">
        <f>+'BD MD'!B129</f>
        <v>39489714</v>
      </c>
      <c r="C130" s="17">
        <f t="shared" si="31"/>
        <v>4200470.7241379311</v>
      </c>
      <c r="D130" s="18">
        <f t="shared" si="55"/>
        <v>3.9621648968677751E-2</v>
      </c>
      <c r="E130" s="17">
        <v>41686093</v>
      </c>
      <c r="F130" s="19">
        <v>46149</v>
      </c>
      <c r="G130" s="17">
        <f t="shared" si="32"/>
        <v>5371374.2149370881</v>
      </c>
      <c r="H130" s="17">
        <v>4409425.7740396904</v>
      </c>
      <c r="I130" s="17">
        <v>961948.44089739805</v>
      </c>
      <c r="J130" s="17">
        <v>3194165</v>
      </c>
      <c r="K130" s="17">
        <v>3214171</v>
      </c>
      <c r="L130" s="17">
        <v>17851.724137931</v>
      </c>
      <c r="M130" s="17">
        <v>22409</v>
      </c>
      <c r="N130" s="17">
        <v>61190</v>
      </c>
      <c r="O130" s="17">
        <v>45962</v>
      </c>
      <c r="P130" s="17">
        <v>12303</v>
      </c>
      <c r="Q130" s="17">
        <v>0</v>
      </c>
      <c r="R130" s="17">
        <v>116730</v>
      </c>
      <c r="S130" s="17">
        <v>87902</v>
      </c>
      <c r="T130" s="17">
        <v>705144</v>
      </c>
      <c r="U130" s="17">
        <v>433044</v>
      </c>
      <c r="V130" s="17">
        <v>60042</v>
      </c>
      <c r="W130" s="17">
        <v>142471</v>
      </c>
      <c r="X130" s="17">
        <v>17079</v>
      </c>
      <c r="Y130" s="17">
        <v>10390</v>
      </c>
      <c r="Z130" s="17">
        <v>15966</v>
      </c>
      <c r="AA130" s="17">
        <v>7381</v>
      </c>
      <c r="AB130" s="17">
        <v>0</v>
      </c>
      <c r="AC130" s="17">
        <v>2879</v>
      </c>
      <c r="AD130" s="17">
        <v>0</v>
      </c>
      <c r="AE130" s="17">
        <v>1248</v>
      </c>
      <c r="AF130" s="17">
        <f t="shared" si="33"/>
        <v>3967857</v>
      </c>
      <c r="AG130" s="18">
        <f t="shared" si="34"/>
        <v>0.73870425727664057</v>
      </c>
      <c r="AH130" s="17">
        <f t="shared" si="35"/>
        <v>-1403517.2149370881</v>
      </c>
      <c r="AI130" s="20">
        <f t="shared" si="36"/>
        <v>0.3707123654916491</v>
      </c>
      <c r="AJ130" s="20">
        <f t="shared" si="37"/>
        <v>6.3556130283059301E-2</v>
      </c>
      <c r="AK130" s="21">
        <f t="shared" si="54"/>
        <v>9.5184190084688439E-2</v>
      </c>
      <c r="AL130" s="21">
        <f t="shared" si="39"/>
        <v>-8.4751642008229489E-2</v>
      </c>
      <c r="AM130" s="31"/>
      <c r="AO130" s="38">
        <f t="shared" si="40"/>
        <v>46149</v>
      </c>
      <c r="AP130" s="17">
        <f t="shared" si="56"/>
        <v>3402239.7241379311</v>
      </c>
      <c r="AQ130" s="17">
        <f>+Tabla22[[#This Row],[Meli Drop 2025]]+Tabla22[[#This Row],[Meli Full 2025]]+Tabla22[[#This Row],[Amazon Drop 2025]]+Tabla22[[#This Row],[Amazon Full 2025]]+Tabla22[[#This Row],[TikTok 2025]]+Tabla22[[#This Row],[Shein 2025]]</f>
        <v>798231</v>
      </c>
      <c r="AR130" s="17">
        <f t="shared" si="41"/>
        <v>3370444</v>
      </c>
      <c r="AS130" s="17">
        <f t="shared" si="42"/>
        <v>597413</v>
      </c>
      <c r="AT130" s="18">
        <f t="shared" si="43"/>
        <v>-9.3455272749740637E-3</v>
      </c>
      <c r="AU130" s="18">
        <f t="shared" si="44"/>
        <v>-0.25157880362952578</v>
      </c>
      <c r="AV130" s="49">
        <f t="shared" si="45"/>
        <v>4409425.7740396904</v>
      </c>
      <c r="AW130" s="49">
        <f t="shared" si="46"/>
        <v>961948.44089739805</v>
      </c>
      <c r="AX130" s="39">
        <f t="shared" si="47"/>
        <v>0.76437254479786187</v>
      </c>
      <c r="AY130" s="39">
        <f t="shared" si="48"/>
        <v>0.62104471986323473</v>
      </c>
      <c r="AZ130" s="39">
        <f t="shared" si="49"/>
        <v>0.73870425727664057</v>
      </c>
      <c r="BA130" s="18">
        <v>3.4492168136178197E-2</v>
      </c>
      <c r="BB130" s="20">
        <v>4.0912980865481202E-2</v>
      </c>
      <c r="BC130" s="17">
        <f t="shared" si="50"/>
        <v>-1038981.7740396904</v>
      </c>
      <c r="BD130" s="17">
        <f t="shared" si="51"/>
        <v>-364535.44089739805</v>
      </c>
      <c r="BF130" s="27">
        <f t="shared" si="57"/>
        <v>5.5652284322293084E-2</v>
      </c>
      <c r="BG130" s="27">
        <f t="shared" si="58"/>
        <v>5.783522787911994E-2</v>
      </c>
    </row>
    <row r="131" spans="1:59" ht="14.25" hidden="1" customHeight="1" x14ac:dyDescent="0.35">
      <c r="A131" s="19">
        <v>45785</v>
      </c>
      <c r="B131" s="17">
        <f>+'BD MD'!B130</f>
        <v>45546209</v>
      </c>
      <c r="C131" s="17">
        <f t="shared" si="31"/>
        <v>2894740.7931034481</v>
      </c>
      <c r="D131" s="18">
        <f t="shared" si="55"/>
        <v>2.7305131041758551E-2</v>
      </c>
      <c r="E131" s="17">
        <v>43156233</v>
      </c>
      <c r="F131" s="19">
        <v>46150</v>
      </c>
      <c r="G131" s="17">
        <f t="shared" si="32"/>
        <v>3695975.1329928571</v>
      </c>
      <c r="H131" s="17">
        <v>2783426.1647910401</v>
      </c>
      <c r="I131" s="17">
        <v>912548.96820181701</v>
      </c>
      <c r="J131" s="17">
        <v>2000980</v>
      </c>
      <c r="K131" s="17">
        <v>1615018</v>
      </c>
      <c r="L131" s="17">
        <v>18313.793103448301</v>
      </c>
      <c r="M131" s="17">
        <v>19192</v>
      </c>
      <c r="N131" s="17">
        <v>30809</v>
      </c>
      <c r="O131" s="17">
        <v>7092</v>
      </c>
      <c r="P131" s="17">
        <v>14752</v>
      </c>
      <c r="Q131" s="17">
        <v>1998</v>
      </c>
      <c r="R131" s="17">
        <v>72647</v>
      </c>
      <c r="S131" s="17">
        <v>52205</v>
      </c>
      <c r="T131" s="17">
        <v>653374</v>
      </c>
      <c r="U131" s="17">
        <v>453556</v>
      </c>
      <c r="V131" s="17">
        <v>69136</v>
      </c>
      <c r="W131" s="17">
        <v>262519</v>
      </c>
      <c r="X131" s="17">
        <v>20501</v>
      </c>
      <c r="Y131" s="17">
        <v>32442</v>
      </c>
      <c r="Z131" s="17">
        <v>14228</v>
      </c>
      <c r="AA131" s="17">
        <v>12700</v>
      </c>
      <c r="AB131" s="17">
        <v>0</v>
      </c>
      <c r="AC131" s="17">
        <v>3174</v>
      </c>
      <c r="AD131" s="17">
        <v>0</v>
      </c>
      <c r="AE131" s="17">
        <v>1464</v>
      </c>
      <c r="AF131" s="17">
        <f t="shared" si="33"/>
        <v>2461360</v>
      </c>
      <c r="AG131" s="18">
        <f t="shared" si="34"/>
        <v>0.66595686156764977</v>
      </c>
      <c r="AH131" s="17">
        <f t="shared" si="35"/>
        <v>-1234615.1329928571</v>
      </c>
      <c r="AI131" s="20">
        <f t="shared" si="36"/>
        <v>0.18043194291758113</v>
      </c>
      <c r="AJ131" s="20">
        <f t="shared" si="37"/>
        <v>4.0822776359155426E-2</v>
      </c>
      <c r="AK131" s="21">
        <f t="shared" si="54"/>
        <v>5.7033708201547621E-2</v>
      </c>
      <c r="AL131" s="21">
        <f t="shared" si="39"/>
        <v>-0.15508721539484027</v>
      </c>
      <c r="AM131" s="31"/>
      <c r="AO131" s="38">
        <f t="shared" si="40"/>
        <v>46150</v>
      </c>
      <c r="AP131" s="17">
        <f t="shared" si="56"/>
        <v>2137501.7931034481</v>
      </c>
      <c r="AQ131" s="17">
        <f>+Tabla22[[#This Row],[Meli Drop 2025]]+Tabla22[[#This Row],[Meli Full 2025]]+Tabla22[[#This Row],[Amazon Drop 2025]]+Tabla22[[#This Row],[Amazon Full 2025]]+Tabla22[[#This Row],[TikTok 2025]]+Tabla22[[#This Row],[Shein 2025]]</f>
        <v>757239</v>
      </c>
      <c r="AR131" s="17">
        <f t="shared" si="41"/>
        <v>1695505</v>
      </c>
      <c r="AS131" s="17">
        <f t="shared" si="42"/>
        <v>765855</v>
      </c>
      <c r="AT131" s="18">
        <f t="shared" si="43"/>
        <v>-0.20678195196351679</v>
      </c>
      <c r="AU131" s="18">
        <f t="shared" si="44"/>
        <v>1.137817782760786E-2</v>
      </c>
      <c r="AV131" s="49">
        <f t="shared" si="45"/>
        <v>2783426.1647910401</v>
      </c>
      <c r="AW131" s="49">
        <f t="shared" si="46"/>
        <v>912548.96820181701</v>
      </c>
      <c r="AX131" s="39">
        <f t="shared" si="47"/>
        <v>0.60914315653394979</v>
      </c>
      <c r="AY131" s="39">
        <f t="shared" si="48"/>
        <v>0.83924811345644457</v>
      </c>
      <c r="AZ131" s="39">
        <f t="shared" si="49"/>
        <v>0.66595686156764977</v>
      </c>
      <c r="BA131" s="18">
        <v>3.2720872663767102E-2</v>
      </c>
      <c r="BB131" s="20">
        <v>2.5793952825640402E-2</v>
      </c>
      <c r="BC131" s="17">
        <f t="shared" si="50"/>
        <v>-1087921.1647910401</v>
      </c>
      <c r="BD131" s="17">
        <f t="shared" si="51"/>
        <v>-146693.96820181701</v>
      </c>
      <c r="BF131" s="27">
        <f t="shared" si="57"/>
        <v>3.4964278585438595E-2</v>
      </c>
      <c r="BG131" s="27">
        <f t="shared" si="58"/>
        <v>5.4865183291499454E-2</v>
      </c>
    </row>
    <row r="132" spans="1:59" ht="14.25" hidden="1" customHeight="1" x14ac:dyDescent="0.35">
      <c r="A132" s="16">
        <v>45786</v>
      </c>
      <c r="B132" s="17">
        <f>+'BD MD'!B131</f>
        <v>51077737</v>
      </c>
      <c r="C132" s="17">
        <f t="shared" ref="C132:C195" si="59">+J132+L132+N132+P132+R132+T132+V132+X132+Z132+AB132+AD132</f>
        <v>2085135.0344827585</v>
      </c>
      <c r="D132" s="18">
        <f t="shared" si="55"/>
        <v>1.9668388096080146E-2</v>
      </c>
      <c r="E132" s="17">
        <v>60125006</v>
      </c>
      <c r="F132" s="19">
        <v>46151</v>
      </c>
      <c r="G132" s="17">
        <f t="shared" ref="G132:G195" si="60">+H132+I132</f>
        <v>2650696.7502161767</v>
      </c>
      <c r="H132" s="17">
        <v>1973041.1177855299</v>
      </c>
      <c r="I132" s="17">
        <v>677655.63243064703</v>
      </c>
      <c r="J132" s="17">
        <v>1368567</v>
      </c>
      <c r="K132" s="17">
        <v>1558074</v>
      </c>
      <c r="L132" s="17">
        <v>19131.034482758601</v>
      </c>
      <c r="M132" s="17">
        <v>23729</v>
      </c>
      <c r="N132" s="17">
        <v>16561</v>
      </c>
      <c r="O132" s="17">
        <v>12190</v>
      </c>
      <c r="P132" s="17">
        <v>4452</v>
      </c>
      <c r="Q132" s="17">
        <v>4102</v>
      </c>
      <c r="R132" s="17">
        <v>114101</v>
      </c>
      <c r="S132" s="17">
        <v>87416</v>
      </c>
      <c r="T132" s="17">
        <v>495524</v>
      </c>
      <c r="U132" s="17">
        <v>361074</v>
      </c>
      <c r="V132" s="17">
        <v>50019</v>
      </c>
      <c r="W132" s="17">
        <v>192329</v>
      </c>
      <c r="X132" s="17">
        <v>9383</v>
      </c>
      <c r="Y132" s="17">
        <v>9552</v>
      </c>
      <c r="Z132" s="17">
        <v>7397</v>
      </c>
      <c r="AA132" s="17">
        <v>10260</v>
      </c>
      <c r="AB132" s="17">
        <v>0</v>
      </c>
      <c r="AC132" s="17">
        <v>388</v>
      </c>
      <c r="AD132" s="17">
        <v>0</v>
      </c>
      <c r="AE132" s="17">
        <v>646</v>
      </c>
      <c r="AF132" s="17">
        <f t="shared" ref="AF132:AF195" si="61">+AE132+AC132+AA132+Y132+W132+U132+S132+Q132+O132+M132+K132</f>
        <v>2259760</v>
      </c>
      <c r="AG132" s="18">
        <f t="shared" ref="AG132:AG195" si="62">+AF132/G132</f>
        <v>0.85251547534273997</v>
      </c>
      <c r="AH132" s="17">
        <f t="shared" ref="AH132:AH195" si="63">+AF132-G132</f>
        <v>-390936.75021617673</v>
      </c>
      <c r="AI132" s="20">
        <f t="shared" ref="AI132:AI195" si="64">+AF132/C133-1</f>
        <v>0.29390524464395873</v>
      </c>
      <c r="AJ132" s="20">
        <f t="shared" ref="AJ132:AJ195" si="65">+C133/B133</f>
        <v>4.3582780529247273E-2</v>
      </c>
      <c r="AK132" s="21">
        <f t="shared" ref="AK132:AK163" si="66">+AF132/E132</f>
        <v>3.7584362153743486E-2</v>
      </c>
      <c r="AL132" s="21">
        <f t="shared" ref="AL132:AL195" si="67">+E132/B133-1</f>
        <v>0.5004109441123743</v>
      </c>
      <c r="AM132" s="31"/>
      <c r="AO132" s="38">
        <f t="shared" ref="AO132:AO195" si="68">+F132</f>
        <v>46151</v>
      </c>
      <c r="AP132" s="17">
        <f t="shared" si="56"/>
        <v>1522812.0344827585</v>
      </c>
      <c r="AQ132" s="17">
        <f>+Tabla22[[#This Row],[Meli Drop 2025]]+Tabla22[[#This Row],[Meli Full 2025]]+Tabla22[[#This Row],[Amazon Drop 2025]]+Tabla22[[#This Row],[Amazon Full 2025]]+Tabla22[[#This Row],[TikTok 2025]]+Tabla22[[#This Row],[Shein 2025]]</f>
        <v>562323</v>
      </c>
      <c r="AR132" s="17">
        <f t="shared" ref="AR132:AR195" si="69">+K132+M132+O132+Q132+S132</f>
        <v>1685511</v>
      </c>
      <c r="AS132" s="17">
        <f t="shared" ref="AS132:AS195" si="70">+U132+W132+Y132+AA132+AC132+AE132</f>
        <v>574249</v>
      </c>
      <c r="AT132" s="18">
        <f t="shared" ref="AT132:AT195" si="71">+AR132/AP132-1</f>
        <v>0.10684113458067346</v>
      </c>
      <c r="AU132" s="18">
        <f t="shared" ref="AU132:AU195" si="72">+AS132/AQ132-1</f>
        <v>2.1208451370475778E-2</v>
      </c>
      <c r="AV132" s="49">
        <f t="shared" ref="AV132:AV195" si="73">+H132</f>
        <v>1973041.1177855299</v>
      </c>
      <c r="AW132" s="49">
        <f t="shared" ref="AW132:AW195" si="74">+I132</f>
        <v>677655.63243064703</v>
      </c>
      <c r="AX132" s="39">
        <f t="shared" ref="AX132:AX195" si="75">+AR132/AV132</f>
        <v>0.8542705901090174</v>
      </c>
      <c r="AY132" s="39">
        <f t="shared" ref="AY132:AY195" si="76">+AS132/AW132</f>
        <v>0.84740533763477588</v>
      </c>
      <c r="AZ132" s="39">
        <f t="shared" ref="AZ132:AZ195" si="77">+(AR132+AS132)/(AV132+AW132)</f>
        <v>0.85251547534273997</v>
      </c>
      <c r="BA132" s="18">
        <v>2.4298404174781699E-2</v>
      </c>
      <c r="BB132" s="20">
        <v>1.8454022810099498E-2</v>
      </c>
      <c r="BC132" s="17">
        <f t="shared" ref="BC132:BC195" si="78">+AR132-AV132</f>
        <v>-287530.11778552993</v>
      </c>
      <c r="BD132" s="17">
        <f t="shared" ref="BD132:BD195" si="79">+AS132-AW132</f>
        <v>-103406.63243064703</v>
      </c>
      <c r="BF132" s="27">
        <f t="shared" si="57"/>
        <v>2.4909464113060914E-2</v>
      </c>
      <c r="BG132" s="27">
        <f t="shared" si="58"/>
        <v>4.0742690833443403E-2</v>
      </c>
    </row>
    <row r="133" spans="1:59" ht="14.25" hidden="1" customHeight="1" x14ac:dyDescent="0.35">
      <c r="A133" s="19">
        <v>45787</v>
      </c>
      <c r="B133" s="17">
        <f>+'BD MD'!B132</f>
        <v>40072359</v>
      </c>
      <c r="C133" s="17">
        <f t="shared" si="59"/>
        <v>1746464.8275862068</v>
      </c>
      <c r="D133" s="18">
        <f t="shared" si="55"/>
        <v>1.6473824216204854E-2</v>
      </c>
      <c r="E133" s="17">
        <v>36716841</v>
      </c>
      <c r="F133" s="19">
        <v>46152</v>
      </c>
      <c r="G133" s="17">
        <f t="shared" si="60"/>
        <v>2216972.367587375</v>
      </c>
      <c r="H133" s="17">
        <v>1562118.43848599</v>
      </c>
      <c r="I133" s="17">
        <v>654853.92910138494</v>
      </c>
      <c r="J133" s="17">
        <v>1100345</v>
      </c>
      <c r="K133" s="17">
        <v>1920563</v>
      </c>
      <c r="L133" s="17">
        <v>16069.8275862069</v>
      </c>
      <c r="M133" s="17">
        <v>20514</v>
      </c>
      <c r="N133" s="17">
        <v>8962</v>
      </c>
      <c r="O133" s="17">
        <v>-705</v>
      </c>
      <c r="P133" s="17">
        <v>3222</v>
      </c>
      <c r="Q133" s="17">
        <v>2209</v>
      </c>
      <c r="R133" s="17">
        <v>74464</v>
      </c>
      <c r="S133" s="17">
        <v>48263</v>
      </c>
      <c r="T133" s="17">
        <v>461097</v>
      </c>
      <c r="U133" s="17">
        <v>395528</v>
      </c>
      <c r="V133" s="17">
        <v>61803</v>
      </c>
      <c r="W133" s="17">
        <v>141929</v>
      </c>
      <c r="X133" s="17">
        <v>8257</v>
      </c>
      <c r="Y133" s="17">
        <v>24844</v>
      </c>
      <c r="Z133" s="17">
        <v>12245</v>
      </c>
      <c r="AA133" s="17">
        <v>7362</v>
      </c>
      <c r="AB133" s="17">
        <v>0</v>
      </c>
      <c r="AC133" s="17">
        <v>256</v>
      </c>
      <c r="AD133" s="17">
        <v>0</v>
      </c>
      <c r="AE133" s="17">
        <v>0</v>
      </c>
      <c r="AF133" s="17">
        <f t="shared" si="61"/>
        <v>2560763</v>
      </c>
      <c r="AG133" s="18">
        <f t="shared" si="62"/>
        <v>1.1550721323544306</v>
      </c>
      <c r="AH133" s="17">
        <f t="shared" si="63"/>
        <v>343790.63241262501</v>
      </c>
      <c r="AI133" s="20">
        <f t="shared" si="64"/>
        <v>0.21758383687847593</v>
      </c>
      <c r="AJ133" s="20">
        <f t="shared" si="65"/>
        <v>5.2154586479018612E-2</v>
      </c>
      <c r="AK133" s="21">
        <f t="shared" si="66"/>
        <v>6.9743554463195787E-2</v>
      </c>
      <c r="AL133" s="21">
        <f t="shared" si="67"/>
        <v>-8.9484583848611132E-2</v>
      </c>
      <c r="AM133" s="31"/>
      <c r="AO133" s="38">
        <f t="shared" si="68"/>
        <v>46152</v>
      </c>
      <c r="AP133" s="17">
        <f t="shared" si="56"/>
        <v>1203062.8275862068</v>
      </c>
      <c r="AQ133" s="17">
        <f>+Tabla22[[#This Row],[Meli Drop 2025]]+Tabla22[[#This Row],[Meli Full 2025]]+Tabla22[[#This Row],[Amazon Drop 2025]]+Tabla22[[#This Row],[Amazon Full 2025]]+Tabla22[[#This Row],[TikTok 2025]]+Tabla22[[#This Row],[Shein 2025]]</f>
        <v>543402</v>
      </c>
      <c r="AR133" s="17">
        <f t="shared" si="69"/>
        <v>1990844</v>
      </c>
      <c r="AS133" s="17">
        <f t="shared" si="70"/>
        <v>569919</v>
      </c>
      <c r="AT133" s="18">
        <f t="shared" si="71"/>
        <v>0.6548129942593075</v>
      </c>
      <c r="AU133" s="18">
        <f t="shared" si="72"/>
        <v>4.8798127353230303E-2</v>
      </c>
      <c r="AV133" s="49">
        <f t="shared" si="73"/>
        <v>1562118.43848599</v>
      </c>
      <c r="AW133" s="49">
        <f t="shared" si="74"/>
        <v>654853.92910138494</v>
      </c>
      <c r="AX133" s="39">
        <f t="shared" si="75"/>
        <v>1.2744513802228288</v>
      </c>
      <c r="AY133" s="39">
        <f t="shared" si="76"/>
        <v>0.87029942812141969</v>
      </c>
      <c r="AZ133" s="39">
        <f t="shared" si="77"/>
        <v>1.1550721323544306</v>
      </c>
      <c r="BA133" s="18">
        <v>2.34808133855181E-2</v>
      </c>
      <c r="BB133" s="20">
        <v>1.4601831774196199E-2</v>
      </c>
      <c r="BC133" s="17">
        <f t="shared" si="78"/>
        <v>428725.56151400995</v>
      </c>
      <c r="BD133" s="17">
        <f t="shared" si="79"/>
        <v>-84934.929101384943</v>
      </c>
      <c r="BF133" s="27">
        <f t="shared" si="57"/>
        <v>1.9679152548656528E-2</v>
      </c>
      <c r="BG133" s="27">
        <f t="shared" si="58"/>
        <v>3.9371783982292761E-2</v>
      </c>
    </row>
    <row r="134" spans="1:59" ht="14.25" hidden="1" customHeight="1" x14ac:dyDescent="0.35">
      <c r="A134" s="16">
        <v>45788</v>
      </c>
      <c r="B134" s="17">
        <f>+'BD MD'!B133</f>
        <v>40325337</v>
      </c>
      <c r="C134" s="17">
        <f t="shared" si="59"/>
        <v>2103151.2758620689</v>
      </c>
      <c r="D134" s="18">
        <f t="shared" si="55"/>
        <v>1.9838329333276245E-2</v>
      </c>
      <c r="E134" s="17">
        <v>23190846</v>
      </c>
      <c r="F134" s="19">
        <v>46153</v>
      </c>
      <c r="G134" s="17">
        <f t="shared" si="60"/>
        <v>2692193.9660598803</v>
      </c>
      <c r="H134" s="17">
        <v>2125563.0218603802</v>
      </c>
      <c r="I134" s="17">
        <v>566630.94419950002</v>
      </c>
      <c r="J134" s="17">
        <v>1540924</v>
      </c>
      <c r="K134" s="17">
        <v>2440025</v>
      </c>
      <c r="L134" s="17">
        <v>20098.275862069</v>
      </c>
      <c r="M134" s="17">
        <v>21672</v>
      </c>
      <c r="N134" s="17">
        <v>2643</v>
      </c>
      <c r="O134" s="17">
        <v>29073</v>
      </c>
      <c r="P134" s="17">
        <v>4578</v>
      </c>
      <c r="Q134" s="17">
        <v>5953</v>
      </c>
      <c r="R134" s="17">
        <v>64714</v>
      </c>
      <c r="S134" s="17">
        <v>60459</v>
      </c>
      <c r="T134" s="17">
        <v>382228</v>
      </c>
      <c r="U134" s="17">
        <v>409424</v>
      </c>
      <c r="V134" s="17">
        <v>63782</v>
      </c>
      <c r="W134" s="17">
        <v>123764</v>
      </c>
      <c r="X134" s="17">
        <v>16117</v>
      </c>
      <c r="Y134" s="17">
        <v>11328</v>
      </c>
      <c r="Z134" s="17">
        <v>8067</v>
      </c>
      <c r="AA134" s="17">
        <v>10655</v>
      </c>
      <c r="AB134" s="17">
        <v>0</v>
      </c>
      <c r="AC134" s="17">
        <v>991</v>
      </c>
      <c r="AD134" s="17">
        <v>0</v>
      </c>
      <c r="AE134" s="17">
        <v>2109</v>
      </c>
      <c r="AF134" s="17">
        <f t="shared" si="61"/>
        <v>3115453</v>
      </c>
      <c r="AG134" s="18">
        <f t="shared" si="62"/>
        <v>1.1572171393577462</v>
      </c>
      <c r="AH134" s="17">
        <f t="shared" si="63"/>
        <v>423259.03394011967</v>
      </c>
      <c r="AI134" s="20">
        <f t="shared" si="64"/>
        <v>8.1424215149683565E-3</v>
      </c>
      <c r="AJ134" s="20">
        <f t="shared" si="65"/>
        <v>0.13295925322837471</v>
      </c>
      <c r="AK134" s="21">
        <f t="shared" si="66"/>
        <v>0.1343397735468555</v>
      </c>
      <c r="AL134" s="21">
        <f t="shared" si="67"/>
        <v>-2.217586248022374E-3</v>
      </c>
      <c r="AM134" s="31"/>
      <c r="AO134" s="38">
        <f t="shared" si="68"/>
        <v>46153</v>
      </c>
      <c r="AP134" s="17">
        <f t="shared" si="56"/>
        <v>1632957.2758620691</v>
      </c>
      <c r="AQ134" s="17">
        <f>+Tabla22[[#This Row],[Meli Drop 2025]]+Tabla22[[#This Row],[Meli Full 2025]]+Tabla22[[#This Row],[Amazon Drop 2025]]+Tabla22[[#This Row],[Amazon Full 2025]]+Tabla22[[#This Row],[TikTok 2025]]+Tabla22[[#This Row],[Shein 2025]]</f>
        <v>470194</v>
      </c>
      <c r="AR134" s="17">
        <f t="shared" si="69"/>
        <v>2557182</v>
      </c>
      <c r="AS134" s="17">
        <f t="shared" si="70"/>
        <v>558271</v>
      </c>
      <c r="AT134" s="18">
        <f t="shared" si="71"/>
        <v>0.56598218324482197</v>
      </c>
      <c r="AU134" s="18">
        <f t="shared" si="72"/>
        <v>0.18732055279310234</v>
      </c>
      <c r="AV134" s="49">
        <f t="shared" si="73"/>
        <v>2125563.0218603802</v>
      </c>
      <c r="AW134" s="49">
        <f t="shared" si="74"/>
        <v>566630.94419950002</v>
      </c>
      <c r="AX134" s="39">
        <f t="shared" si="75"/>
        <v>1.2030610119298411</v>
      </c>
      <c r="AY134" s="39">
        <f t="shared" si="76"/>
        <v>0.98524622722235822</v>
      </c>
      <c r="AZ134" s="39">
        <f t="shared" si="77"/>
        <v>1.1572171393577462</v>
      </c>
      <c r="BA134" s="18">
        <v>2.0317440070132801E-2</v>
      </c>
      <c r="BB134" s="20">
        <v>1.97903889477908E-2</v>
      </c>
      <c r="BC134" s="17">
        <f t="shared" si="78"/>
        <v>431618.97813961981</v>
      </c>
      <c r="BD134" s="17">
        <f t="shared" si="79"/>
        <v>-8359.9441995000234</v>
      </c>
      <c r="BE134" t="s">
        <v>259</v>
      </c>
      <c r="BF134" s="27">
        <f t="shared" si="57"/>
        <v>2.6711169691447864E-2</v>
      </c>
      <c r="BG134" s="27">
        <f t="shared" si="58"/>
        <v>3.4067553298976011E-2</v>
      </c>
    </row>
    <row r="135" spans="1:59" ht="14.25" hidden="1" customHeight="1" x14ac:dyDescent="0.35">
      <c r="A135" s="19">
        <v>45789</v>
      </c>
      <c r="B135" s="17">
        <f>+'BD MD'!B134</f>
        <v>23242388</v>
      </c>
      <c r="C135" s="17">
        <f t="shared" si="59"/>
        <v>3090290.5517241377</v>
      </c>
      <c r="D135" s="18">
        <f t="shared" si="55"/>
        <v>2.9149687140544066E-2</v>
      </c>
      <c r="E135" s="17">
        <v>22809337</v>
      </c>
      <c r="F135" s="19">
        <v>46154</v>
      </c>
      <c r="G135" s="17">
        <f t="shared" si="60"/>
        <v>3977917.8176610083</v>
      </c>
      <c r="H135" s="17">
        <v>3341115.0863910802</v>
      </c>
      <c r="I135" s="17">
        <v>636802.73126992804</v>
      </c>
      <c r="J135" s="17">
        <v>2436435</v>
      </c>
      <c r="K135" s="17">
        <v>2815317</v>
      </c>
      <c r="L135" s="17">
        <v>21396.551724137898</v>
      </c>
      <c r="M135" s="17">
        <v>21451</v>
      </c>
      <c r="N135" s="17">
        <v>14035</v>
      </c>
      <c r="O135" s="17">
        <v>23262</v>
      </c>
      <c r="P135" s="17">
        <v>14004</v>
      </c>
      <c r="Q135" s="17">
        <v>3933</v>
      </c>
      <c r="R135" s="17">
        <v>75997</v>
      </c>
      <c r="S135" s="17">
        <v>54841</v>
      </c>
      <c r="T135" s="17">
        <v>401282</v>
      </c>
      <c r="U135" s="17">
        <v>383123</v>
      </c>
      <c r="V135" s="17">
        <v>95820</v>
      </c>
      <c r="W135" s="17">
        <v>135469</v>
      </c>
      <c r="X135" s="17">
        <v>24006</v>
      </c>
      <c r="Y135" s="17">
        <v>16632</v>
      </c>
      <c r="Z135" s="17">
        <v>7315</v>
      </c>
      <c r="AA135" s="17">
        <v>10371</v>
      </c>
      <c r="AB135" s="17">
        <v>0</v>
      </c>
      <c r="AC135" s="17">
        <v>1022</v>
      </c>
      <c r="AD135" s="17">
        <v>0</v>
      </c>
      <c r="AE135" s="17">
        <v>4650</v>
      </c>
      <c r="AF135" s="17">
        <f t="shared" si="61"/>
        <v>3470071</v>
      </c>
      <c r="AG135" s="18">
        <f t="shared" si="62"/>
        <v>0.87233350688988864</v>
      </c>
      <c r="AH135" s="17">
        <f t="shared" si="63"/>
        <v>-507846.81766100833</v>
      </c>
      <c r="AI135" s="20">
        <f t="shared" si="64"/>
        <v>2.9302844663898764E-3</v>
      </c>
      <c r="AJ135" s="20">
        <f t="shared" si="65"/>
        <v>0.13675599486329323</v>
      </c>
      <c r="AK135" s="21">
        <f t="shared" si="66"/>
        <v>0.15213379503314806</v>
      </c>
      <c r="AL135" s="21">
        <f t="shared" si="67"/>
        <v>-9.8446674515402011E-2</v>
      </c>
      <c r="AM135" s="31"/>
      <c r="AO135" s="38">
        <f t="shared" si="68"/>
        <v>46154</v>
      </c>
      <c r="AP135" s="17">
        <f t="shared" si="56"/>
        <v>2561867.5517241377</v>
      </c>
      <c r="AQ135" s="17">
        <f>+Tabla22[[#This Row],[Meli Drop 2025]]+Tabla22[[#This Row],[Meli Full 2025]]+Tabla22[[#This Row],[Amazon Drop 2025]]+Tabla22[[#This Row],[Amazon Full 2025]]+Tabla22[[#This Row],[TikTok 2025]]+Tabla22[[#This Row],[Shein 2025]]</f>
        <v>528423</v>
      </c>
      <c r="AR135" s="17">
        <f t="shared" si="69"/>
        <v>2918804</v>
      </c>
      <c r="AS135" s="17">
        <f t="shared" si="70"/>
        <v>551267</v>
      </c>
      <c r="AT135" s="18">
        <f t="shared" si="71"/>
        <v>0.13932665958302337</v>
      </c>
      <c r="AU135" s="18">
        <f t="shared" si="72"/>
        <v>4.3230517975182847E-2</v>
      </c>
      <c r="AV135" s="49">
        <f t="shared" si="73"/>
        <v>3341115.0863910802</v>
      </c>
      <c r="AW135" s="49">
        <f t="shared" si="74"/>
        <v>636802.73126992804</v>
      </c>
      <c r="AX135" s="39">
        <f t="shared" si="75"/>
        <v>0.87360175406371854</v>
      </c>
      <c r="AY135" s="39">
        <f t="shared" si="76"/>
        <v>0.86567939006896133</v>
      </c>
      <c r="AZ135" s="39">
        <f t="shared" si="77"/>
        <v>0.87233350688988864</v>
      </c>
      <c r="BA135" s="18">
        <v>2.2833559412029501E-2</v>
      </c>
      <c r="BB135" s="20">
        <v>3.09173395545056E-2</v>
      </c>
      <c r="BC135" s="17">
        <f t="shared" si="78"/>
        <v>-422311.08639108017</v>
      </c>
      <c r="BD135" s="17">
        <f t="shared" si="79"/>
        <v>-85535.731269928045</v>
      </c>
      <c r="BE135" t="s">
        <v>259</v>
      </c>
      <c r="BF135" s="27">
        <f t="shared" si="57"/>
        <v>4.190585994663687E-2</v>
      </c>
      <c r="BG135" s="27">
        <f t="shared" si="58"/>
        <v>3.8286491781912999E-2</v>
      </c>
    </row>
    <row r="136" spans="1:59" ht="14.25" hidden="1" customHeight="1" x14ac:dyDescent="0.35">
      <c r="A136" s="16">
        <v>45790</v>
      </c>
      <c r="B136" s="17">
        <f>+'BD MD'!B135</f>
        <v>25300042</v>
      </c>
      <c r="C136" s="17">
        <f t="shared" si="59"/>
        <v>3459932.4137931033</v>
      </c>
      <c r="D136" s="18">
        <f t="shared" si="55"/>
        <v>3.2636396384549266E-2</v>
      </c>
      <c r="E136" s="17">
        <v>27932143</v>
      </c>
      <c r="F136" s="19">
        <v>46155</v>
      </c>
      <c r="G136" s="17">
        <f t="shared" si="60"/>
        <v>4432932.8504142966</v>
      </c>
      <c r="H136" s="17">
        <v>3786801.4374958398</v>
      </c>
      <c r="I136" s="17">
        <v>646131.41291845695</v>
      </c>
      <c r="J136" s="17">
        <v>2811134</v>
      </c>
      <c r="K136" s="17">
        <v>3700459</v>
      </c>
      <c r="L136" s="17">
        <v>23572.413793103398</v>
      </c>
      <c r="M136" s="17">
        <v>26216</v>
      </c>
      <c r="N136" s="17">
        <v>40509</v>
      </c>
      <c r="O136" s="17">
        <v>28501</v>
      </c>
      <c r="P136" s="17">
        <v>1759</v>
      </c>
      <c r="Q136" s="17">
        <v>4829</v>
      </c>
      <c r="R136" s="17">
        <v>46794</v>
      </c>
      <c r="S136" s="17">
        <v>57302</v>
      </c>
      <c r="T136" s="17">
        <v>386009</v>
      </c>
      <c r="U136" s="17">
        <v>381201</v>
      </c>
      <c r="V136" s="17">
        <v>119690</v>
      </c>
      <c r="W136" s="17">
        <v>138856</v>
      </c>
      <c r="X136" s="17">
        <v>21353</v>
      </c>
      <c r="Y136" s="17">
        <v>19491</v>
      </c>
      <c r="Z136" s="17">
        <v>9112</v>
      </c>
      <c r="AA136" s="17">
        <v>6421</v>
      </c>
      <c r="AB136" s="17">
        <v>0</v>
      </c>
      <c r="AC136" s="17">
        <v>1247</v>
      </c>
      <c r="AD136" s="17">
        <v>0</v>
      </c>
      <c r="AE136" s="17">
        <v>1937</v>
      </c>
      <c r="AF136" s="17">
        <f t="shared" si="61"/>
        <v>4366460</v>
      </c>
      <c r="AG136" s="18">
        <f t="shared" si="62"/>
        <v>0.98500476938014436</v>
      </c>
      <c r="AH136" s="17">
        <f t="shared" si="63"/>
        <v>-66472.850414296612</v>
      </c>
      <c r="AI136" s="20">
        <f t="shared" si="64"/>
        <v>0.25358749569159955</v>
      </c>
      <c r="AJ136" s="20">
        <f t="shared" si="65"/>
        <v>0.12269023343406944</v>
      </c>
      <c r="AK136" s="21">
        <f t="shared" si="66"/>
        <v>0.15632384525598339</v>
      </c>
      <c r="AL136" s="21">
        <f t="shared" si="67"/>
        <v>-1.6126156412174408E-2</v>
      </c>
      <c r="AM136" s="31"/>
      <c r="AO136" s="38">
        <f t="shared" si="68"/>
        <v>46155</v>
      </c>
      <c r="AP136" s="17">
        <f t="shared" si="56"/>
        <v>2923768.4137931033</v>
      </c>
      <c r="AQ136" s="17">
        <f>+Tabla22[[#This Row],[Meli Drop 2025]]+Tabla22[[#This Row],[Meli Full 2025]]+Tabla22[[#This Row],[Amazon Drop 2025]]+Tabla22[[#This Row],[Amazon Full 2025]]+Tabla22[[#This Row],[TikTok 2025]]+Tabla22[[#This Row],[Shein 2025]]</f>
        <v>536164</v>
      </c>
      <c r="AR136" s="17">
        <f t="shared" si="69"/>
        <v>3817307</v>
      </c>
      <c r="AS136" s="17">
        <f t="shared" si="70"/>
        <v>549153</v>
      </c>
      <c r="AT136" s="18">
        <f t="shared" si="71"/>
        <v>0.30561195681284459</v>
      </c>
      <c r="AU136" s="18">
        <f t="shared" si="72"/>
        <v>2.4225796584627091E-2</v>
      </c>
      <c r="AV136" s="49">
        <f t="shared" si="73"/>
        <v>3786801.4374958398</v>
      </c>
      <c r="AW136" s="49">
        <f t="shared" si="74"/>
        <v>646131.41291845695</v>
      </c>
      <c r="AX136" s="39">
        <f t="shared" si="75"/>
        <v>1.0080557597243158</v>
      </c>
      <c r="AY136" s="39">
        <f t="shared" si="76"/>
        <v>0.8499091500900362</v>
      </c>
      <c r="AZ136" s="39">
        <f t="shared" si="77"/>
        <v>0.98500476938014436</v>
      </c>
      <c r="BA136" s="18">
        <v>2.31680539049045E-2</v>
      </c>
      <c r="BB136" s="20">
        <v>3.5273672310091202E-2</v>
      </c>
      <c r="BC136" s="17">
        <f t="shared" si="78"/>
        <v>30505.562504160218</v>
      </c>
      <c r="BD136" s="17">
        <f t="shared" si="79"/>
        <v>-96978.412918456946</v>
      </c>
      <c r="BE136" t="s">
        <v>260</v>
      </c>
      <c r="BF136" s="27">
        <f t="shared" si="57"/>
        <v>4.782566904458288E-2</v>
      </c>
      <c r="BG136" s="27">
        <f t="shared" si="58"/>
        <v>3.8847360125803761E-2</v>
      </c>
    </row>
    <row r="137" spans="1:59" ht="14.25" hidden="1" customHeight="1" x14ac:dyDescent="0.35">
      <c r="A137" s="19">
        <v>45791</v>
      </c>
      <c r="B137" s="17">
        <f>+'BD MD'!B136</f>
        <v>28389964</v>
      </c>
      <c r="C137" s="17">
        <f t="shared" si="59"/>
        <v>3483171.3103448278</v>
      </c>
      <c r="D137" s="18">
        <f t="shared" si="55"/>
        <v>3.2855601198024269E-2</v>
      </c>
      <c r="E137" s="17">
        <v>33640854</v>
      </c>
      <c r="F137" s="19">
        <v>46156</v>
      </c>
      <c r="G137" s="17">
        <f t="shared" si="60"/>
        <v>4463971.3255278813</v>
      </c>
      <c r="H137" s="17">
        <v>3736889.70819441</v>
      </c>
      <c r="I137" s="17">
        <v>727081.61733347096</v>
      </c>
      <c r="J137" s="17">
        <v>2777558</v>
      </c>
      <c r="K137" s="17">
        <v>2625651</v>
      </c>
      <c r="L137" s="17">
        <v>17204.310344827602</v>
      </c>
      <c r="M137" s="17">
        <v>10282</v>
      </c>
      <c r="N137" s="17">
        <v>30525</v>
      </c>
      <c r="O137" s="17">
        <v>6634</v>
      </c>
      <c r="P137" s="17">
        <v>2915</v>
      </c>
      <c r="Q137" s="17">
        <v>0</v>
      </c>
      <c r="R137" s="17">
        <v>51632</v>
      </c>
      <c r="S137" s="17">
        <v>62863</v>
      </c>
      <c r="T137" s="17">
        <v>406451</v>
      </c>
      <c r="U137" s="17">
        <v>360073</v>
      </c>
      <c r="V137" s="17">
        <v>166963</v>
      </c>
      <c r="W137" s="17">
        <v>105100</v>
      </c>
      <c r="X137" s="17">
        <v>21663</v>
      </c>
      <c r="Y137" s="17">
        <v>12418</v>
      </c>
      <c r="Z137" s="17">
        <v>8260</v>
      </c>
      <c r="AA137" s="17">
        <v>4862</v>
      </c>
      <c r="AB137" s="17">
        <v>0</v>
      </c>
      <c r="AC137" s="17">
        <v>5230</v>
      </c>
      <c r="AD137" s="17">
        <v>0</v>
      </c>
      <c r="AE137" s="17">
        <v>2497</v>
      </c>
      <c r="AF137" s="17">
        <f t="shared" si="61"/>
        <v>3195610</v>
      </c>
      <c r="AG137" s="18">
        <f t="shared" si="62"/>
        <v>0.71586705356403857</v>
      </c>
      <c r="AH137" s="17">
        <f t="shared" si="63"/>
        <v>-1268361.3255278813</v>
      </c>
      <c r="AI137" s="20">
        <f t="shared" si="64"/>
        <v>1.7350599095294461E-2</v>
      </c>
      <c r="AJ137" s="20">
        <f t="shared" si="65"/>
        <v>8.3071653871777645E-2</v>
      </c>
      <c r="AK137" s="21">
        <f t="shared" si="66"/>
        <v>9.4991940454305951E-2</v>
      </c>
      <c r="AL137" s="21">
        <f t="shared" si="67"/>
        <v>-0.11031402843125104</v>
      </c>
      <c r="AM137" s="31"/>
      <c r="AO137" s="38">
        <f t="shared" si="68"/>
        <v>46156</v>
      </c>
      <c r="AP137" s="17">
        <f t="shared" si="56"/>
        <v>2879834.3103448278</v>
      </c>
      <c r="AQ137" s="17">
        <f>+Tabla22[[#This Row],[Meli Drop 2025]]+Tabla22[[#This Row],[Meli Full 2025]]+Tabla22[[#This Row],[Amazon Drop 2025]]+Tabla22[[#This Row],[Amazon Full 2025]]+Tabla22[[#This Row],[TikTok 2025]]+Tabla22[[#This Row],[Shein 2025]]</f>
        <v>603337</v>
      </c>
      <c r="AR137" s="17">
        <f t="shared" si="69"/>
        <v>2705430</v>
      </c>
      <c r="AS137" s="17">
        <f t="shared" si="70"/>
        <v>490180</v>
      </c>
      <c r="AT137" s="18">
        <f t="shared" si="71"/>
        <v>-6.0560536319169356E-2</v>
      </c>
      <c r="AU137" s="18">
        <f t="shared" si="72"/>
        <v>-0.18755189885586332</v>
      </c>
      <c r="AV137" s="49">
        <f t="shared" si="73"/>
        <v>3736889.70819441</v>
      </c>
      <c r="AW137" s="49">
        <f t="shared" si="74"/>
        <v>727081.61733347096</v>
      </c>
      <c r="AX137" s="39">
        <f t="shared" si="75"/>
        <v>0.72397908722524473</v>
      </c>
      <c r="AY137" s="39">
        <f t="shared" si="76"/>
        <v>0.67417465703191104</v>
      </c>
      <c r="AZ137" s="39">
        <f t="shared" si="77"/>
        <v>0.71586705356403857</v>
      </c>
      <c r="BA137" s="18">
        <v>2.6070650283911999E-2</v>
      </c>
      <c r="BB137" s="20">
        <v>3.4692330512731198E-2</v>
      </c>
      <c r="BC137" s="17">
        <f t="shared" si="78"/>
        <v>-1031459.70819441</v>
      </c>
      <c r="BD137" s="17">
        <f t="shared" si="79"/>
        <v>-236901.61733347096</v>
      </c>
      <c r="BF137" s="27">
        <f t="shared" si="57"/>
        <v>4.710701503581282E-2</v>
      </c>
      <c r="BG137" s="27">
        <f t="shared" si="58"/>
        <v>4.3714329414548656E-2</v>
      </c>
    </row>
    <row r="138" spans="1:59" ht="14.25" hidden="1" customHeight="1" x14ac:dyDescent="0.35">
      <c r="A138" s="16">
        <v>45792</v>
      </c>
      <c r="B138" s="17">
        <f>+'BD MD'!B137</f>
        <v>37812054</v>
      </c>
      <c r="C138" s="17">
        <f t="shared" si="59"/>
        <v>3141109.8620689656</v>
      </c>
      <c r="D138" s="18">
        <f t="shared" si="55"/>
        <v>2.9629048861539348E-2</v>
      </c>
      <c r="E138" s="17">
        <v>37321124</v>
      </c>
      <c r="F138" s="19">
        <v>46157</v>
      </c>
      <c r="G138" s="17">
        <f t="shared" si="60"/>
        <v>4004790.069113472</v>
      </c>
      <c r="H138" s="17">
        <v>3232522.0098353899</v>
      </c>
      <c r="I138" s="17">
        <v>772268.05927808199</v>
      </c>
      <c r="J138" s="17">
        <v>2343626</v>
      </c>
      <c r="K138" s="17">
        <v>2405121</v>
      </c>
      <c r="L138" s="17">
        <v>17875.8620689655</v>
      </c>
      <c r="M138" s="17">
        <v>30006</v>
      </c>
      <c r="N138" s="17">
        <v>48768</v>
      </c>
      <c r="O138" s="17">
        <v>17955</v>
      </c>
      <c r="P138" s="17">
        <v>1400</v>
      </c>
      <c r="Q138" s="17">
        <v>904</v>
      </c>
      <c r="R138" s="17">
        <v>88607</v>
      </c>
      <c r="S138" s="17">
        <v>90900</v>
      </c>
      <c r="T138" s="17">
        <v>449212</v>
      </c>
      <c r="U138" s="17">
        <v>329128</v>
      </c>
      <c r="V138" s="17">
        <v>166991</v>
      </c>
      <c r="W138" s="17">
        <v>99332</v>
      </c>
      <c r="X138" s="17">
        <v>16715</v>
      </c>
      <c r="Y138" s="17">
        <v>9755</v>
      </c>
      <c r="Z138" s="17">
        <v>7915</v>
      </c>
      <c r="AA138" s="17">
        <v>6678</v>
      </c>
      <c r="AB138" s="17">
        <v>0</v>
      </c>
      <c r="AC138" s="17">
        <v>4507</v>
      </c>
      <c r="AD138" s="17">
        <v>0</v>
      </c>
      <c r="AE138" s="17">
        <v>4607</v>
      </c>
      <c r="AF138" s="17">
        <f t="shared" si="61"/>
        <v>2998893</v>
      </c>
      <c r="AG138" s="18">
        <f t="shared" si="62"/>
        <v>0.74882651730702465</v>
      </c>
      <c r="AH138" s="17">
        <f t="shared" si="63"/>
        <v>-1005897.069113472</v>
      </c>
      <c r="AI138" s="20">
        <f t="shared" si="64"/>
        <v>8.3824843438855989E-2</v>
      </c>
      <c r="AJ138" s="20">
        <f t="shared" si="65"/>
        <v>7.2347259069428613E-2</v>
      </c>
      <c r="AK138" s="21">
        <f t="shared" si="66"/>
        <v>8.035376962387307E-2</v>
      </c>
      <c r="AL138" s="21">
        <f t="shared" si="67"/>
        <v>-2.4168286053157018E-2</v>
      </c>
      <c r="AM138" s="31"/>
      <c r="AO138" s="38">
        <f t="shared" si="68"/>
        <v>46157</v>
      </c>
      <c r="AP138" s="17">
        <f t="shared" si="56"/>
        <v>2500276.8620689656</v>
      </c>
      <c r="AQ138" s="17">
        <f>+Tabla22[[#This Row],[Meli Drop 2025]]+Tabla22[[#This Row],[Meli Full 2025]]+Tabla22[[#This Row],[Amazon Drop 2025]]+Tabla22[[#This Row],[Amazon Full 2025]]+Tabla22[[#This Row],[TikTok 2025]]+Tabla22[[#This Row],[Shein 2025]]</f>
        <v>640833</v>
      </c>
      <c r="AR138" s="17">
        <f t="shared" si="69"/>
        <v>2544886</v>
      </c>
      <c r="AS138" s="17">
        <f t="shared" si="70"/>
        <v>454007</v>
      </c>
      <c r="AT138" s="18">
        <f t="shared" si="71"/>
        <v>1.784167929871594E-2</v>
      </c>
      <c r="AU138" s="18">
        <f t="shared" si="72"/>
        <v>-0.29153617245054486</v>
      </c>
      <c r="AV138" s="49">
        <f t="shared" si="73"/>
        <v>3232522.0098353899</v>
      </c>
      <c r="AW138" s="49">
        <f t="shared" si="74"/>
        <v>772268.05927808199</v>
      </c>
      <c r="AX138" s="39">
        <f t="shared" si="75"/>
        <v>0.7872756913199157</v>
      </c>
      <c r="AY138" s="39">
        <f t="shared" si="76"/>
        <v>0.58788783835551461</v>
      </c>
      <c r="AZ138" s="39">
        <f t="shared" si="77"/>
        <v>0.74882651730702465</v>
      </c>
      <c r="BA138" s="18">
        <v>2.7690880939491801E-2</v>
      </c>
      <c r="BB138" s="20">
        <v>3.01627033200681E-2</v>
      </c>
      <c r="BC138" s="17">
        <f t="shared" si="78"/>
        <v>-687636.00983538991</v>
      </c>
      <c r="BD138" s="17">
        <f t="shared" si="79"/>
        <v>-318261.05927808199</v>
      </c>
      <c r="BF138" s="27">
        <f t="shared" si="57"/>
        <v>4.0898387560732531E-2</v>
      </c>
      <c r="BG138" s="27">
        <f t="shared" si="58"/>
        <v>4.6431073946589484E-2</v>
      </c>
    </row>
    <row r="139" spans="1:59" ht="14.25" hidden="1" customHeight="1" x14ac:dyDescent="0.35">
      <c r="A139" s="19">
        <v>45793</v>
      </c>
      <c r="B139" s="17">
        <f>+'BD MD'!B138</f>
        <v>38245451</v>
      </c>
      <c r="C139" s="17">
        <f t="shared" si="59"/>
        <v>2766953.5517241377</v>
      </c>
      <c r="D139" s="18">
        <f t="shared" si="55"/>
        <v>2.609975632232259E-2</v>
      </c>
      <c r="E139" s="17">
        <v>44523452</v>
      </c>
      <c r="F139" s="19">
        <v>46158</v>
      </c>
      <c r="G139" s="17">
        <f t="shared" si="60"/>
        <v>3538923.2997836089</v>
      </c>
      <c r="H139" s="17">
        <v>2920573.0647547701</v>
      </c>
      <c r="I139" s="17">
        <v>618350.23502883897</v>
      </c>
      <c r="J139" s="17">
        <v>2112541</v>
      </c>
      <c r="K139" s="17">
        <v>2034460</v>
      </c>
      <c r="L139" s="17">
        <v>25296.551724137898</v>
      </c>
      <c r="M139" s="17">
        <v>29019</v>
      </c>
      <c r="N139" s="17">
        <v>27754</v>
      </c>
      <c r="O139" s="17">
        <v>11244</v>
      </c>
      <c r="P139" s="17">
        <v>1869</v>
      </c>
      <c r="Q139" s="17">
        <v>0</v>
      </c>
      <c r="R139" s="17">
        <v>86382</v>
      </c>
      <c r="S139" s="17">
        <v>59712</v>
      </c>
      <c r="T139" s="17">
        <v>369211</v>
      </c>
      <c r="U139" s="17">
        <v>310105</v>
      </c>
      <c r="V139" s="17">
        <v>113629</v>
      </c>
      <c r="W139" s="17">
        <v>110133</v>
      </c>
      <c r="X139" s="17">
        <v>16988</v>
      </c>
      <c r="Y139" s="17">
        <v>19652</v>
      </c>
      <c r="Z139" s="17">
        <v>13283</v>
      </c>
      <c r="AA139" s="17">
        <v>5748</v>
      </c>
      <c r="AB139" s="17">
        <v>0</v>
      </c>
      <c r="AC139" s="17">
        <v>1224</v>
      </c>
      <c r="AD139" s="17">
        <v>0</v>
      </c>
      <c r="AE139" s="17">
        <v>1885</v>
      </c>
      <c r="AF139" s="17">
        <f t="shared" si="61"/>
        <v>2583182</v>
      </c>
      <c r="AG139" s="18">
        <f t="shared" si="62"/>
        <v>0.72993444083909687</v>
      </c>
      <c r="AH139" s="17">
        <f t="shared" si="63"/>
        <v>-955741.29978360888</v>
      </c>
      <c r="AI139" s="20">
        <f t="shared" si="64"/>
        <v>-5.1175883602795014E-2</v>
      </c>
      <c r="AJ139" s="20">
        <f t="shared" si="65"/>
        <v>6.1273732705270742E-2</v>
      </c>
      <c r="AK139" s="21">
        <f t="shared" si="66"/>
        <v>5.8018457328960028E-2</v>
      </c>
      <c r="AL139" s="21">
        <f t="shared" si="67"/>
        <v>2.060343707507295E-3</v>
      </c>
      <c r="AM139" s="31"/>
      <c r="AO139" s="38">
        <f t="shared" si="68"/>
        <v>46158</v>
      </c>
      <c r="AP139" s="17">
        <f t="shared" si="56"/>
        <v>2253842.5517241377</v>
      </c>
      <c r="AQ139" s="17">
        <f>+Tabla22[[#This Row],[Meli Drop 2025]]+Tabla22[[#This Row],[Meli Full 2025]]+Tabla22[[#This Row],[Amazon Drop 2025]]+Tabla22[[#This Row],[Amazon Full 2025]]+Tabla22[[#This Row],[TikTok 2025]]+Tabla22[[#This Row],[Shein 2025]]</f>
        <v>513111</v>
      </c>
      <c r="AR139" s="17">
        <f t="shared" si="69"/>
        <v>2134435</v>
      </c>
      <c r="AS139" s="17">
        <f t="shared" si="70"/>
        <v>448747</v>
      </c>
      <c r="AT139" s="18">
        <f t="shared" si="71"/>
        <v>-5.2979544481842278E-2</v>
      </c>
      <c r="AU139" s="18">
        <f t="shared" si="72"/>
        <v>-0.12543874522276854</v>
      </c>
      <c r="AV139" s="49">
        <f t="shared" si="73"/>
        <v>2920573.0647547701</v>
      </c>
      <c r="AW139" s="49">
        <f t="shared" si="74"/>
        <v>618350.23502883897</v>
      </c>
      <c r="AX139" s="39">
        <f t="shared" si="75"/>
        <v>0.73082746182870129</v>
      </c>
      <c r="AY139" s="39">
        <f t="shared" si="76"/>
        <v>0.7257165512018785</v>
      </c>
      <c r="AZ139" s="39">
        <f t="shared" si="77"/>
        <v>0.72993444083909687</v>
      </c>
      <c r="BA139" s="18">
        <v>2.2171916255473101E-2</v>
      </c>
      <c r="BB139" s="20">
        <v>2.73018184622053E-2</v>
      </c>
      <c r="BC139" s="17">
        <f t="shared" si="78"/>
        <v>-786138.06475477014</v>
      </c>
      <c r="BD139" s="17">
        <f t="shared" si="79"/>
        <v>-169603.23502883897</v>
      </c>
      <c r="BF139" s="27">
        <f t="shared" si="57"/>
        <v>3.6867327606674292E-2</v>
      </c>
      <c r="BG139" s="27">
        <f t="shared" si="58"/>
        <v>3.7177072316513779E-2</v>
      </c>
    </row>
    <row r="140" spans="1:59" ht="14.25" hidden="1" customHeight="1" x14ac:dyDescent="0.35">
      <c r="A140" s="16">
        <v>45794</v>
      </c>
      <c r="B140" s="17">
        <f>+'BD MD'!B139</f>
        <v>44431907</v>
      </c>
      <c r="C140" s="17">
        <f t="shared" si="59"/>
        <v>2722508.7931034481</v>
      </c>
      <c r="D140" s="18">
        <f t="shared" si="55"/>
        <v>2.5680523636222155E-2</v>
      </c>
      <c r="E140" s="17">
        <v>46674763</v>
      </c>
      <c r="F140" s="19">
        <v>46159</v>
      </c>
      <c r="G140" s="17">
        <f t="shared" si="60"/>
        <v>3493857.9422336142</v>
      </c>
      <c r="H140" s="17">
        <v>2881546.4649545201</v>
      </c>
      <c r="I140" s="17">
        <v>612311.47727909405</v>
      </c>
      <c r="J140" s="17">
        <v>2109532</v>
      </c>
      <c r="K140" s="17">
        <v>2587277</v>
      </c>
      <c r="L140" s="17">
        <v>21563.793103448301</v>
      </c>
      <c r="M140" s="17">
        <v>27932</v>
      </c>
      <c r="N140" s="17">
        <v>-607</v>
      </c>
      <c r="O140" s="17">
        <v>-6421</v>
      </c>
      <c r="P140" s="17">
        <v>4423</v>
      </c>
      <c r="Q140" s="17">
        <v>2492</v>
      </c>
      <c r="R140" s="17">
        <v>79497</v>
      </c>
      <c r="S140" s="17">
        <v>88989</v>
      </c>
      <c r="T140" s="17">
        <v>366239</v>
      </c>
      <c r="U140" s="17">
        <v>391486</v>
      </c>
      <c r="V140" s="17">
        <v>114522</v>
      </c>
      <c r="W140" s="17">
        <v>132520</v>
      </c>
      <c r="X140" s="17">
        <v>20368</v>
      </c>
      <c r="Y140" s="17">
        <v>15266</v>
      </c>
      <c r="Z140" s="17">
        <v>6971</v>
      </c>
      <c r="AA140" s="17">
        <v>6798</v>
      </c>
      <c r="AB140" s="17">
        <v>0</v>
      </c>
      <c r="AC140" s="17">
        <v>658</v>
      </c>
      <c r="AD140" s="17">
        <v>0</v>
      </c>
      <c r="AE140" s="17">
        <v>3402</v>
      </c>
      <c r="AF140" s="17">
        <f t="shared" si="61"/>
        <v>3250399</v>
      </c>
      <c r="AG140" s="18">
        <f t="shared" si="62"/>
        <v>0.93031801914706025</v>
      </c>
      <c r="AH140" s="17">
        <f t="shared" si="63"/>
        <v>-243458.94223361416</v>
      </c>
      <c r="AI140" s="20">
        <f t="shared" si="64"/>
        <v>-3.5705375030445685E-2</v>
      </c>
      <c r="AJ140" s="20">
        <f t="shared" si="65"/>
        <v>7.4052157937168281E-2</v>
      </c>
      <c r="AK140" s="21">
        <f t="shared" si="66"/>
        <v>6.9639325217355677E-2</v>
      </c>
      <c r="AL140" s="21">
        <f t="shared" si="67"/>
        <v>2.5399049220129255E-2</v>
      </c>
      <c r="AM140" s="31"/>
      <c r="AO140" s="38">
        <f t="shared" si="68"/>
        <v>46159</v>
      </c>
      <c r="AP140" s="17">
        <f t="shared" si="56"/>
        <v>2214408.7931034481</v>
      </c>
      <c r="AQ140" s="17">
        <f>+Tabla22[[#This Row],[Meli Drop 2025]]+Tabla22[[#This Row],[Meli Full 2025]]+Tabla22[[#This Row],[Amazon Drop 2025]]+Tabla22[[#This Row],[Amazon Full 2025]]+Tabla22[[#This Row],[TikTok 2025]]+Tabla22[[#This Row],[Shein 2025]]</f>
        <v>508100</v>
      </c>
      <c r="AR140" s="17">
        <f t="shared" si="69"/>
        <v>2700269</v>
      </c>
      <c r="AS140" s="17">
        <f t="shared" si="70"/>
        <v>550130</v>
      </c>
      <c r="AT140" s="18">
        <f t="shared" si="71"/>
        <v>0.21940854299789381</v>
      </c>
      <c r="AU140" s="18">
        <f t="shared" si="72"/>
        <v>8.2719937020271583E-2</v>
      </c>
      <c r="AV140" s="49">
        <f t="shared" si="73"/>
        <v>2881546.4649545201</v>
      </c>
      <c r="AW140" s="49">
        <f t="shared" si="74"/>
        <v>612311.47727909405</v>
      </c>
      <c r="AX140" s="39">
        <f t="shared" si="75"/>
        <v>0.93709021625740774</v>
      </c>
      <c r="AY140" s="39">
        <f t="shared" si="76"/>
        <v>0.89844796384446757</v>
      </c>
      <c r="AZ140" s="39">
        <f t="shared" si="77"/>
        <v>0.93031801914706025</v>
      </c>
      <c r="BA140" s="18">
        <v>2.19553871372975E-2</v>
      </c>
      <c r="BB140" s="20">
        <v>2.67646398985283E-2</v>
      </c>
      <c r="BC140" s="17">
        <f t="shared" si="78"/>
        <v>-181277.46495452011</v>
      </c>
      <c r="BD140" s="17">
        <f t="shared" si="79"/>
        <v>-62181.477279094048</v>
      </c>
      <c r="BF140" s="27">
        <f t="shared" si="57"/>
        <v>3.6222288184235778E-2</v>
      </c>
      <c r="BG140" s="27">
        <f t="shared" si="58"/>
        <v>3.6814004073232987E-2</v>
      </c>
    </row>
    <row r="141" spans="1:59" ht="14.25" hidden="1" customHeight="1" x14ac:dyDescent="0.35">
      <c r="A141" s="19">
        <v>45795</v>
      </c>
      <c r="B141" s="17">
        <f>+'BD MD'!B140</f>
        <v>45518633</v>
      </c>
      <c r="C141" s="17">
        <f t="shared" si="59"/>
        <v>3370753</v>
      </c>
      <c r="D141" s="18">
        <f t="shared" si="55"/>
        <v>3.1795196514201887E-2</v>
      </c>
      <c r="E141" s="17">
        <v>26723469</v>
      </c>
      <c r="F141" s="19">
        <v>46160</v>
      </c>
      <c r="G141" s="17">
        <f t="shared" si="60"/>
        <v>4314540.9203777462</v>
      </c>
      <c r="H141" s="17">
        <v>3622551.8246312998</v>
      </c>
      <c r="I141" s="17">
        <v>691989.09574644605</v>
      </c>
      <c r="J141" s="17">
        <v>2677032</v>
      </c>
      <c r="K141" s="17">
        <v>3987638</v>
      </c>
      <c r="L141" s="17">
        <v>20975</v>
      </c>
      <c r="M141" s="17">
        <v>29579</v>
      </c>
      <c r="N141" s="17">
        <v>22100</v>
      </c>
      <c r="O141" s="17">
        <v>37318</v>
      </c>
      <c r="P141" s="17">
        <v>-481</v>
      </c>
      <c r="Q141" s="17">
        <v>0</v>
      </c>
      <c r="R141" s="17">
        <v>76910</v>
      </c>
      <c r="S141" s="17">
        <v>99536</v>
      </c>
      <c r="T141" s="17">
        <v>427036</v>
      </c>
      <c r="U141" s="17">
        <v>377581</v>
      </c>
      <c r="V141" s="17">
        <v>120368</v>
      </c>
      <c r="W141" s="17">
        <v>105418</v>
      </c>
      <c r="X141" s="17">
        <v>16748</v>
      </c>
      <c r="Y141" s="17">
        <v>19920</v>
      </c>
      <c r="Z141" s="17">
        <v>10065</v>
      </c>
      <c r="AA141" s="17">
        <v>5481</v>
      </c>
      <c r="AB141" s="17">
        <v>0</v>
      </c>
      <c r="AC141" s="17">
        <v>2264</v>
      </c>
      <c r="AD141" s="17">
        <v>0</v>
      </c>
      <c r="AE141" s="17">
        <v>4693</v>
      </c>
      <c r="AF141" s="17">
        <f t="shared" si="61"/>
        <v>4669428</v>
      </c>
      <c r="AG141" s="18">
        <f t="shared" si="62"/>
        <v>1.0822537289995577</v>
      </c>
      <c r="AH141" s="17">
        <f t="shared" si="63"/>
        <v>354887.07962225378</v>
      </c>
      <c r="AI141" s="20">
        <f t="shared" si="64"/>
        <v>0.17996277629732083</v>
      </c>
      <c r="AJ141" s="20">
        <f t="shared" si="65"/>
        <v>0.15152019619397747</v>
      </c>
      <c r="AK141" s="21">
        <f t="shared" si="66"/>
        <v>0.17473135692076505</v>
      </c>
      <c r="AL141" s="21">
        <f t="shared" si="67"/>
        <v>2.3217552458171697E-2</v>
      </c>
      <c r="AM141" s="31"/>
      <c r="AO141" s="38">
        <f t="shared" si="68"/>
        <v>46160</v>
      </c>
      <c r="AP141" s="17">
        <f t="shared" si="56"/>
        <v>2796536</v>
      </c>
      <c r="AQ141" s="17">
        <f>+Tabla22[[#This Row],[Meli Drop 2025]]+Tabla22[[#This Row],[Meli Full 2025]]+Tabla22[[#This Row],[Amazon Drop 2025]]+Tabla22[[#This Row],[Amazon Full 2025]]+Tabla22[[#This Row],[TikTok 2025]]+Tabla22[[#This Row],[Shein 2025]]</f>
        <v>574217</v>
      </c>
      <c r="AR141" s="17">
        <f t="shared" si="69"/>
        <v>4154071</v>
      </c>
      <c r="AS141" s="17">
        <f t="shared" si="70"/>
        <v>515357</v>
      </c>
      <c r="AT141" s="18">
        <f t="shared" si="71"/>
        <v>0.485434480371431</v>
      </c>
      <c r="AU141" s="18">
        <f t="shared" si="72"/>
        <v>-0.10250480219150604</v>
      </c>
      <c r="AV141" s="49">
        <f t="shared" si="73"/>
        <v>3622551.8246312998</v>
      </c>
      <c r="AW141" s="49">
        <f t="shared" si="74"/>
        <v>691989.09574644605</v>
      </c>
      <c r="AX141" s="39">
        <f t="shared" si="75"/>
        <v>1.1467250714688666</v>
      </c>
      <c r="AY141" s="39">
        <f t="shared" si="76"/>
        <v>0.74474728455668271</v>
      </c>
      <c r="AZ141" s="39">
        <f t="shared" si="77"/>
        <v>1.0822537289995577</v>
      </c>
      <c r="BA141" s="18">
        <v>2.4812352953783898E-2</v>
      </c>
      <c r="BB141" s="20">
        <v>3.3715085233873801E-2</v>
      </c>
      <c r="BC141" s="17">
        <f t="shared" si="78"/>
        <v>531519.17536870018</v>
      </c>
      <c r="BD141" s="17">
        <f t="shared" si="79"/>
        <v>-176632.09574644605</v>
      </c>
      <c r="BF141" s="27">
        <f t="shared" si="57"/>
        <v>4.5744459299958087E-2</v>
      </c>
      <c r="BG141" s="27">
        <f t="shared" si="58"/>
        <v>4.1604461674708965E-2</v>
      </c>
    </row>
    <row r="142" spans="1:59" ht="14.25" hidden="1" customHeight="1" x14ac:dyDescent="0.35">
      <c r="A142" s="16">
        <v>45796</v>
      </c>
      <c r="B142" s="17">
        <f>+'BD MD'!B141</f>
        <v>26117094</v>
      </c>
      <c r="C142" s="17">
        <f t="shared" si="59"/>
        <v>3957267.2068965519</v>
      </c>
      <c r="D142" s="18">
        <f t="shared" si="55"/>
        <v>3.7327590749747216E-2</v>
      </c>
      <c r="E142" s="17">
        <v>28069178</v>
      </c>
      <c r="F142" s="19">
        <v>46161</v>
      </c>
      <c r="G142" s="17">
        <f t="shared" si="60"/>
        <v>5069955.5931407074</v>
      </c>
      <c r="H142" s="17">
        <v>4380268.2390230801</v>
      </c>
      <c r="I142" s="17">
        <v>689687.35411762702</v>
      </c>
      <c r="J142" s="17">
        <v>3127249</v>
      </c>
      <c r="K142" s="17">
        <v>4181035</v>
      </c>
      <c r="L142" s="17">
        <v>20161.206896551699</v>
      </c>
      <c r="M142" s="17">
        <v>24160</v>
      </c>
      <c r="N142" s="17">
        <v>63309</v>
      </c>
      <c r="O142" s="17">
        <v>29139</v>
      </c>
      <c r="P142" s="17">
        <v>9654</v>
      </c>
      <c r="Q142" s="17">
        <v>3705</v>
      </c>
      <c r="R142" s="17">
        <v>164587</v>
      </c>
      <c r="S142" s="17">
        <v>77060</v>
      </c>
      <c r="T142" s="17">
        <v>398765</v>
      </c>
      <c r="U142" s="17">
        <v>350122</v>
      </c>
      <c r="V142" s="17">
        <v>133448</v>
      </c>
      <c r="W142" s="17">
        <v>81101</v>
      </c>
      <c r="X142" s="17">
        <v>26159</v>
      </c>
      <c r="Y142" s="17">
        <v>24716</v>
      </c>
      <c r="Z142" s="17">
        <v>13935</v>
      </c>
      <c r="AA142" s="17">
        <v>9017</v>
      </c>
      <c r="AB142" s="17">
        <v>0</v>
      </c>
      <c r="AC142" s="17">
        <v>4981</v>
      </c>
      <c r="AD142" s="17">
        <v>0</v>
      </c>
      <c r="AE142" s="17">
        <v>2454</v>
      </c>
      <c r="AF142" s="17">
        <f t="shared" si="61"/>
        <v>4787490</v>
      </c>
      <c r="AG142" s="18">
        <f t="shared" si="62"/>
        <v>0.94428637727658538</v>
      </c>
      <c r="AH142" s="17">
        <f t="shared" si="63"/>
        <v>-282465.59314070735</v>
      </c>
      <c r="AI142" s="20">
        <f t="shared" si="64"/>
        <v>0.2047098855565086</v>
      </c>
      <c r="AJ142" s="20">
        <f t="shared" si="65"/>
        <v>0.13530353453854643</v>
      </c>
      <c r="AK142" s="21">
        <f t="shared" si="66"/>
        <v>0.17056039190032568</v>
      </c>
      <c r="AL142" s="21">
        <f t="shared" si="67"/>
        <v>-4.4317946310886036E-2</v>
      </c>
      <c r="AM142" s="31"/>
      <c r="AO142" s="38">
        <f t="shared" si="68"/>
        <v>46161</v>
      </c>
      <c r="AP142" s="17">
        <f t="shared" si="56"/>
        <v>3384960.2068965519</v>
      </c>
      <c r="AQ142" s="17">
        <f>+Tabla22[[#This Row],[Meli Drop 2025]]+Tabla22[[#This Row],[Meli Full 2025]]+Tabla22[[#This Row],[Amazon Drop 2025]]+Tabla22[[#This Row],[Amazon Full 2025]]+Tabla22[[#This Row],[TikTok 2025]]+Tabla22[[#This Row],[Shein 2025]]</f>
        <v>572307</v>
      </c>
      <c r="AR142" s="17">
        <f t="shared" si="69"/>
        <v>4315099</v>
      </c>
      <c r="AS142" s="17">
        <f t="shared" si="70"/>
        <v>472391</v>
      </c>
      <c r="AT142" s="18">
        <f t="shared" si="71"/>
        <v>0.27478573934440176</v>
      </c>
      <c r="AU142" s="18">
        <f t="shared" si="72"/>
        <v>-0.17458461979322282</v>
      </c>
      <c r="AV142" s="49">
        <f t="shared" si="73"/>
        <v>4380268.2390230801</v>
      </c>
      <c r="AW142" s="49">
        <f t="shared" si="74"/>
        <v>689687.35411762702</v>
      </c>
      <c r="AX142" s="39">
        <f t="shared" si="75"/>
        <v>0.98512208945504798</v>
      </c>
      <c r="AY142" s="39">
        <f t="shared" si="76"/>
        <v>0.68493498855632651</v>
      </c>
      <c r="AZ142" s="39">
        <f t="shared" si="77"/>
        <v>0.94428637727658538</v>
      </c>
      <c r="BA142" s="18">
        <v>2.4729820402254198E-2</v>
      </c>
      <c r="BB142" s="20">
        <v>4.0742127247404197E-2</v>
      </c>
      <c r="BC142" s="17">
        <f t="shared" si="78"/>
        <v>-65169.239023080096</v>
      </c>
      <c r="BD142" s="17">
        <f t="shared" si="79"/>
        <v>-217296.35411762702</v>
      </c>
      <c r="BF142" s="27">
        <f t="shared" si="57"/>
        <v>5.5369633867168887E-2</v>
      </c>
      <c r="BG142" s="27">
        <f t="shared" si="58"/>
        <v>4.1466074058531296E-2</v>
      </c>
    </row>
    <row r="143" spans="1:59" ht="14.25" hidden="1" customHeight="1" x14ac:dyDescent="0.35">
      <c r="A143" s="19">
        <v>45797</v>
      </c>
      <c r="B143" s="17">
        <f>+'BD MD'!B142</f>
        <v>29370833</v>
      </c>
      <c r="C143" s="17">
        <f t="shared" si="59"/>
        <v>3973977.5172413792</v>
      </c>
      <c r="D143" s="18">
        <f t="shared" si="55"/>
        <v>3.7485213572074183E-2</v>
      </c>
      <c r="E143" s="17">
        <v>32746350</v>
      </c>
      <c r="F143" s="19">
        <v>46162</v>
      </c>
      <c r="G143" s="17">
        <f t="shared" si="60"/>
        <v>5085439.3611811008</v>
      </c>
      <c r="H143" s="17">
        <v>4478766.5483424496</v>
      </c>
      <c r="I143" s="17">
        <v>606672.81283865101</v>
      </c>
      <c r="J143" s="17">
        <v>3241569</v>
      </c>
      <c r="K143" s="17">
        <v>4079378</v>
      </c>
      <c r="L143" s="17">
        <v>22440.517241379301</v>
      </c>
      <c r="M143" s="17">
        <v>21174</v>
      </c>
      <c r="N143" s="17">
        <v>94697</v>
      </c>
      <c r="O143" s="17">
        <v>58712</v>
      </c>
      <c r="P143" s="17">
        <v>6895</v>
      </c>
      <c r="Q143" s="17">
        <v>0</v>
      </c>
      <c r="R143" s="17">
        <v>104955</v>
      </c>
      <c r="S143" s="17">
        <v>84547</v>
      </c>
      <c r="T143" s="17">
        <v>334212</v>
      </c>
      <c r="U143" s="17">
        <v>418327</v>
      </c>
      <c r="V143" s="17">
        <v>131940</v>
      </c>
      <c r="W143" s="17">
        <v>105255</v>
      </c>
      <c r="X143" s="17">
        <v>26309</v>
      </c>
      <c r="Y143" s="17">
        <v>23214</v>
      </c>
      <c r="Z143" s="17">
        <v>10960</v>
      </c>
      <c r="AA143" s="17">
        <v>10330</v>
      </c>
      <c r="AB143" s="17">
        <v>0</v>
      </c>
      <c r="AC143" s="17">
        <v>1645</v>
      </c>
      <c r="AD143" s="17">
        <v>0</v>
      </c>
      <c r="AE143" s="17">
        <v>4650</v>
      </c>
      <c r="AF143" s="17">
        <f t="shared" si="61"/>
        <v>4807232</v>
      </c>
      <c r="AG143" s="18">
        <f t="shared" si="62"/>
        <v>0.94529334804289422</v>
      </c>
      <c r="AH143" s="17">
        <f t="shared" si="63"/>
        <v>-278207.36118110083</v>
      </c>
      <c r="AI143" s="20">
        <f t="shared" si="64"/>
        <v>0.36096378643141747</v>
      </c>
      <c r="AJ143" s="20">
        <f t="shared" si="65"/>
        <v>0.109139823518716</v>
      </c>
      <c r="AK143" s="21">
        <f t="shared" si="66"/>
        <v>0.14680207107051627</v>
      </c>
      <c r="AL143" s="21">
        <f t="shared" si="67"/>
        <v>1.1806893345118752E-2</v>
      </c>
      <c r="AM143" s="31"/>
      <c r="AO143" s="38">
        <f t="shared" si="68"/>
        <v>46162</v>
      </c>
      <c r="AP143" s="17">
        <f t="shared" si="56"/>
        <v>3470556.5172413792</v>
      </c>
      <c r="AQ143" s="17">
        <f>+Tabla22[[#This Row],[Meli Drop 2025]]+Tabla22[[#This Row],[Meli Full 2025]]+Tabla22[[#This Row],[Amazon Drop 2025]]+Tabla22[[#This Row],[Amazon Full 2025]]+Tabla22[[#This Row],[TikTok 2025]]+Tabla22[[#This Row],[Shein 2025]]</f>
        <v>503421</v>
      </c>
      <c r="AR143" s="17">
        <f t="shared" si="69"/>
        <v>4243811</v>
      </c>
      <c r="AS143" s="17">
        <f t="shared" si="70"/>
        <v>563421</v>
      </c>
      <c r="AT143" s="18">
        <f t="shared" si="71"/>
        <v>0.22280417532956731</v>
      </c>
      <c r="AU143" s="18">
        <f t="shared" si="72"/>
        <v>0.11918453938155138</v>
      </c>
      <c r="AV143" s="49">
        <f t="shared" si="73"/>
        <v>4478766.5483424496</v>
      </c>
      <c r="AW143" s="49">
        <f t="shared" si="74"/>
        <v>606672.81283865101</v>
      </c>
      <c r="AX143" s="39">
        <f t="shared" si="75"/>
        <v>0.94754012163697066</v>
      </c>
      <c r="AY143" s="39">
        <f t="shared" si="76"/>
        <v>0.9287065252911636</v>
      </c>
      <c r="AZ143" s="39">
        <f t="shared" si="77"/>
        <v>0.94529334804289422</v>
      </c>
      <c r="BA143" s="18">
        <v>2.1753203991429802E-2</v>
      </c>
      <c r="BB143" s="20">
        <v>4.1782082767317701E-2</v>
      </c>
      <c r="BC143" s="17">
        <f t="shared" si="78"/>
        <v>-234955.54834244959</v>
      </c>
      <c r="BD143" s="17">
        <f t="shared" si="79"/>
        <v>-43251.812838651007</v>
      </c>
      <c r="BF143" s="27">
        <f t="shared" si="57"/>
        <v>5.6769779238011797E-2</v>
      </c>
      <c r="BG143" s="27">
        <f t="shared" si="58"/>
        <v>3.6474990640722349E-2</v>
      </c>
    </row>
    <row r="144" spans="1:59" ht="14.25" hidden="1" customHeight="1" x14ac:dyDescent="0.35">
      <c r="A144" s="16">
        <v>45798</v>
      </c>
      <c r="B144" s="17">
        <f>+'BD MD'!B143</f>
        <v>32364229</v>
      </c>
      <c r="C144" s="17">
        <f t="shared" si="59"/>
        <v>3532226.2413793104</v>
      </c>
      <c r="D144" s="18">
        <f t="shared" si="55"/>
        <v>3.3318320113421507E-2</v>
      </c>
      <c r="E144" s="17">
        <v>35778618</v>
      </c>
      <c r="F144" s="19">
        <v>46163</v>
      </c>
      <c r="G144" s="17">
        <f t="shared" si="60"/>
        <v>4523339.2005073801</v>
      </c>
      <c r="H144" s="17">
        <v>3791950.55459726</v>
      </c>
      <c r="I144" s="17">
        <v>731388.64591011999</v>
      </c>
      <c r="J144" s="17">
        <v>2735434</v>
      </c>
      <c r="K144" s="17">
        <v>3103521</v>
      </c>
      <c r="L144" s="17">
        <v>22517.241379310301</v>
      </c>
      <c r="M144" s="17">
        <v>20693</v>
      </c>
      <c r="N144" s="17">
        <v>59374</v>
      </c>
      <c r="O144" s="17">
        <v>30196</v>
      </c>
      <c r="P144" s="17">
        <v>11701</v>
      </c>
      <c r="Q144" s="17">
        <v>-383</v>
      </c>
      <c r="R144" s="17">
        <v>96289</v>
      </c>
      <c r="S144" s="17">
        <v>93118</v>
      </c>
      <c r="T144" s="17">
        <v>374047</v>
      </c>
      <c r="U144" s="17">
        <v>304721</v>
      </c>
      <c r="V144" s="17">
        <v>193832</v>
      </c>
      <c r="W144" s="17">
        <v>98067</v>
      </c>
      <c r="X144" s="17">
        <v>28023</v>
      </c>
      <c r="Y144" s="17">
        <v>14821</v>
      </c>
      <c r="Z144" s="17">
        <v>11009</v>
      </c>
      <c r="AA144" s="17">
        <v>5605</v>
      </c>
      <c r="AB144" s="17">
        <v>0</v>
      </c>
      <c r="AC144" s="17">
        <v>1786</v>
      </c>
      <c r="AD144" s="17">
        <v>0</v>
      </c>
      <c r="AE144" s="17">
        <v>2765</v>
      </c>
      <c r="AF144" s="17">
        <f t="shared" si="61"/>
        <v>3674910</v>
      </c>
      <c r="AG144" s="18">
        <f t="shared" si="62"/>
        <v>0.81243299188966145</v>
      </c>
      <c r="AH144" s="17">
        <f t="shared" si="63"/>
        <v>-848429.20050738007</v>
      </c>
      <c r="AI144" s="20">
        <f t="shared" si="64"/>
        <v>6.2421183140606296E-2</v>
      </c>
      <c r="AJ144" s="20">
        <f t="shared" si="65"/>
        <v>9.5491616804777343E-2</v>
      </c>
      <c r="AK144" s="21">
        <f t="shared" si="66"/>
        <v>0.10271246362841628</v>
      </c>
      <c r="AL144" s="21">
        <f t="shared" si="67"/>
        <v>-1.2268687539558787E-2</v>
      </c>
      <c r="AM144" s="31"/>
      <c r="AO144" s="38">
        <f t="shared" si="68"/>
        <v>46163</v>
      </c>
      <c r="AP144" s="17">
        <f t="shared" si="56"/>
        <v>2925315.2413793104</v>
      </c>
      <c r="AQ144" s="17">
        <f>+Tabla22[[#This Row],[Meli Drop 2025]]+Tabla22[[#This Row],[Meli Full 2025]]+Tabla22[[#This Row],[Amazon Drop 2025]]+Tabla22[[#This Row],[Amazon Full 2025]]+Tabla22[[#This Row],[TikTok 2025]]+Tabla22[[#This Row],[Shein 2025]]</f>
        <v>606911</v>
      </c>
      <c r="AR144" s="17">
        <f t="shared" si="69"/>
        <v>3247145</v>
      </c>
      <c r="AS144" s="17">
        <f t="shared" si="70"/>
        <v>427765</v>
      </c>
      <c r="AT144" s="18">
        <f t="shared" si="71"/>
        <v>0.11001541101223133</v>
      </c>
      <c r="AU144" s="18">
        <f t="shared" si="72"/>
        <v>-0.29517672278142926</v>
      </c>
      <c r="AV144" s="49">
        <f t="shared" si="73"/>
        <v>3791950.55459726</v>
      </c>
      <c r="AW144" s="49">
        <f t="shared" si="74"/>
        <v>731388.64591011999</v>
      </c>
      <c r="AX144" s="39">
        <f t="shared" si="75"/>
        <v>0.85632577567849555</v>
      </c>
      <c r="AY144" s="39">
        <f t="shared" si="76"/>
        <v>0.58486688628820727</v>
      </c>
      <c r="AZ144" s="39">
        <f t="shared" si="77"/>
        <v>0.81243299188966145</v>
      </c>
      <c r="BA144" s="18">
        <v>2.6225085540020399E-2</v>
      </c>
      <c r="BB144" s="20">
        <v>3.5275667694059598E-2</v>
      </c>
      <c r="BC144" s="17">
        <f t="shared" si="78"/>
        <v>-544805.55459725996</v>
      </c>
      <c r="BD144" s="17">
        <f t="shared" si="79"/>
        <v>-303623.64591011999</v>
      </c>
      <c r="BF144" s="27">
        <f t="shared" si="57"/>
        <v>4.7850971344128211E-2</v>
      </c>
      <c r="BG144" s="27">
        <f t="shared" si="58"/>
        <v>4.3973280901574305E-2</v>
      </c>
    </row>
    <row r="145" spans="1:62" ht="14.25" hidden="1" customHeight="1" x14ac:dyDescent="0.35">
      <c r="A145" s="19">
        <v>45799</v>
      </c>
      <c r="B145" s="17">
        <f>+'BD MD'!B144</f>
        <v>36223027</v>
      </c>
      <c r="C145" s="17">
        <f t="shared" si="59"/>
        <v>3458995.4137931033</v>
      </c>
      <c r="D145" s="18">
        <f t="shared" si="55"/>
        <v>3.2627557973922978E-2</v>
      </c>
      <c r="E145" s="17">
        <v>40503524</v>
      </c>
      <c r="F145" s="19">
        <v>46164</v>
      </c>
      <c r="G145" s="17">
        <f t="shared" si="60"/>
        <v>4419525.1349156173</v>
      </c>
      <c r="H145" s="17">
        <v>3727009.4103252999</v>
      </c>
      <c r="I145" s="17">
        <v>692515.724590317</v>
      </c>
      <c r="J145" s="17">
        <v>2701648</v>
      </c>
      <c r="K145" s="17">
        <v>2880995</v>
      </c>
      <c r="L145" s="17">
        <v>22197.4137931035</v>
      </c>
      <c r="M145" s="17">
        <v>17373</v>
      </c>
      <c r="N145" s="17">
        <v>57018</v>
      </c>
      <c r="O145" s="17">
        <v>7090</v>
      </c>
      <c r="P145" s="17">
        <v>2723</v>
      </c>
      <c r="Q145" s="17">
        <v>1848</v>
      </c>
      <c r="R145" s="17">
        <v>100755</v>
      </c>
      <c r="S145" s="17">
        <v>133675</v>
      </c>
      <c r="T145" s="17">
        <v>368227</v>
      </c>
      <c r="U145" s="17">
        <v>287211</v>
      </c>
      <c r="V145" s="17">
        <v>184282</v>
      </c>
      <c r="W145" s="17">
        <v>103665</v>
      </c>
      <c r="X145" s="17">
        <v>13230</v>
      </c>
      <c r="Y145" s="17">
        <v>17656</v>
      </c>
      <c r="Z145" s="17">
        <v>8915</v>
      </c>
      <c r="AA145" s="17">
        <v>10102</v>
      </c>
      <c r="AB145" s="17">
        <v>0</v>
      </c>
      <c r="AC145" s="17">
        <v>0</v>
      </c>
      <c r="AD145" s="17">
        <v>0</v>
      </c>
      <c r="AE145" s="17">
        <v>1120</v>
      </c>
      <c r="AF145" s="17">
        <f t="shared" si="61"/>
        <v>3460735</v>
      </c>
      <c r="AG145" s="18">
        <f t="shared" si="62"/>
        <v>0.78305584748440993</v>
      </c>
      <c r="AH145" s="17">
        <f t="shared" si="63"/>
        <v>-958790.13491561729</v>
      </c>
      <c r="AI145" s="20">
        <f t="shared" si="64"/>
        <v>0.36350476509189877</v>
      </c>
      <c r="AJ145" s="20">
        <f t="shared" si="65"/>
        <v>6.8376834962678795E-2</v>
      </c>
      <c r="AK145" s="21">
        <f t="shared" si="66"/>
        <v>8.544281233405765E-2</v>
      </c>
      <c r="AL145" s="21">
        <f t="shared" si="67"/>
        <v>9.1164227237782391E-2</v>
      </c>
      <c r="AM145" s="31"/>
      <c r="AO145" s="38">
        <f t="shared" si="68"/>
        <v>46164</v>
      </c>
      <c r="AP145" s="17">
        <f t="shared" si="56"/>
        <v>2884341.4137931033</v>
      </c>
      <c r="AQ145" s="17">
        <f>+Tabla22[[#This Row],[Meli Drop 2025]]+Tabla22[[#This Row],[Meli Full 2025]]+Tabla22[[#This Row],[Amazon Drop 2025]]+Tabla22[[#This Row],[Amazon Full 2025]]+Tabla22[[#This Row],[TikTok 2025]]+Tabla22[[#This Row],[Shein 2025]]</f>
        <v>574654</v>
      </c>
      <c r="AR145" s="17">
        <f t="shared" si="69"/>
        <v>3040981</v>
      </c>
      <c r="AS145" s="17">
        <f t="shared" si="70"/>
        <v>419754</v>
      </c>
      <c r="AT145" s="18">
        <f t="shared" si="71"/>
        <v>5.4306881098692417E-2</v>
      </c>
      <c r="AU145" s="18">
        <f t="shared" si="72"/>
        <v>-0.2695535052396747</v>
      </c>
      <c r="AV145" s="49">
        <f t="shared" si="73"/>
        <v>3727009.4103252999</v>
      </c>
      <c r="AW145" s="49">
        <f t="shared" si="74"/>
        <v>692515.724590317</v>
      </c>
      <c r="AX145" s="39">
        <f t="shared" si="75"/>
        <v>0.81593059346060992</v>
      </c>
      <c r="AY145" s="39">
        <f t="shared" si="76"/>
        <v>0.60612919691942135</v>
      </c>
      <c r="AZ145" s="39">
        <f t="shared" si="77"/>
        <v>0.78305584748440993</v>
      </c>
      <c r="BA145" s="18">
        <v>2.4831236055887801E-2</v>
      </c>
      <c r="BB145" s="20">
        <v>3.4783448785405603E-2</v>
      </c>
      <c r="BC145" s="17">
        <f t="shared" si="78"/>
        <v>-686028.41032529995</v>
      </c>
      <c r="BD145" s="17">
        <f t="shared" si="79"/>
        <v>-272761.724590317</v>
      </c>
      <c r="BF145" s="27">
        <f t="shared" si="57"/>
        <v>4.718074017657637E-2</v>
      </c>
      <c r="BG145" s="27">
        <f t="shared" si="58"/>
        <v>4.1636124181656423E-2</v>
      </c>
    </row>
    <row r="146" spans="1:62" ht="14.25" hidden="1" customHeight="1" x14ac:dyDescent="0.35">
      <c r="A146" s="16">
        <v>45800</v>
      </c>
      <c r="B146" s="17">
        <f>+'BD MD'!B145</f>
        <v>37119549</v>
      </c>
      <c r="C146" s="17">
        <f t="shared" si="59"/>
        <v>2538117.2758620689</v>
      </c>
      <c r="D146" s="18">
        <f t="shared" si="55"/>
        <v>2.3941219532290038E-2</v>
      </c>
      <c r="E146" s="17">
        <v>49237984</v>
      </c>
      <c r="F146" s="19">
        <v>46165</v>
      </c>
      <c r="G146" s="17">
        <f t="shared" si="60"/>
        <v>3232528.9287060522</v>
      </c>
      <c r="H146" s="17">
        <v>2579504.3419044302</v>
      </c>
      <c r="I146" s="17">
        <v>653024.58680162195</v>
      </c>
      <c r="J146" s="17">
        <v>1819774</v>
      </c>
      <c r="K146" s="17">
        <v>2252409</v>
      </c>
      <c r="L146" s="17">
        <v>21773.275862069</v>
      </c>
      <c r="M146" s="17">
        <v>21274</v>
      </c>
      <c r="N146" s="17">
        <v>44511</v>
      </c>
      <c r="O146" s="17">
        <v>-3235</v>
      </c>
      <c r="P146" s="17">
        <v>5468</v>
      </c>
      <c r="Q146" s="17">
        <v>3525</v>
      </c>
      <c r="R146" s="17">
        <v>104707</v>
      </c>
      <c r="S146" s="17">
        <v>110170</v>
      </c>
      <c r="T146" s="17">
        <v>359912</v>
      </c>
      <c r="U146" s="17">
        <v>326147</v>
      </c>
      <c r="V146" s="17">
        <v>161958</v>
      </c>
      <c r="W146" s="17">
        <v>99899</v>
      </c>
      <c r="X146" s="17">
        <v>14507</v>
      </c>
      <c r="Y146" s="17">
        <v>20856</v>
      </c>
      <c r="Z146" s="17">
        <v>5507</v>
      </c>
      <c r="AA146" s="17">
        <v>6566</v>
      </c>
      <c r="AB146" s="17">
        <v>0</v>
      </c>
      <c r="AC146" s="17">
        <v>897</v>
      </c>
      <c r="AD146" s="17">
        <v>0</v>
      </c>
      <c r="AE146" s="17">
        <v>6159</v>
      </c>
      <c r="AF146" s="17">
        <f t="shared" si="61"/>
        <v>2844667</v>
      </c>
      <c r="AG146" s="18">
        <f t="shared" si="62"/>
        <v>0.88001285146694441</v>
      </c>
      <c r="AH146" s="17">
        <f t="shared" si="63"/>
        <v>-387861.92870605225</v>
      </c>
      <c r="AI146" s="20">
        <f t="shared" si="64"/>
        <v>0.37904718240827573</v>
      </c>
      <c r="AJ146" s="20">
        <f t="shared" si="65"/>
        <v>4.5166970814255657E-2</v>
      </c>
      <c r="AK146" s="21">
        <f t="shared" si="66"/>
        <v>5.7773831682466935E-2</v>
      </c>
      <c r="AL146" s="21">
        <f t="shared" si="67"/>
        <v>7.8124507677736599E-2</v>
      </c>
      <c r="AM146" s="31"/>
      <c r="AO146" s="38">
        <f t="shared" si="68"/>
        <v>46165</v>
      </c>
      <c r="AP146" s="17">
        <f t="shared" si="56"/>
        <v>1996233.2758620691</v>
      </c>
      <c r="AQ146" s="17">
        <f>+Tabla22[[#This Row],[Meli Drop 2025]]+Tabla22[[#This Row],[Meli Full 2025]]+Tabla22[[#This Row],[Amazon Drop 2025]]+Tabla22[[#This Row],[Amazon Full 2025]]+Tabla22[[#This Row],[TikTok 2025]]+Tabla22[[#This Row],[Shein 2025]]</f>
        <v>541884</v>
      </c>
      <c r="AR146" s="17">
        <f t="shared" si="69"/>
        <v>2384143</v>
      </c>
      <c r="AS146" s="17">
        <f t="shared" si="70"/>
        <v>460524</v>
      </c>
      <c r="AT146" s="18">
        <f t="shared" si="71"/>
        <v>0.19432083856552929</v>
      </c>
      <c r="AU146" s="18">
        <f t="shared" si="72"/>
        <v>-0.15014283499789627</v>
      </c>
      <c r="AV146" s="49">
        <f t="shared" si="73"/>
        <v>2579504.3419044302</v>
      </c>
      <c r="AW146" s="49">
        <f t="shared" si="74"/>
        <v>653024.58680162195</v>
      </c>
      <c r="AX146" s="39">
        <f t="shared" si="75"/>
        <v>0.92426399958675931</v>
      </c>
      <c r="AY146" s="39">
        <f t="shared" si="76"/>
        <v>0.70521693869988933</v>
      </c>
      <c r="AZ146" s="39">
        <f t="shared" si="77"/>
        <v>0.88001285146694441</v>
      </c>
      <c r="BA146" s="18">
        <v>2.3415219451893999E-2</v>
      </c>
      <c r="BB146" s="20">
        <v>2.4143218851776001E-2</v>
      </c>
      <c r="BC146" s="17">
        <f t="shared" si="78"/>
        <v>-195361.34190443018</v>
      </c>
      <c r="BD146" s="17">
        <f t="shared" si="79"/>
        <v>-192500.58680162195</v>
      </c>
      <c r="BF146" s="27">
        <f t="shared" si="57"/>
        <v>3.2653472667934336E-2</v>
      </c>
      <c r="BG146" s="27">
        <f t="shared" si="58"/>
        <v>3.92617984318437E-2</v>
      </c>
    </row>
    <row r="147" spans="1:62" ht="14.25" hidden="1" customHeight="1" x14ac:dyDescent="0.35">
      <c r="A147" s="19">
        <v>45801</v>
      </c>
      <c r="B147" s="17">
        <f>+'BD MD'!B146</f>
        <v>45670035</v>
      </c>
      <c r="C147" s="17">
        <f t="shared" si="59"/>
        <v>2062777.1379310344</v>
      </c>
      <c r="D147" s="18">
        <f t="shared" si="55"/>
        <v>1.9457493463780992E-2</v>
      </c>
      <c r="E147" s="17">
        <v>47019817</v>
      </c>
      <c r="F147" s="19">
        <v>46166</v>
      </c>
      <c r="G147" s="17">
        <f t="shared" si="60"/>
        <v>2628853.6956993621</v>
      </c>
      <c r="H147" s="17">
        <v>2015701.05839047</v>
      </c>
      <c r="I147" s="17">
        <v>613152.63730889198</v>
      </c>
      <c r="J147" s="17">
        <v>1467747</v>
      </c>
      <c r="K147" s="17">
        <v>2731286</v>
      </c>
      <c r="L147" s="17">
        <v>21924.1379310345</v>
      </c>
      <c r="M147" s="17">
        <v>21174</v>
      </c>
      <c r="N147" s="17">
        <v>4053</v>
      </c>
      <c r="O147" s="17">
        <v>0</v>
      </c>
      <c r="P147" s="17">
        <v>-155</v>
      </c>
      <c r="Q147" s="17">
        <v>4187</v>
      </c>
      <c r="R147" s="17">
        <v>60410</v>
      </c>
      <c r="S147" s="17">
        <v>63021</v>
      </c>
      <c r="T147" s="17">
        <v>342742</v>
      </c>
      <c r="U147" s="17">
        <v>343565</v>
      </c>
      <c r="V147" s="17">
        <v>137614</v>
      </c>
      <c r="W147" s="17">
        <v>92128</v>
      </c>
      <c r="X147" s="17">
        <v>23925</v>
      </c>
      <c r="Y147" s="17">
        <v>20143</v>
      </c>
      <c r="Z147" s="17">
        <v>4517</v>
      </c>
      <c r="AA147" s="17">
        <v>11392</v>
      </c>
      <c r="AB147" s="17">
        <v>0</v>
      </c>
      <c r="AC147" s="17">
        <v>4347</v>
      </c>
      <c r="AD147" s="17">
        <v>0</v>
      </c>
      <c r="AE147" s="17">
        <v>6416</v>
      </c>
      <c r="AF147" s="17">
        <f t="shared" si="61"/>
        <v>3297659</v>
      </c>
      <c r="AG147" s="18">
        <f t="shared" si="62"/>
        <v>1.2544094809820574</v>
      </c>
      <c r="AH147" s="17">
        <f t="shared" si="63"/>
        <v>668805.30430063792</v>
      </c>
      <c r="AI147" s="20">
        <f t="shared" si="64"/>
        <v>0.41591688492250722</v>
      </c>
      <c r="AJ147" s="20">
        <f t="shared" si="65"/>
        <v>5.4064016684238492E-2</v>
      </c>
      <c r="AK147" s="21">
        <f t="shared" si="66"/>
        <v>7.0133386525090047E-2</v>
      </c>
      <c r="AL147" s="21">
        <f t="shared" si="67"/>
        <v>9.1493764707337943E-2</v>
      </c>
      <c r="AM147" s="31"/>
      <c r="AO147" s="38">
        <f t="shared" si="68"/>
        <v>46166</v>
      </c>
      <c r="AP147" s="17">
        <f t="shared" si="56"/>
        <v>1553979.1379310344</v>
      </c>
      <c r="AQ147" s="17">
        <f>+Tabla22[[#This Row],[Meli Drop 2025]]+Tabla22[[#This Row],[Meli Full 2025]]+Tabla22[[#This Row],[Amazon Drop 2025]]+Tabla22[[#This Row],[Amazon Full 2025]]+Tabla22[[#This Row],[TikTok 2025]]+Tabla22[[#This Row],[Shein 2025]]</f>
        <v>508798</v>
      </c>
      <c r="AR147" s="17">
        <f t="shared" si="69"/>
        <v>2819668</v>
      </c>
      <c r="AS147" s="17">
        <f t="shared" si="70"/>
        <v>477991</v>
      </c>
      <c r="AT147" s="18">
        <f t="shared" si="71"/>
        <v>0.81448253144125338</v>
      </c>
      <c r="AU147" s="18">
        <f t="shared" si="72"/>
        <v>-6.0548587062056014E-2</v>
      </c>
      <c r="AV147" s="49">
        <f t="shared" si="73"/>
        <v>2015701.05839047</v>
      </c>
      <c r="AW147" s="49">
        <f t="shared" si="74"/>
        <v>613152.63730889198</v>
      </c>
      <c r="AX147" s="39">
        <f t="shared" si="75"/>
        <v>1.3988522694191046</v>
      </c>
      <c r="AY147" s="39">
        <f t="shared" si="76"/>
        <v>0.779562821580427</v>
      </c>
      <c r="AZ147" s="39">
        <f t="shared" si="77"/>
        <v>1.2544094809820574</v>
      </c>
      <c r="BA147" s="18">
        <v>2.1985548247751799E-2</v>
      </c>
      <c r="BB147" s="20">
        <v>1.8863835412917002E-2</v>
      </c>
      <c r="BC147" s="17">
        <f t="shared" si="78"/>
        <v>803966.94160953001</v>
      </c>
      <c r="BD147" s="17">
        <f t="shared" si="79"/>
        <v>-135161.63730889198</v>
      </c>
      <c r="BF147" s="27">
        <f t="shared" si="57"/>
        <v>2.5419281363826589E-2</v>
      </c>
      <c r="BG147" s="27">
        <f t="shared" si="58"/>
        <v>3.6864577139249746E-2</v>
      </c>
    </row>
    <row r="148" spans="1:62" ht="14.25" hidden="1" customHeight="1" x14ac:dyDescent="0.35">
      <c r="A148" s="16">
        <v>45802</v>
      </c>
      <c r="B148" s="17">
        <f>+'BD MD'!B147</f>
        <v>43078411</v>
      </c>
      <c r="C148" s="17">
        <f t="shared" si="59"/>
        <v>2328991.931034483</v>
      </c>
      <c r="D148" s="18">
        <f t="shared" si="55"/>
        <v>2.1968609425618523E-2</v>
      </c>
      <c r="E148" s="17">
        <v>28212621</v>
      </c>
      <c r="F148" s="19">
        <v>46167</v>
      </c>
      <c r="G148" s="22">
        <f t="shared" si="60"/>
        <v>5985763.6744493097</v>
      </c>
      <c r="H148" s="22">
        <v>4709965.1085457699</v>
      </c>
      <c r="I148" s="22">
        <v>1275798.56590354</v>
      </c>
      <c r="J148" s="17">
        <v>1619702</v>
      </c>
      <c r="K148" s="17">
        <v>4611370</v>
      </c>
      <c r="L148" s="17">
        <v>27512.931034482801</v>
      </c>
      <c r="M148" s="17">
        <v>20489</v>
      </c>
      <c r="N148" s="17">
        <v>7700</v>
      </c>
      <c r="O148" s="17">
        <v>30700</v>
      </c>
      <c r="P148" s="17">
        <v>-1294</v>
      </c>
      <c r="Q148" s="17">
        <v>4699</v>
      </c>
      <c r="R148" s="17">
        <v>100831</v>
      </c>
      <c r="S148" s="17">
        <v>78900</v>
      </c>
      <c r="T148" s="17">
        <v>396662</v>
      </c>
      <c r="U148" s="17">
        <v>902125</v>
      </c>
      <c r="V148" s="17">
        <v>149588</v>
      </c>
      <c r="W148" s="17">
        <v>237474</v>
      </c>
      <c r="X148" s="17">
        <v>19789</v>
      </c>
      <c r="Y148" s="17">
        <v>36431</v>
      </c>
      <c r="Z148" s="17">
        <v>8501</v>
      </c>
      <c r="AA148" s="17">
        <v>12811</v>
      </c>
      <c r="AB148" s="17">
        <v>0</v>
      </c>
      <c r="AC148" s="17">
        <v>3362</v>
      </c>
      <c r="AD148" s="17">
        <v>0</v>
      </c>
      <c r="AE148" s="17">
        <v>7492</v>
      </c>
      <c r="AF148" s="17">
        <f t="shared" si="61"/>
        <v>5945853</v>
      </c>
      <c r="AG148" s="18">
        <f t="shared" si="62"/>
        <v>0.99333240057243299</v>
      </c>
      <c r="AH148" s="17">
        <f t="shared" si="63"/>
        <v>-39910.674449309707</v>
      </c>
      <c r="AI148" s="20">
        <f t="shared" si="64"/>
        <v>0.30335951840493758</v>
      </c>
      <c r="AJ148" s="20">
        <f t="shared" si="65"/>
        <v>0.17268567019317921</v>
      </c>
      <c r="AK148" s="21">
        <f t="shared" si="66"/>
        <v>0.21075152854461837</v>
      </c>
      <c r="AL148" s="21">
        <f t="shared" si="67"/>
        <v>6.7947233847776678E-2</v>
      </c>
      <c r="AM148" s="31"/>
      <c r="AO148" s="38">
        <f t="shared" si="68"/>
        <v>46167</v>
      </c>
      <c r="AP148" s="17">
        <f t="shared" si="56"/>
        <v>1754451.9310344828</v>
      </c>
      <c r="AQ148" s="17">
        <f>+Tabla22[[#This Row],[Meli Drop 2025]]+Tabla22[[#This Row],[Meli Full 2025]]+Tabla22[[#This Row],[Amazon Drop 2025]]+Tabla22[[#This Row],[Amazon Full 2025]]+Tabla22[[#This Row],[TikTok 2025]]+Tabla22[[#This Row],[Shein 2025]]</f>
        <v>574540</v>
      </c>
      <c r="AR148" s="17">
        <f t="shared" si="69"/>
        <v>4746158</v>
      </c>
      <c r="AS148" s="17">
        <f t="shared" si="70"/>
        <v>1199695</v>
      </c>
      <c r="AT148" s="18">
        <f t="shared" si="71"/>
        <v>1.7052083423006685</v>
      </c>
      <c r="AU148" s="18">
        <f t="shared" si="72"/>
        <v>1.0880965642078881</v>
      </c>
      <c r="AV148" s="49">
        <f t="shared" si="73"/>
        <v>4709965.1085457699</v>
      </c>
      <c r="AW148" s="49">
        <f t="shared" si="74"/>
        <v>1275798.56590354</v>
      </c>
      <c r="AX148" s="39">
        <f t="shared" si="75"/>
        <v>1.0076843226266288</v>
      </c>
      <c r="AY148" s="39">
        <f t="shared" si="76"/>
        <v>0.94034829013180288</v>
      </c>
      <c r="AZ148" s="39">
        <f t="shared" si="77"/>
        <v>0.99333240057243299</v>
      </c>
      <c r="BA148" s="18">
        <v>2.4826310029252001E-2</v>
      </c>
      <c r="BB148" s="20">
        <v>2.1329423075854101E-2</v>
      </c>
      <c r="BC148" s="17">
        <f t="shared" si="78"/>
        <v>36192.891454230063</v>
      </c>
      <c r="BD148" s="17">
        <f t="shared" si="79"/>
        <v>-76103.565903540002</v>
      </c>
    </row>
    <row r="149" spans="1:62" ht="14.25" hidden="1" customHeight="1" x14ac:dyDescent="0.35">
      <c r="A149" s="19">
        <v>45803</v>
      </c>
      <c r="B149" s="17">
        <f>+'BD MD'!B148</f>
        <v>26417617</v>
      </c>
      <c r="C149" s="17">
        <f t="shared" si="59"/>
        <v>4561943.8965517245</v>
      </c>
      <c r="D149" s="18">
        <f t="shared" si="55"/>
        <v>4.3031305668978406E-2</v>
      </c>
      <c r="E149" s="17">
        <v>31205655</v>
      </c>
      <c r="F149" s="19">
        <v>46168</v>
      </c>
      <c r="G149" s="22">
        <f t="shared" si="60"/>
        <v>7684050.9479068602</v>
      </c>
      <c r="H149" s="22">
        <v>5592266.5572508499</v>
      </c>
      <c r="I149" s="22">
        <v>2091784.39065601</v>
      </c>
      <c r="J149" s="17">
        <v>3445706</v>
      </c>
      <c r="K149" s="17">
        <v>4676609</v>
      </c>
      <c r="L149" s="17">
        <v>24606.896551724101</v>
      </c>
      <c r="M149" s="17">
        <v>26116</v>
      </c>
      <c r="N149" s="17">
        <v>37482</v>
      </c>
      <c r="O149" s="17">
        <v>76532</v>
      </c>
      <c r="P149" s="17">
        <v>8128</v>
      </c>
      <c r="Q149" s="17">
        <v>5544</v>
      </c>
      <c r="R149" s="17">
        <v>96490</v>
      </c>
      <c r="S149" s="17">
        <v>91220</v>
      </c>
      <c r="T149" s="17">
        <v>729673</v>
      </c>
      <c r="U149" s="17">
        <v>1074734</v>
      </c>
      <c r="V149" s="17">
        <v>173445</v>
      </c>
      <c r="W149" s="17">
        <v>170033</v>
      </c>
      <c r="X149" s="17">
        <v>31849</v>
      </c>
      <c r="Y149" s="17">
        <v>28875</v>
      </c>
      <c r="Z149" s="17">
        <v>14564</v>
      </c>
      <c r="AA149" s="17">
        <v>10958</v>
      </c>
      <c r="AB149" s="17">
        <v>0</v>
      </c>
      <c r="AC149" s="17">
        <v>3874</v>
      </c>
      <c r="AD149" s="17">
        <v>0</v>
      </c>
      <c r="AE149" s="17">
        <v>3186</v>
      </c>
      <c r="AF149" s="17">
        <f t="shared" si="61"/>
        <v>6167681</v>
      </c>
      <c r="AG149" s="18">
        <f t="shared" si="62"/>
        <v>0.80266008669295452</v>
      </c>
      <c r="AH149" s="17">
        <f t="shared" si="63"/>
        <v>-1516369.9479068602</v>
      </c>
      <c r="AI149" s="20">
        <f t="shared" si="64"/>
        <v>5.316566600096162E-2</v>
      </c>
      <c r="AJ149" s="20">
        <f t="shared" si="65"/>
        <v>0.18549284450210379</v>
      </c>
      <c r="AK149" s="21">
        <f t="shared" si="66"/>
        <v>0.19764625994871762</v>
      </c>
      <c r="AL149" s="21">
        <f t="shared" si="67"/>
        <v>-1.1594273682898226E-2</v>
      </c>
      <c r="AM149" s="31"/>
      <c r="AO149" s="38">
        <f t="shared" si="68"/>
        <v>46168</v>
      </c>
      <c r="AP149" s="17">
        <f t="shared" si="56"/>
        <v>3612412.8965517241</v>
      </c>
      <c r="AQ149" s="17">
        <f>+Tabla22[[#This Row],[Meli Drop 2025]]+Tabla22[[#This Row],[Meli Full 2025]]+Tabla22[[#This Row],[Amazon Drop 2025]]+Tabla22[[#This Row],[Amazon Full 2025]]+Tabla22[[#This Row],[TikTok 2025]]+Tabla22[[#This Row],[Shein 2025]]</f>
        <v>949531</v>
      </c>
      <c r="AR149" s="17">
        <f t="shared" si="69"/>
        <v>4876021</v>
      </c>
      <c r="AS149" s="17">
        <f t="shared" si="70"/>
        <v>1291660</v>
      </c>
      <c r="AT149" s="18">
        <f t="shared" si="71"/>
        <v>0.34979614447021534</v>
      </c>
      <c r="AU149" s="18">
        <f t="shared" si="72"/>
        <v>0.36031367064371778</v>
      </c>
      <c r="AV149" s="49">
        <f t="shared" si="73"/>
        <v>5592266.5572508499</v>
      </c>
      <c r="AW149" s="49">
        <f t="shared" si="74"/>
        <v>2091784.39065601</v>
      </c>
      <c r="AX149" s="39">
        <f t="shared" si="75"/>
        <v>0.8719221356996697</v>
      </c>
      <c r="AY149" s="39">
        <f t="shared" si="76"/>
        <v>0.61749193930781709</v>
      </c>
      <c r="AZ149" s="39">
        <f t="shared" si="77"/>
        <v>0.80266008669295452</v>
      </c>
      <c r="BA149" s="18">
        <v>4.1029956118609101E-2</v>
      </c>
      <c r="BB149" s="20">
        <v>4.3514542933714602E-2</v>
      </c>
      <c r="BC149" s="17">
        <f t="shared" si="78"/>
        <v>-716245.5572508499</v>
      </c>
      <c r="BD149" s="17">
        <f t="shared" si="79"/>
        <v>-800124.39065601001</v>
      </c>
    </row>
    <row r="150" spans="1:62" ht="14.25" hidden="1" customHeight="1" x14ac:dyDescent="0.35">
      <c r="A150" s="16">
        <v>45804</v>
      </c>
      <c r="B150" s="17">
        <f>+'BD MD'!B149</f>
        <v>31571706</v>
      </c>
      <c r="C150" s="17">
        <f t="shared" si="59"/>
        <v>5856325.5517241377</v>
      </c>
      <c r="D150" s="18">
        <f t="shared" si="55"/>
        <v>5.5240779068715731E-2</v>
      </c>
      <c r="E150" s="17">
        <v>33438597</v>
      </c>
      <c r="F150" s="19">
        <v>46169</v>
      </c>
      <c r="G150" s="22">
        <f t="shared" si="60"/>
        <v>7450207.6240357403</v>
      </c>
      <c r="H150" s="22">
        <v>5010773.0662852004</v>
      </c>
      <c r="I150" s="22">
        <v>2439434.5577505399</v>
      </c>
      <c r="J150" s="17">
        <v>4079869</v>
      </c>
      <c r="K150" s="17">
        <v>3970639</v>
      </c>
      <c r="L150" s="17">
        <v>24421.551724137898</v>
      </c>
      <c r="M150" s="17">
        <v>29228</v>
      </c>
      <c r="N150" s="17">
        <v>55831</v>
      </c>
      <c r="O150" s="17">
        <v>26769</v>
      </c>
      <c r="P150" s="17">
        <v>10097</v>
      </c>
      <c r="Q150" s="17">
        <v>11997</v>
      </c>
      <c r="R150" s="17">
        <v>119447</v>
      </c>
      <c r="S150" s="17">
        <v>83615</v>
      </c>
      <c r="T150" s="17">
        <v>1213906</v>
      </c>
      <c r="U150" s="17">
        <v>850183</v>
      </c>
      <c r="V150" s="17">
        <v>294966</v>
      </c>
      <c r="W150" s="17">
        <v>220841</v>
      </c>
      <c r="X150" s="17">
        <v>45119</v>
      </c>
      <c r="Y150" s="17">
        <v>23508</v>
      </c>
      <c r="Z150" s="17">
        <v>12669</v>
      </c>
      <c r="AA150" s="17">
        <v>11096</v>
      </c>
      <c r="AB150" s="17">
        <v>0</v>
      </c>
      <c r="AC150" s="17">
        <v>6482</v>
      </c>
      <c r="AD150" s="17">
        <v>0</v>
      </c>
      <c r="AE150" s="17">
        <v>4996</v>
      </c>
      <c r="AF150" s="17">
        <f t="shared" si="61"/>
        <v>5239354</v>
      </c>
      <c r="AG150" s="18">
        <f t="shared" si="62"/>
        <v>0.70324939443256318</v>
      </c>
      <c r="AH150" s="17">
        <f t="shared" si="63"/>
        <v>-2210853.6240357403</v>
      </c>
      <c r="AI150" s="20">
        <f t="shared" si="64"/>
        <v>-7.5743395948388192E-2</v>
      </c>
      <c r="AJ150" s="20">
        <f t="shared" si="65"/>
        <v>0.16517167013703651</v>
      </c>
      <c r="AK150" s="21">
        <f t="shared" si="66"/>
        <v>0.15668582028127556</v>
      </c>
      <c r="AL150" s="21">
        <f t="shared" si="67"/>
        <v>-2.5687157572140129E-2</v>
      </c>
      <c r="AM150" s="31"/>
      <c r="AO150" s="38">
        <f t="shared" si="68"/>
        <v>46169</v>
      </c>
      <c r="AP150" s="17">
        <f t="shared" si="56"/>
        <v>4289665.5517241377</v>
      </c>
      <c r="AQ150" s="17">
        <f>+Tabla22[[#This Row],[Meli Drop 2025]]+Tabla22[[#This Row],[Meli Full 2025]]+Tabla22[[#This Row],[Amazon Drop 2025]]+Tabla22[[#This Row],[Amazon Full 2025]]+Tabla22[[#This Row],[TikTok 2025]]+Tabla22[[#This Row],[Shein 2025]]</f>
        <v>1566660</v>
      </c>
      <c r="AR150" s="17">
        <f t="shared" si="69"/>
        <v>4122248</v>
      </c>
      <c r="AS150" s="17">
        <f t="shared" si="70"/>
        <v>1117106</v>
      </c>
      <c r="AT150" s="18">
        <f t="shared" si="71"/>
        <v>-3.9028112962524064E-2</v>
      </c>
      <c r="AU150" s="18">
        <f t="shared" si="72"/>
        <v>-0.28695058276843732</v>
      </c>
      <c r="AV150" s="49">
        <f t="shared" si="73"/>
        <v>5010773.0662852004</v>
      </c>
      <c r="AW150" s="49">
        <f t="shared" si="74"/>
        <v>2439434.5577505399</v>
      </c>
      <c r="AX150" s="39">
        <f t="shared" si="75"/>
        <v>0.82267704912369544</v>
      </c>
      <c r="AY150" s="39">
        <f t="shared" si="76"/>
        <v>0.45793644943281847</v>
      </c>
      <c r="AZ150" s="39">
        <f t="shared" si="77"/>
        <v>0.70324939443256318</v>
      </c>
      <c r="BA150" s="18">
        <v>6.7696569203933396E-2</v>
      </c>
      <c r="BB150" s="20">
        <v>5.1608621267356797E-2</v>
      </c>
      <c r="BC150" s="17">
        <f t="shared" si="78"/>
        <v>-888525.06628520042</v>
      </c>
      <c r="BD150" s="17">
        <f t="shared" si="79"/>
        <v>-1322328.5577505399</v>
      </c>
    </row>
    <row r="151" spans="1:62" ht="14.25" hidden="1" customHeight="1" x14ac:dyDescent="0.35">
      <c r="A151" s="19">
        <v>45805</v>
      </c>
      <c r="B151" s="17">
        <f>+'BD MD'!B150</f>
        <v>34320185</v>
      </c>
      <c r="C151" s="17">
        <f t="shared" si="59"/>
        <v>5668722.2758620689</v>
      </c>
      <c r="D151" s="18">
        <f t="shared" si="55"/>
        <v>5.3471179509583834E-2</v>
      </c>
      <c r="E151" s="17">
        <v>37446290</v>
      </c>
      <c r="F151" s="19">
        <v>46170</v>
      </c>
      <c r="G151" s="22">
        <f t="shared" si="60"/>
        <v>6189474.6488193097</v>
      </c>
      <c r="H151" s="22">
        <v>4109781.6677747699</v>
      </c>
      <c r="I151" s="22">
        <v>2079692.9810445399</v>
      </c>
      <c r="J151" s="17">
        <v>3654732</v>
      </c>
      <c r="K151" s="17">
        <v>3618780</v>
      </c>
      <c r="L151" s="17">
        <v>31223.275862069</v>
      </c>
      <c r="M151" s="17">
        <v>31726</v>
      </c>
      <c r="N151" s="17">
        <v>60377</v>
      </c>
      <c r="O151" s="52">
        <v>13833</v>
      </c>
      <c r="P151" s="17">
        <v>8759</v>
      </c>
      <c r="Q151" s="17">
        <v>1382</v>
      </c>
      <c r="R151" s="17">
        <v>88703</v>
      </c>
      <c r="S151" s="17">
        <v>98131</v>
      </c>
      <c r="T151" s="17">
        <v>1382114</v>
      </c>
      <c r="U151" s="17">
        <v>756891</v>
      </c>
      <c r="V151" s="17">
        <v>371492</v>
      </c>
      <c r="W151" s="17">
        <v>201932</v>
      </c>
      <c r="X151" s="17">
        <v>45166</v>
      </c>
      <c r="Y151" s="17">
        <v>33137</v>
      </c>
      <c r="Z151" s="17">
        <v>26156</v>
      </c>
      <c r="AA151" s="17">
        <v>11225</v>
      </c>
      <c r="AB151" s="17">
        <v>0</v>
      </c>
      <c r="AC151" s="17">
        <v>4271</v>
      </c>
      <c r="AD151" s="17">
        <v>0</v>
      </c>
      <c r="AE151" s="17">
        <v>2454</v>
      </c>
      <c r="AF151" s="17">
        <f t="shared" si="61"/>
        <v>4773762</v>
      </c>
      <c r="AG151" s="18">
        <f t="shared" si="62"/>
        <v>0.77127095122857192</v>
      </c>
      <c r="AH151" s="17">
        <f t="shared" si="63"/>
        <v>-1415712.6488193097</v>
      </c>
      <c r="AI151" s="20">
        <f t="shared" si="64"/>
        <v>1.4089972444687016E-2</v>
      </c>
      <c r="AJ151" s="20">
        <f t="shared" si="65"/>
        <v>0.12546764848041422</v>
      </c>
      <c r="AK151" s="21">
        <f t="shared" si="66"/>
        <v>0.12748290952187788</v>
      </c>
      <c r="AL151" s="21">
        <f t="shared" si="67"/>
        <v>-1.9408509940894714E-3</v>
      </c>
      <c r="AM151" s="31"/>
      <c r="AO151" s="38">
        <f t="shared" si="68"/>
        <v>46170</v>
      </c>
      <c r="AP151" s="17">
        <f t="shared" si="56"/>
        <v>3843794.2758620689</v>
      </c>
      <c r="AQ151" s="17">
        <f>+Tabla22[[#This Row],[Meli Drop 2025]]+Tabla22[[#This Row],[Meli Full 2025]]+Tabla22[[#This Row],[Amazon Drop 2025]]+Tabla22[[#This Row],[Amazon Full 2025]]+Tabla22[[#This Row],[TikTok 2025]]+Tabla22[[#This Row],[Shein 2025]]</f>
        <v>1824928</v>
      </c>
      <c r="AR151" s="17">
        <f t="shared" si="69"/>
        <v>3763852</v>
      </c>
      <c r="AS151" s="17">
        <f t="shared" si="70"/>
        <v>1009910</v>
      </c>
      <c r="AT151" s="18">
        <f t="shared" si="71"/>
        <v>-2.0797750900479639E-2</v>
      </c>
      <c r="AU151" s="18">
        <f t="shared" si="72"/>
        <v>-0.4466028248785705</v>
      </c>
      <c r="AV151" s="49">
        <f t="shared" si="73"/>
        <v>4109781.6677747699</v>
      </c>
      <c r="AW151" s="49">
        <f t="shared" si="74"/>
        <v>2079692.9810445399</v>
      </c>
      <c r="AX151" s="39">
        <f t="shared" si="75"/>
        <v>0.91582772620569097</v>
      </c>
      <c r="AY151" s="39">
        <f t="shared" si="76"/>
        <v>0.48560533175082693</v>
      </c>
      <c r="AZ151" s="39">
        <f t="shared" si="77"/>
        <v>0.77127095122857192</v>
      </c>
      <c r="BA151" s="18">
        <v>7.8856525758106893E-2</v>
      </c>
      <c r="BB151" s="20">
        <v>4.6353994942611498E-2</v>
      </c>
      <c r="BC151" s="17">
        <f t="shared" si="78"/>
        <v>-345929.66777476994</v>
      </c>
      <c r="BD151" s="17">
        <f t="shared" si="79"/>
        <v>-1069782.9810445399</v>
      </c>
    </row>
    <row r="152" spans="1:62" ht="14.25" hidden="1" customHeight="1" x14ac:dyDescent="0.35">
      <c r="A152" s="16">
        <v>45806</v>
      </c>
      <c r="B152" s="17">
        <f>+'BD MD'!B151</f>
        <v>37519109</v>
      </c>
      <c r="C152" s="17">
        <f t="shared" si="59"/>
        <v>4707434.3793103453</v>
      </c>
      <c r="D152" s="18">
        <f t="shared" si="55"/>
        <v>4.4403669200289202E-2</v>
      </c>
      <c r="E152" s="17">
        <v>42455021</v>
      </c>
      <c r="F152" s="19">
        <v>46171</v>
      </c>
      <c r="G152" s="22">
        <f t="shared" si="60"/>
        <v>5485879.74035291</v>
      </c>
      <c r="H152" s="22">
        <v>3454416.0166014698</v>
      </c>
      <c r="I152" s="22">
        <v>2031463.7237514399</v>
      </c>
      <c r="J152" s="17">
        <v>2978165</v>
      </c>
      <c r="K152" s="17">
        <v>2759171</v>
      </c>
      <c r="L152" s="17">
        <v>27291.379310344801</v>
      </c>
      <c r="M152" s="17">
        <v>25341</v>
      </c>
      <c r="N152" s="17">
        <v>44594</v>
      </c>
      <c r="O152" s="17">
        <v>29617</v>
      </c>
      <c r="P152" s="17">
        <v>8693</v>
      </c>
      <c r="Q152" s="17">
        <v>4838</v>
      </c>
      <c r="R152" s="17">
        <v>93162</v>
      </c>
      <c r="S152" s="17">
        <v>97357</v>
      </c>
      <c r="T152" s="17">
        <v>1195372</v>
      </c>
      <c r="U152" s="17">
        <v>753282</v>
      </c>
      <c r="V152" s="17">
        <v>298834</v>
      </c>
      <c r="W152" s="17">
        <v>172862</v>
      </c>
      <c r="X152" s="17">
        <v>46665</v>
      </c>
      <c r="Y152" s="17">
        <v>24477</v>
      </c>
      <c r="Z152" s="17">
        <v>14658</v>
      </c>
      <c r="AA152" s="17">
        <v>13363</v>
      </c>
      <c r="AB152" s="17">
        <v>0</v>
      </c>
      <c r="AC152" s="17">
        <v>6072</v>
      </c>
      <c r="AD152" s="17">
        <v>0</v>
      </c>
      <c r="AE152" s="17">
        <v>1291</v>
      </c>
      <c r="AF152" s="17">
        <f t="shared" si="61"/>
        <v>3887671</v>
      </c>
      <c r="AG152" s="18">
        <f t="shared" si="62"/>
        <v>0.70866865188515848</v>
      </c>
      <c r="AH152" s="17">
        <f t="shared" si="63"/>
        <v>-1598208.74035291</v>
      </c>
      <c r="AI152" s="20">
        <f t="shared" si="64"/>
        <v>-6.8018192675058819E-2</v>
      </c>
      <c r="AJ152" s="20">
        <f t="shared" si="65"/>
        <v>9.6655984666368586E-2</v>
      </c>
      <c r="AK152" s="21">
        <f t="shared" si="66"/>
        <v>9.1571524602472809E-2</v>
      </c>
      <c r="AL152" s="21">
        <f t="shared" si="67"/>
        <v>-1.627039989567447E-2</v>
      </c>
      <c r="AM152" s="31"/>
      <c r="AO152" s="38">
        <f t="shared" si="68"/>
        <v>46171</v>
      </c>
      <c r="AP152" s="17">
        <f t="shared" si="56"/>
        <v>3151905.3793103448</v>
      </c>
      <c r="AQ152" s="17">
        <f>+Tabla22[[#This Row],[Meli Drop 2025]]+Tabla22[[#This Row],[Meli Full 2025]]+Tabla22[[#This Row],[Amazon Drop 2025]]+Tabla22[[#This Row],[Amazon Full 2025]]+Tabla22[[#This Row],[TikTok 2025]]+Tabla22[[#This Row],[Shein 2025]]</f>
        <v>1555529</v>
      </c>
      <c r="AR152" s="17">
        <f t="shared" si="69"/>
        <v>2916324</v>
      </c>
      <c r="AS152" s="17">
        <f t="shared" si="70"/>
        <v>971347</v>
      </c>
      <c r="AT152" s="18">
        <f t="shared" si="71"/>
        <v>-7.4742529029184102E-2</v>
      </c>
      <c r="AU152" s="18">
        <f t="shared" si="72"/>
        <v>-0.37555198263741785</v>
      </c>
      <c r="AV152" s="49">
        <f t="shared" si="73"/>
        <v>3454416.0166014698</v>
      </c>
      <c r="AW152" s="49">
        <f t="shared" si="74"/>
        <v>2031463.7237514399</v>
      </c>
      <c r="AX152" s="39">
        <f t="shared" si="75"/>
        <v>0.84423068500856002</v>
      </c>
      <c r="AY152" s="39">
        <f t="shared" si="76"/>
        <v>0.47815128995079675</v>
      </c>
      <c r="AZ152" s="39">
        <f t="shared" si="77"/>
        <v>0.70866865188515848</v>
      </c>
      <c r="BA152" s="18">
        <v>6.7215590234783101E-2</v>
      </c>
      <c r="BB152" s="20">
        <v>3.80391660184893E-2</v>
      </c>
      <c r="BC152" s="17">
        <f t="shared" si="78"/>
        <v>-538092.01660146983</v>
      </c>
      <c r="BD152" s="17">
        <f t="shared" si="79"/>
        <v>-1060116.7237514399</v>
      </c>
    </row>
    <row r="153" spans="1:62" ht="14.25" hidden="1" customHeight="1" x14ac:dyDescent="0.35">
      <c r="A153" s="19">
        <v>45807</v>
      </c>
      <c r="B153" s="17">
        <f>+'BD MD'!B152</f>
        <v>43157206</v>
      </c>
      <c r="C153" s="17">
        <f t="shared" si="59"/>
        <v>4171402.2413793104</v>
      </c>
      <c r="D153" s="18">
        <f t="shared" si="55"/>
        <v>3.9347455599516606E-2</v>
      </c>
      <c r="E153" s="17">
        <v>50731319</v>
      </c>
      <c r="F153" s="19">
        <v>46172</v>
      </c>
      <c r="G153" s="22">
        <f t="shared" si="60"/>
        <v>4983598.2525027702</v>
      </c>
      <c r="H153" s="22">
        <v>3181448.1200861302</v>
      </c>
      <c r="I153" s="22">
        <v>1802150.1324166399</v>
      </c>
      <c r="J153" s="17">
        <v>2453304</v>
      </c>
      <c r="K153" s="17">
        <v>2444647</v>
      </c>
      <c r="L153" s="17">
        <v>37442.241379310297</v>
      </c>
      <c r="M153" s="17">
        <v>31667</v>
      </c>
      <c r="N153" s="17">
        <v>36352</v>
      </c>
      <c r="O153" s="17">
        <v>334</v>
      </c>
      <c r="P153" s="17">
        <v>7638</v>
      </c>
      <c r="Q153" s="17">
        <v>732</v>
      </c>
      <c r="R153" s="17">
        <v>113450</v>
      </c>
      <c r="S153" s="17">
        <v>102241</v>
      </c>
      <c r="T153" s="17">
        <v>1220737</v>
      </c>
      <c r="U153" s="17">
        <v>813542</v>
      </c>
      <c r="V153" s="17">
        <v>249590</v>
      </c>
      <c r="W153" s="17">
        <v>157583</v>
      </c>
      <c r="X153" s="17">
        <v>38407</v>
      </c>
      <c r="Y153" s="17">
        <v>22067</v>
      </c>
      <c r="Z153" s="17">
        <v>14482</v>
      </c>
      <c r="AA153" s="17">
        <v>9771</v>
      </c>
      <c r="AB153" s="17">
        <v>0</v>
      </c>
      <c r="AC153" s="17">
        <v>1250</v>
      </c>
      <c r="AD153" s="17">
        <v>0</v>
      </c>
      <c r="AE153" s="17">
        <v>8009</v>
      </c>
      <c r="AF153" s="17">
        <f t="shared" si="61"/>
        <v>3591843</v>
      </c>
      <c r="AG153" s="18">
        <f t="shared" si="62"/>
        <v>0.72073285566230616</v>
      </c>
      <c r="AH153" s="17">
        <f t="shared" si="63"/>
        <v>-1391755.2525027702</v>
      </c>
      <c r="AI153" s="20">
        <f t="shared" si="64"/>
        <v>-5.0788670914374334E-2</v>
      </c>
      <c r="AJ153" s="20">
        <f t="shared" si="65"/>
        <v>7.3935523030709854E-2</v>
      </c>
      <c r="AK153" s="21">
        <f t="shared" si="66"/>
        <v>7.0801293378553787E-2</v>
      </c>
      <c r="AL153" s="21">
        <f t="shared" si="67"/>
        <v>-8.7690106537073875E-3</v>
      </c>
      <c r="AM153" s="31"/>
      <c r="AO153" s="38">
        <f t="shared" si="68"/>
        <v>46172</v>
      </c>
      <c r="AP153" s="17">
        <f t="shared" si="56"/>
        <v>2648186.2413793104</v>
      </c>
      <c r="AQ153" s="17">
        <f>+Tabla22[[#This Row],[Meli Drop 2025]]+Tabla22[[#This Row],[Meli Full 2025]]+Tabla22[[#This Row],[Amazon Drop 2025]]+Tabla22[[#This Row],[Amazon Full 2025]]+Tabla22[[#This Row],[TikTok 2025]]+Tabla22[[#This Row],[Shein 2025]]</f>
        <v>1523216</v>
      </c>
      <c r="AR153" s="17">
        <f t="shared" si="69"/>
        <v>2579621</v>
      </c>
      <c r="AS153" s="17">
        <f t="shared" si="70"/>
        <v>1012222</v>
      </c>
      <c r="AT153" s="18">
        <f t="shared" si="71"/>
        <v>-2.5891397027876017E-2</v>
      </c>
      <c r="AU153" s="18">
        <f t="shared" si="72"/>
        <v>-0.33547047825127885</v>
      </c>
      <c r="AV153" s="49">
        <f t="shared" si="73"/>
        <v>3181448.1200861302</v>
      </c>
      <c r="AW153" s="49">
        <f t="shared" si="74"/>
        <v>1802150.1324166399</v>
      </c>
      <c r="AX153" s="39">
        <f t="shared" si="75"/>
        <v>0.81083233251974662</v>
      </c>
      <c r="AY153" s="39">
        <f t="shared" si="76"/>
        <v>0.56167462510053734</v>
      </c>
      <c r="AZ153" s="39">
        <f t="shared" si="77"/>
        <v>0.72073285566230616</v>
      </c>
      <c r="BA153" s="18">
        <v>6.5819320948092494E-2</v>
      </c>
      <c r="BB153" s="20">
        <v>3.2146722096019202E-2</v>
      </c>
      <c r="BC153" s="17">
        <f t="shared" si="78"/>
        <v>-601827.12008613022</v>
      </c>
      <c r="BD153" s="17">
        <f t="shared" si="79"/>
        <v>-789928.13241663994</v>
      </c>
    </row>
    <row r="154" spans="1:62" ht="14.25" hidden="1" customHeight="1" x14ac:dyDescent="0.35">
      <c r="A154" s="16">
        <v>45808</v>
      </c>
      <c r="B154" s="17">
        <f>+'BD MD'!B153</f>
        <v>51180118</v>
      </c>
      <c r="C154" s="17">
        <f t="shared" si="59"/>
        <v>3784028.7931034481</v>
      </c>
      <c r="D154" s="18">
        <f t="shared" si="55"/>
        <v>3.5693490176266947E-2</v>
      </c>
      <c r="E154" s="17">
        <v>51664485</v>
      </c>
      <c r="F154" s="19">
        <v>46173</v>
      </c>
      <c r="G154" s="22">
        <f t="shared" si="60"/>
        <v>5635126.4442096399</v>
      </c>
      <c r="H154" s="22">
        <v>3688020.1859307298</v>
      </c>
      <c r="I154" s="22">
        <v>1947106.2582789101</v>
      </c>
      <c r="J154" s="17">
        <v>2260895</v>
      </c>
      <c r="K154" s="17">
        <v>2739282</v>
      </c>
      <c r="L154" s="17">
        <v>34463.793103448297</v>
      </c>
      <c r="M154" s="17">
        <v>36548</v>
      </c>
      <c r="N154" s="17">
        <v>19296</v>
      </c>
      <c r="O154" s="17">
        <v>7405</v>
      </c>
      <c r="P154" s="17">
        <v>4141</v>
      </c>
      <c r="Q154" s="17">
        <v>4382</v>
      </c>
      <c r="R154" s="17">
        <v>119066</v>
      </c>
      <c r="S154" s="17">
        <v>80380</v>
      </c>
      <c r="T154" s="17">
        <v>1010801</v>
      </c>
      <c r="U154" s="17">
        <v>1043225</v>
      </c>
      <c r="V154" s="17">
        <v>278925</v>
      </c>
      <c r="W154" s="17">
        <v>173161</v>
      </c>
      <c r="X154" s="17">
        <v>39390</v>
      </c>
      <c r="Y154" s="17">
        <v>23659</v>
      </c>
      <c r="Z154" s="17">
        <v>17051</v>
      </c>
      <c r="AA154" s="17">
        <v>10923</v>
      </c>
      <c r="AB154" s="17">
        <v>0</v>
      </c>
      <c r="AC154" s="17">
        <v>2086</v>
      </c>
      <c r="AD154" s="17">
        <v>0</v>
      </c>
      <c r="AE154" s="17">
        <v>5728</v>
      </c>
      <c r="AF154" s="17">
        <f t="shared" si="61"/>
        <v>4126779</v>
      </c>
      <c r="AG154" s="18">
        <f t="shared" si="62"/>
        <v>0.73233121578673033</v>
      </c>
      <c r="AH154" s="17">
        <f t="shared" si="63"/>
        <v>-1508347.4442096399</v>
      </c>
      <c r="AI154" s="20">
        <f t="shared" si="64"/>
        <v>-3.686449806443115E-2</v>
      </c>
      <c r="AJ154" s="20">
        <f t="shared" si="65"/>
        <v>7.9297465375558346E-2</v>
      </c>
      <c r="AK154" s="21">
        <f t="shared" si="66"/>
        <v>7.9876514785737249E-2</v>
      </c>
      <c r="AL154" s="21">
        <f t="shared" si="67"/>
        <v>-4.3846563391319093E-2</v>
      </c>
      <c r="AM154" s="31"/>
      <c r="AO154" s="38">
        <f t="shared" si="68"/>
        <v>46173</v>
      </c>
      <c r="AP154" s="17">
        <f t="shared" si="56"/>
        <v>2437861.7931034481</v>
      </c>
      <c r="AQ154" s="17">
        <f>+Tabla22[[#This Row],[Meli Drop 2025]]+Tabla22[[#This Row],[Meli Full 2025]]+Tabla22[[#This Row],[Amazon Drop 2025]]+Tabla22[[#This Row],[Amazon Full 2025]]+Tabla22[[#This Row],[TikTok 2025]]+Tabla22[[#This Row],[Shein 2025]]</f>
        <v>1346167</v>
      </c>
      <c r="AR154" s="17">
        <f t="shared" si="69"/>
        <v>2867997</v>
      </c>
      <c r="AS154" s="17">
        <f t="shared" si="70"/>
        <v>1258782</v>
      </c>
      <c r="AT154" s="18">
        <f t="shared" si="71"/>
        <v>0.17643953734923623</v>
      </c>
      <c r="AU154" s="18">
        <f t="shared" si="72"/>
        <v>-6.4913937126671484E-2</v>
      </c>
      <c r="AV154" s="49">
        <f t="shared" si="73"/>
        <v>3688020.1859307298</v>
      </c>
      <c r="AW154" s="49">
        <f t="shared" si="74"/>
        <v>1947106.2582789101</v>
      </c>
      <c r="AX154" s="39">
        <f t="shared" si="75"/>
        <v>0.77765219695407273</v>
      </c>
      <c r="AY154" s="39">
        <f t="shared" si="76"/>
        <v>0.64648860053105939</v>
      </c>
      <c r="AZ154" s="39">
        <f t="shared" si="77"/>
        <v>0.73233121578673033</v>
      </c>
      <c r="BA154" s="18">
        <v>5.8168899107369401E-2</v>
      </c>
      <c r="BB154" s="20">
        <v>2.9606252267331299E-2</v>
      </c>
      <c r="BC154" s="17">
        <f t="shared" si="78"/>
        <v>-820023.18593072984</v>
      </c>
      <c r="BD154" s="17">
        <f t="shared" si="79"/>
        <v>-688324.25827891007</v>
      </c>
    </row>
    <row r="155" spans="1:62" ht="14.25" hidden="1" customHeight="1" x14ac:dyDescent="0.35">
      <c r="A155" s="16">
        <v>45809</v>
      </c>
      <c r="B155" s="17">
        <f>+'BD MD'!B154</f>
        <v>54033676</v>
      </c>
      <c r="C155" s="17">
        <f t="shared" si="59"/>
        <v>4284733.5517241377</v>
      </c>
      <c r="D155" s="18">
        <f t="shared" ref="D155:D184" si="80">+C155/(SUM($C$155:$C$184))</f>
        <v>3.7362092448419891E-2</v>
      </c>
      <c r="E155" s="17">
        <v>28438618</v>
      </c>
      <c r="F155" s="19">
        <v>46174</v>
      </c>
      <c r="G155" s="17">
        <f t="shared" si="60"/>
        <v>5628230.5453892499</v>
      </c>
      <c r="H155" s="17">
        <v>3718237.2221329901</v>
      </c>
      <c r="I155" s="17">
        <v>1909993.32325626</v>
      </c>
      <c r="J155" s="17">
        <v>2599042</v>
      </c>
      <c r="K155" s="17">
        <v>4064668</v>
      </c>
      <c r="L155" s="17">
        <v>39671.551724137898</v>
      </c>
      <c r="M155" s="17">
        <v>29432</v>
      </c>
      <c r="N155" s="17">
        <v>-228</v>
      </c>
      <c r="O155" s="17">
        <v>26689</v>
      </c>
      <c r="P155" s="17">
        <v>1403</v>
      </c>
      <c r="Q155" s="17">
        <v>10478</v>
      </c>
      <c r="R155" s="17">
        <v>186803</v>
      </c>
      <c r="S155" s="17">
        <v>92432</v>
      </c>
      <c r="T155" s="17">
        <v>1125600</v>
      </c>
      <c r="U155" s="17">
        <v>904974</v>
      </c>
      <c r="V155" s="17">
        <v>278166</v>
      </c>
      <c r="W155" s="17">
        <v>135586</v>
      </c>
      <c r="X155" s="17">
        <v>40863</v>
      </c>
      <c r="Y155" s="17">
        <v>29579</v>
      </c>
      <c r="Z155" s="17">
        <v>13413</v>
      </c>
      <c r="AA155" s="17">
        <v>10801</v>
      </c>
      <c r="AB155" s="17">
        <v>0</v>
      </c>
      <c r="AC155" s="17">
        <v>8208</v>
      </c>
      <c r="AD155" s="17">
        <v>0</v>
      </c>
      <c r="AE155" s="17">
        <v>8913</v>
      </c>
      <c r="AF155" s="17">
        <f t="shared" si="61"/>
        <v>5321760</v>
      </c>
      <c r="AG155" s="18">
        <f t="shared" si="62"/>
        <v>0.94554762053229746</v>
      </c>
      <c r="AH155" s="17">
        <f t="shared" si="63"/>
        <v>-306470.54538924992</v>
      </c>
      <c r="AI155" s="20">
        <f t="shared" si="64"/>
        <v>1.1774854529580825E-2</v>
      </c>
      <c r="AJ155" s="20">
        <f t="shared" si="65"/>
        <v>0.17065581237184627</v>
      </c>
      <c r="AK155" s="21">
        <f t="shared" si="66"/>
        <v>0.18713145624727615</v>
      </c>
      <c r="AL155" s="21">
        <f t="shared" si="67"/>
        <v>-7.73049961787734E-2</v>
      </c>
      <c r="AM155" s="31"/>
      <c r="AO155" s="38">
        <f t="shared" si="68"/>
        <v>46174</v>
      </c>
      <c r="AP155" s="17">
        <f>+Tabla22[[#This Row],[Web + APP 2025]]+Tabla22[[#This Row],[Afiliados 2025]]+Tabla22[[#This Row],[TMK 2025]]+Tabla22[[#This Row],[WA 2025]]+Tabla22[[#This Row],[Ent. en Tienda 2025]]</f>
        <v>2826691.5517241377</v>
      </c>
      <c r="AQ155" s="17">
        <f>+Tabla22[[#This Row],[Meli Drop 2025]]+Tabla22[[#This Row],[Meli Full 2025]]+Tabla22[[#This Row],[Amazon Drop 2025]]+Tabla22[[#This Row],[Amazon Full 2025]]+Tabla22[[#This Row],[TikTok 2025]]+Tabla22[[#This Row],[Shein 2025]]</f>
        <v>1458042</v>
      </c>
      <c r="AR155" s="17">
        <f t="shared" si="69"/>
        <v>4223699</v>
      </c>
      <c r="AS155" s="17">
        <f t="shared" si="70"/>
        <v>1098061</v>
      </c>
      <c r="AT155" s="18">
        <f t="shared" si="71"/>
        <v>0.49421998216386887</v>
      </c>
      <c r="AU155" s="18">
        <f t="shared" si="72"/>
        <v>-0.24689343654023688</v>
      </c>
      <c r="AV155" s="49">
        <f t="shared" si="73"/>
        <v>3718237.2221329901</v>
      </c>
      <c r="AW155" s="49">
        <f t="shared" si="74"/>
        <v>1909993.32325626</v>
      </c>
      <c r="AX155" s="39">
        <f t="shared" si="75"/>
        <v>1.1359412398053099</v>
      </c>
      <c r="AY155" s="39">
        <f t="shared" si="76"/>
        <v>0.57490305679601339</v>
      </c>
      <c r="AZ155" s="39">
        <f t="shared" si="77"/>
        <v>0.94554762053229746</v>
      </c>
      <c r="BA155" s="18">
        <v>5.2045870295218302E-2</v>
      </c>
      <c r="BB155" s="20">
        <v>3.2690162870535298E-2</v>
      </c>
      <c r="BC155" s="17">
        <f t="shared" si="78"/>
        <v>505461.77786700986</v>
      </c>
      <c r="BD155" s="17">
        <f t="shared" si="79"/>
        <v>-811932.32325626002</v>
      </c>
      <c r="BE155" s="6">
        <f t="shared" ref="BE155:BE184" si="81">+SUM($AV$155:$AV$184)*BF155</f>
        <v>3718237.2221329892</v>
      </c>
      <c r="BF155" s="27">
        <f t="shared" ref="BF155:BF184" si="82">+AP155/(SUM($AP$155:$AP$184))</f>
        <v>3.2601779933336725E-2</v>
      </c>
      <c r="BG155" s="27">
        <f t="shared" ref="BG155:BG184" si="83">+AQ155/(SUM($AQ$155:$AQ$184))</f>
        <v>5.2114415368520156E-2</v>
      </c>
      <c r="BH155" s="7">
        <f t="shared" ref="BH155:BH184" si="84">+SUM($AW$155:$AW$184)*BG155</f>
        <v>1909993.323256263</v>
      </c>
      <c r="BI155" s="6">
        <f t="shared" ref="BI155:BI161" si="85">+AR155-BE155</f>
        <v>505461.77786701079</v>
      </c>
      <c r="BJ155" s="7">
        <f t="shared" ref="BJ155:BJ161" si="86">+AS155-BH155</f>
        <v>-811932.32325626304</v>
      </c>
    </row>
    <row r="156" spans="1:62" ht="14.25" hidden="1" customHeight="1" x14ac:dyDescent="0.35">
      <c r="A156" s="19">
        <v>45810</v>
      </c>
      <c r="B156" s="17">
        <f>+'BD MD'!B155</f>
        <v>30821255</v>
      </c>
      <c r="C156" s="17">
        <f t="shared" si="59"/>
        <v>5259826.3103448283</v>
      </c>
      <c r="D156" s="18">
        <f t="shared" si="80"/>
        <v>4.5864722857891053E-2</v>
      </c>
      <c r="E156" s="17">
        <v>32512385</v>
      </c>
      <c r="F156" s="19">
        <v>46175</v>
      </c>
      <c r="G156" s="17">
        <f t="shared" si="60"/>
        <v>6910737.6119030602</v>
      </c>
      <c r="H156" s="17">
        <v>4968805.8758889297</v>
      </c>
      <c r="I156" s="17">
        <v>1941931.7360141301</v>
      </c>
      <c r="J156" s="17">
        <v>3555716</v>
      </c>
      <c r="K156" s="17">
        <v>4572359</v>
      </c>
      <c r="L156" s="17">
        <v>32404.310344827602</v>
      </c>
      <c r="M156" s="17">
        <v>23766</v>
      </c>
      <c r="N156" s="17">
        <v>47857</v>
      </c>
      <c r="O156" s="17">
        <v>47963</v>
      </c>
      <c r="P156" s="17">
        <v>7967</v>
      </c>
      <c r="Q156" s="17">
        <v>15476</v>
      </c>
      <c r="R156" s="17">
        <v>133459</v>
      </c>
      <c r="S156" s="17">
        <v>108290</v>
      </c>
      <c r="T156" s="17">
        <v>1113451</v>
      </c>
      <c r="U156" s="17">
        <v>930339</v>
      </c>
      <c r="V156" s="17">
        <v>281772</v>
      </c>
      <c r="W156" s="17">
        <v>178091</v>
      </c>
      <c r="X156" s="17">
        <v>68092</v>
      </c>
      <c r="Y156" s="17">
        <v>32506</v>
      </c>
      <c r="Z156" s="17">
        <v>19108</v>
      </c>
      <c r="AA156" s="17">
        <v>12255</v>
      </c>
      <c r="AB156" s="17">
        <v>0</v>
      </c>
      <c r="AC156" s="17">
        <v>4331</v>
      </c>
      <c r="AD156" s="17">
        <v>0</v>
      </c>
      <c r="AE156" s="17">
        <v>4564</v>
      </c>
      <c r="AF156" s="17">
        <f t="shared" si="61"/>
        <v>5929940</v>
      </c>
      <c r="AG156" s="18">
        <f t="shared" si="62"/>
        <v>0.85807627680528142</v>
      </c>
      <c r="AH156" s="17">
        <f t="shared" si="63"/>
        <v>-980797.61190306023</v>
      </c>
      <c r="AI156" s="20">
        <f t="shared" si="64"/>
        <v>-0.12195016794934455</v>
      </c>
      <c r="AJ156" s="20">
        <f t="shared" si="65"/>
        <v>0.19054236708733535</v>
      </c>
      <c r="AK156" s="21">
        <f t="shared" si="66"/>
        <v>0.1823901876161961</v>
      </c>
      <c r="AL156" s="21">
        <f t="shared" si="67"/>
        <v>-8.2704527002128381E-2</v>
      </c>
      <c r="AM156" s="31"/>
      <c r="AO156" s="38">
        <f t="shared" si="68"/>
        <v>46175</v>
      </c>
      <c r="AP156" s="17">
        <f>+Tabla22[[#This Row],[Web + APP 2025]]+Tabla22[[#This Row],[Afiliados 2025]]+Tabla22[[#This Row],[TMK 2025]]+Tabla22[[#This Row],[WA 2025]]+Tabla22[[#This Row],[Ent. en Tienda 2025]]</f>
        <v>3777403.3103448278</v>
      </c>
      <c r="AQ156" s="17">
        <f>+Tabla22[[#This Row],[Meli Drop 2025]]+Tabla22[[#This Row],[Meli Full 2025]]+Tabla22[[#This Row],[Amazon Drop 2025]]+Tabla22[[#This Row],[Amazon Full 2025]]+Tabla22[[#This Row],[TikTok 2025]]+Tabla22[[#This Row],[Shein 2025]]</f>
        <v>1482423</v>
      </c>
      <c r="AR156" s="17">
        <f t="shared" si="69"/>
        <v>4767854</v>
      </c>
      <c r="AS156" s="17">
        <f t="shared" si="70"/>
        <v>1162086</v>
      </c>
      <c r="AT156" s="18">
        <f t="shared" si="71"/>
        <v>0.26220411438268076</v>
      </c>
      <c r="AU156" s="18">
        <f t="shared" si="72"/>
        <v>-0.21609014431103668</v>
      </c>
      <c r="AV156" s="49">
        <f t="shared" si="73"/>
        <v>4968805.8758889297</v>
      </c>
      <c r="AW156" s="49">
        <f t="shared" si="74"/>
        <v>1941931.7360141301</v>
      </c>
      <c r="AX156" s="39">
        <f t="shared" si="75"/>
        <v>0.95955730996373867</v>
      </c>
      <c r="AY156" s="39">
        <f t="shared" si="76"/>
        <v>0.59841753365914629</v>
      </c>
      <c r="AZ156" s="39">
        <f t="shared" si="77"/>
        <v>0.85807627680528142</v>
      </c>
      <c r="BA156" s="18">
        <v>5.29161678337444E-2</v>
      </c>
      <c r="BB156" s="20">
        <v>4.3441175880274803E-2</v>
      </c>
      <c r="BC156" s="17">
        <f t="shared" si="78"/>
        <v>-200951.8758889297</v>
      </c>
      <c r="BD156" s="17">
        <f t="shared" si="79"/>
        <v>-779845.73601413006</v>
      </c>
      <c r="BE156" s="6">
        <f t="shared" si="81"/>
        <v>4968805.8758889362</v>
      </c>
      <c r="BF156" s="27">
        <f t="shared" si="82"/>
        <v>4.356685870738336E-2</v>
      </c>
      <c r="BG156" s="27">
        <f t="shared" si="83"/>
        <v>5.2985859099976371E-2</v>
      </c>
      <c r="BH156" s="7">
        <f t="shared" si="84"/>
        <v>1941931.7360141331</v>
      </c>
      <c r="BI156" s="6">
        <f t="shared" si="85"/>
        <v>-200951.87588893622</v>
      </c>
      <c r="BJ156" s="7">
        <f t="shared" si="86"/>
        <v>-779845.73601413309</v>
      </c>
    </row>
    <row r="157" spans="1:62" ht="14.25" hidden="1" customHeight="1" x14ac:dyDescent="0.35">
      <c r="A157" s="16">
        <v>45811</v>
      </c>
      <c r="B157" s="17">
        <f>+'BD MD'!B156</f>
        <v>35443743</v>
      </c>
      <c r="C157" s="17">
        <f t="shared" si="59"/>
        <v>6753534.6896551726</v>
      </c>
      <c r="D157" s="18">
        <f t="shared" si="80"/>
        <v>5.8889586571135459E-2</v>
      </c>
      <c r="E157" s="17">
        <v>31971655</v>
      </c>
      <c r="F157" s="19">
        <v>46176</v>
      </c>
      <c r="G157" s="17">
        <f t="shared" si="60"/>
        <v>8873325.0488210805</v>
      </c>
      <c r="H157" s="17">
        <v>6391028.7994139604</v>
      </c>
      <c r="I157" s="17">
        <v>2482296.24940712</v>
      </c>
      <c r="J157" s="17">
        <v>4635812</v>
      </c>
      <c r="K157" s="17">
        <v>3552563</v>
      </c>
      <c r="L157" s="17">
        <v>32920.689655172398</v>
      </c>
      <c r="M157" s="17">
        <v>26173</v>
      </c>
      <c r="N157" s="17">
        <v>51815</v>
      </c>
      <c r="O157" s="17">
        <v>32530</v>
      </c>
      <c r="P157" s="17">
        <v>10260</v>
      </c>
      <c r="Q157" s="17">
        <v>6406</v>
      </c>
      <c r="R157" s="17">
        <v>127803</v>
      </c>
      <c r="S157" s="17">
        <v>121708</v>
      </c>
      <c r="T157" s="17">
        <v>1389018</v>
      </c>
      <c r="U157" s="17">
        <v>539970</v>
      </c>
      <c r="V157" s="17">
        <v>419059</v>
      </c>
      <c r="W157" s="17">
        <v>136278</v>
      </c>
      <c r="X157" s="17">
        <v>74233</v>
      </c>
      <c r="Y157" s="17">
        <v>35037</v>
      </c>
      <c r="Z157" s="17">
        <v>12614</v>
      </c>
      <c r="AA157" s="17">
        <v>7759</v>
      </c>
      <c r="AB157" s="17">
        <v>0</v>
      </c>
      <c r="AC157" s="17">
        <v>4912</v>
      </c>
      <c r="AD157" s="17">
        <v>0</v>
      </c>
      <c r="AE157" s="17">
        <v>1334</v>
      </c>
      <c r="AF157" s="17">
        <f t="shared" si="61"/>
        <v>4464670</v>
      </c>
      <c r="AG157" s="18">
        <f t="shared" si="62"/>
        <v>0.5031563675888534</v>
      </c>
      <c r="AH157" s="17">
        <f t="shared" si="63"/>
        <v>-4408655.0488210805</v>
      </c>
      <c r="AI157" s="20">
        <f t="shared" si="64"/>
        <v>-3.8465792922438236E-2</v>
      </c>
      <c r="AJ157" s="20">
        <f t="shared" si="65"/>
        <v>0.13187008255084121</v>
      </c>
      <c r="AK157" s="21">
        <f t="shared" si="66"/>
        <v>0.13964463209677447</v>
      </c>
      <c r="AL157" s="21">
        <f t="shared" si="67"/>
        <v>-9.19980713980878E-2</v>
      </c>
      <c r="AM157" s="31"/>
      <c r="AO157" s="38">
        <f t="shared" si="68"/>
        <v>46176</v>
      </c>
      <c r="AP157" s="17">
        <f>+Tabla22[[#This Row],[Web + APP 2025]]+Tabla22[[#This Row],[Afiliados 2025]]+Tabla22[[#This Row],[TMK 2025]]+Tabla22[[#This Row],[WA 2025]]+Tabla22[[#This Row],[Ent. en Tienda 2025]]</f>
        <v>4858610.6896551726</v>
      </c>
      <c r="AQ157" s="17">
        <f>+Tabla22[[#This Row],[Meli Drop 2025]]+Tabla22[[#This Row],[Meli Full 2025]]+Tabla22[[#This Row],[Amazon Drop 2025]]+Tabla22[[#This Row],[Amazon Full 2025]]+Tabla22[[#This Row],[TikTok 2025]]+Tabla22[[#This Row],[Shein 2025]]</f>
        <v>1894924</v>
      </c>
      <c r="AR157" s="17">
        <f t="shared" si="69"/>
        <v>3739380</v>
      </c>
      <c r="AS157" s="17">
        <f t="shared" si="70"/>
        <v>725290</v>
      </c>
      <c r="AT157" s="18">
        <f t="shared" si="71"/>
        <v>-0.23036023282091922</v>
      </c>
      <c r="AU157" s="18">
        <f t="shared" si="72"/>
        <v>-0.61724586315862795</v>
      </c>
      <c r="AV157" s="49">
        <f t="shared" si="73"/>
        <v>6391028.7994139604</v>
      </c>
      <c r="AW157" s="49">
        <f t="shared" si="74"/>
        <v>2482296.24940712</v>
      </c>
      <c r="AX157" s="39">
        <f t="shared" si="75"/>
        <v>0.58509828657678564</v>
      </c>
      <c r="AY157" s="39">
        <f t="shared" si="76"/>
        <v>0.29218510891809579</v>
      </c>
      <c r="AZ157" s="39">
        <f t="shared" si="77"/>
        <v>0.5031563675888534</v>
      </c>
      <c r="BA157" s="18">
        <v>6.7640691230634098E-2</v>
      </c>
      <c r="BB157" s="20">
        <v>5.5760851412749002E-2</v>
      </c>
      <c r="BC157" s="17">
        <f t="shared" si="78"/>
        <v>-2651648.7994139604</v>
      </c>
      <c r="BD157" s="17">
        <f t="shared" si="79"/>
        <v>-1757006.24940712</v>
      </c>
      <c r="BE157" s="6">
        <f t="shared" si="81"/>
        <v>6391028.7994139595</v>
      </c>
      <c r="BF157" s="27">
        <f t="shared" si="82"/>
        <v>5.6037014859042472E-2</v>
      </c>
      <c r="BG157" s="27">
        <f t="shared" si="83"/>
        <v>6.7729774881503876E-2</v>
      </c>
      <c r="BH157" s="7">
        <f t="shared" si="84"/>
        <v>2482296.2494071159</v>
      </c>
      <c r="BI157" s="6">
        <f t="shared" si="85"/>
        <v>-2651648.7994139595</v>
      </c>
      <c r="BJ157" s="7">
        <f t="shared" si="86"/>
        <v>-1757006.2494071159</v>
      </c>
    </row>
    <row r="158" spans="1:62" ht="14.25" hidden="1" customHeight="1" x14ac:dyDescent="0.35">
      <c r="A158" s="19">
        <v>45812</v>
      </c>
      <c r="B158" s="17">
        <f>+'BD MD'!B157</f>
        <v>35210999</v>
      </c>
      <c r="C158" s="17">
        <f t="shared" si="59"/>
        <v>4643277.3448275868</v>
      </c>
      <c r="D158" s="18">
        <f t="shared" si="80"/>
        <v>4.0488528709397613E-2</v>
      </c>
      <c r="E158" s="17">
        <v>34179408</v>
      </c>
      <c r="F158" s="19">
        <v>46177</v>
      </c>
      <c r="G158" s="17">
        <f t="shared" si="60"/>
        <v>6101558.7720924998</v>
      </c>
      <c r="H158" s="17">
        <v>4601314.02368386</v>
      </c>
      <c r="I158" s="17">
        <v>1500244.74840864</v>
      </c>
      <c r="J158" s="17">
        <v>3274168</v>
      </c>
      <c r="K158" s="17">
        <v>2797805</v>
      </c>
      <c r="L158" s="17">
        <v>29785.344827586199</v>
      </c>
      <c r="M158" s="17">
        <v>20815</v>
      </c>
      <c r="N158" s="17">
        <v>42044</v>
      </c>
      <c r="O158" s="17">
        <v>73509</v>
      </c>
      <c r="P158" s="17">
        <v>4685</v>
      </c>
      <c r="Q158" s="17">
        <v>4322</v>
      </c>
      <c r="R158" s="17">
        <v>147345</v>
      </c>
      <c r="S158" s="17">
        <v>88544</v>
      </c>
      <c r="T158" s="17">
        <v>792011</v>
      </c>
      <c r="U158" s="17">
        <v>330252</v>
      </c>
      <c r="V158" s="17">
        <v>301527</v>
      </c>
      <c r="W158" s="17">
        <v>176072</v>
      </c>
      <c r="X158" s="17">
        <v>38002</v>
      </c>
      <c r="Y158" s="17">
        <v>20525</v>
      </c>
      <c r="Z158" s="17">
        <v>13710</v>
      </c>
      <c r="AA158" s="17">
        <v>5500</v>
      </c>
      <c r="AB158" s="17">
        <v>0</v>
      </c>
      <c r="AC158" s="17">
        <v>5098</v>
      </c>
      <c r="AD158" s="17">
        <v>0</v>
      </c>
      <c r="AE158" s="17">
        <v>5081</v>
      </c>
      <c r="AF158" s="17">
        <f t="shared" si="61"/>
        <v>3527523</v>
      </c>
      <c r="AG158" s="18">
        <f t="shared" si="62"/>
        <v>0.57813472454519244</v>
      </c>
      <c r="AH158" s="17">
        <f t="shared" si="63"/>
        <v>-2574035.7720924998</v>
      </c>
      <c r="AI158" s="20">
        <f t="shared" si="64"/>
        <v>-6.0801778493507763E-3</v>
      </c>
      <c r="AJ158" s="20">
        <f t="shared" si="65"/>
        <v>9.1922466717042378E-2</v>
      </c>
      <c r="AK158" s="21">
        <f t="shared" si="66"/>
        <v>0.10320608829737483</v>
      </c>
      <c r="AL158" s="21">
        <f t="shared" si="67"/>
        <v>-0.11474639453634183</v>
      </c>
      <c r="AM158" s="31"/>
      <c r="AO158" s="38">
        <f t="shared" si="68"/>
        <v>46177</v>
      </c>
      <c r="AP158" s="17">
        <f>+Tabla22[[#This Row],[Web + APP 2025]]+Tabla22[[#This Row],[Afiliados 2025]]+Tabla22[[#This Row],[TMK 2025]]+Tabla22[[#This Row],[WA 2025]]+Tabla22[[#This Row],[Ent. en Tienda 2025]]</f>
        <v>3498027.3448275863</v>
      </c>
      <c r="AQ158" s="17">
        <f>+Tabla22[[#This Row],[Meli Drop 2025]]+Tabla22[[#This Row],[Meli Full 2025]]+Tabla22[[#This Row],[Amazon Drop 2025]]+Tabla22[[#This Row],[Amazon Full 2025]]+Tabla22[[#This Row],[TikTok 2025]]+Tabla22[[#This Row],[Shein 2025]]</f>
        <v>1145250</v>
      </c>
      <c r="AR158" s="17">
        <f t="shared" si="69"/>
        <v>2984995</v>
      </c>
      <c r="AS158" s="17">
        <f t="shared" si="70"/>
        <v>542528</v>
      </c>
      <c r="AT158" s="18">
        <f t="shared" si="71"/>
        <v>-0.14666333171642865</v>
      </c>
      <c r="AU158" s="18">
        <f t="shared" si="72"/>
        <v>-0.5262798515607946</v>
      </c>
      <c r="AV158" s="49">
        <f t="shared" si="73"/>
        <v>4601314.02368386</v>
      </c>
      <c r="AW158" s="49">
        <f t="shared" si="74"/>
        <v>1500244.74840864</v>
      </c>
      <c r="AX158" s="39">
        <f t="shared" si="75"/>
        <v>0.64872664300581295</v>
      </c>
      <c r="AY158" s="39">
        <f t="shared" si="76"/>
        <v>0.36162632835440861</v>
      </c>
      <c r="AZ158" s="39">
        <f t="shared" si="77"/>
        <v>0.57813472454519244</v>
      </c>
      <c r="BA158" s="18">
        <v>4.0880532217589603E-2</v>
      </c>
      <c r="BB158" s="20">
        <v>4.0204352477643902E-2</v>
      </c>
      <c r="BC158" s="17">
        <f t="shared" si="78"/>
        <v>-1616319.02368386</v>
      </c>
      <c r="BD158" s="17">
        <f t="shared" si="79"/>
        <v>-957716.74840864004</v>
      </c>
      <c r="BE158" s="6">
        <f t="shared" si="81"/>
        <v>4601314.0236838581</v>
      </c>
      <c r="BF158" s="27">
        <f t="shared" si="82"/>
        <v>4.0344662871795618E-2</v>
      </c>
      <c r="BG158" s="27">
        <f t="shared" si="83"/>
        <v>4.0934372398598741E-2</v>
      </c>
      <c r="BH158" s="7">
        <f t="shared" si="84"/>
        <v>1500244.7484086433</v>
      </c>
      <c r="BI158" s="6">
        <f t="shared" si="85"/>
        <v>-1616319.0236838581</v>
      </c>
      <c r="BJ158" s="7">
        <f t="shared" si="86"/>
        <v>-957716.7484086433</v>
      </c>
    </row>
    <row r="159" spans="1:62" ht="14.25" hidden="1" customHeight="1" x14ac:dyDescent="0.35">
      <c r="A159" s="16">
        <v>45813</v>
      </c>
      <c r="B159" s="17">
        <f>+'BD MD'!B158</f>
        <v>38609736</v>
      </c>
      <c r="C159" s="17">
        <f t="shared" si="59"/>
        <v>3549102.1724137929</v>
      </c>
      <c r="D159" s="18">
        <f t="shared" si="80"/>
        <v>3.0947521444187404E-2</v>
      </c>
      <c r="E159" s="17">
        <v>36164915</v>
      </c>
      <c r="F159" s="19">
        <v>46178</v>
      </c>
      <c r="G159" s="17">
        <f t="shared" si="60"/>
        <v>4663412.6250081202</v>
      </c>
      <c r="H159" s="17">
        <v>3436840.55209722</v>
      </c>
      <c r="I159" s="17">
        <v>1226572.0729109</v>
      </c>
      <c r="J159" s="17">
        <v>2378483</v>
      </c>
      <c r="K159" s="17">
        <v>2265727</v>
      </c>
      <c r="L159" s="17">
        <v>24530.172413793101</v>
      </c>
      <c r="M159" s="17">
        <v>32888</v>
      </c>
      <c r="N159" s="17">
        <v>28287</v>
      </c>
      <c r="O159" s="17">
        <v>13246</v>
      </c>
      <c r="P159" s="17">
        <v>7601</v>
      </c>
      <c r="Q159" s="17">
        <v>5193</v>
      </c>
      <c r="R159" s="17">
        <v>173866</v>
      </c>
      <c r="S159" s="17">
        <v>99255</v>
      </c>
      <c r="T159" s="17">
        <v>649458</v>
      </c>
      <c r="U159" s="17">
        <v>351624</v>
      </c>
      <c r="V159" s="17">
        <v>251407</v>
      </c>
      <c r="W159" s="17">
        <v>180239</v>
      </c>
      <c r="X159" s="17">
        <v>22490</v>
      </c>
      <c r="Y159" s="17">
        <v>11727</v>
      </c>
      <c r="Z159" s="17">
        <v>12980</v>
      </c>
      <c r="AA159" s="17">
        <v>6281</v>
      </c>
      <c r="AB159" s="17">
        <v>0</v>
      </c>
      <c r="AC159" s="17">
        <v>4449</v>
      </c>
      <c r="AD159" s="17">
        <v>0</v>
      </c>
      <c r="AE159" s="17">
        <v>1291</v>
      </c>
      <c r="AF159" s="17">
        <f t="shared" si="61"/>
        <v>2971920</v>
      </c>
      <c r="AG159" s="18">
        <f t="shared" si="62"/>
        <v>0.63728437497954094</v>
      </c>
      <c r="AH159" s="17">
        <f t="shared" si="63"/>
        <v>-1691492.6250081202</v>
      </c>
      <c r="AI159" s="20">
        <f t="shared" si="64"/>
        <v>-1.4803043324090215E-2</v>
      </c>
      <c r="AJ159" s="20">
        <f t="shared" si="65"/>
        <v>7.4723642867572687E-2</v>
      </c>
      <c r="AK159" s="21">
        <f t="shared" si="66"/>
        <v>8.2176883313565097E-2</v>
      </c>
      <c r="AL159" s="21">
        <f t="shared" si="67"/>
        <v>-0.10415797513316039</v>
      </c>
      <c r="AM159" s="31"/>
      <c r="AO159" s="38">
        <f t="shared" si="68"/>
        <v>46178</v>
      </c>
      <c r="AP159" s="17">
        <f>+Tabla22[[#This Row],[Web + APP 2025]]+Tabla22[[#This Row],[Afiliados 2025]]+Tabla22[[#This Row],[TMK 2025]]+Tabla22[[#This Row],[WA 2025]]+Tabla22[[#This Row],[Ent. en Tienda 2025]]</f>
        <v>2612767.1724137929</v>
      </c>
      <c r="AQ159" s="17">
        <f>+Tabla22[[#This Row],[Meli Drop 2025]]+Tabla22[[#This Row],[Meli Full 2025]]+Tabla22[[#This Row],[Amazon Drop 2025]]+Tabla22[[#This Row],[Amazon Full 2025]]+Tabla22[[#This Row],[TikTok 2025]]+Tabla22[[#This Row],[Shein 2025]]</f>
        <v>936335</v>
      </c>
      <c r="AR159" s="17">
        <f t="shared" si="69"/>
        <v>2416309</v>
      </c>
      <c r="AS159" s="17">
        <f t="shared" si="70"/>
        <v>555611</v>
      </c>
      <c r="AT159" s="18">
        <f t="shared" si="71"/>
        <v>-7.5191610828566846E-2</v>
      </c>
      <c r="AU159" s="18">
        <f t="shared" si="72"/>
        <v>-0.40661088178910321</v>
      </c>
      <c r="AV159" s="49">
        <f t="shared" si="73"/>
        <v>3436840.55209722</v>
      </c>
      <c r="AW159" s="49">
        <f t="shared" si="74"/>
        <v>1226572.0729109</v>
      </c>
      <c r="AX159" s="39">
        <f t="shared" si="75"/>
        <v>0.70306112936357379</v>
      </c>
      <c r="AY159" s="39">
        <f t="shared" si="76"/>
        <v>0.45297868121310175</v>
      </c>
      <c r="AZ159" s="39">
        <f t="shared" si="77"/>
        <v>0.63728437497954094</v>
      </c>
      <c r="BA159" s="18">
        <v>3.3423159252527201E-2</v>
      </c>
      <c r="BB159" s="20">
        <v>3.0073621158353998E-2</v>
      </c>
      <c r="BC159" s="17">
        <f t="shared" si="78"/>
        <v>-1020531.55209722</v>
      </c>
      <c r="BD159" s="17">
        <f t="shared" si="79"/>
        <v>-670961.07291089999</v>
      </c>
      <c r="BE159" s="6">
        <f t="shared" si="81"/>
        <v>3436840.5520972176</v>
      </c>
      <c r="BF159" s="27">
        <f t="shared" si="82"/>
        <v>3.0134473045042694E-2</v>
      </c>
      <c r="BG159" s="27">
        <f t="shared" si="83"/>
        <v>3.3467177978469285E-2</v>
      </c>
      <c r="BH159" s="7">
        <f t="shared" si="84"/>
        <v>1226572.0729108988</v>
      </c>
      <c r="BI159" s="6">
        <f t="shared" si="85"/>
        <v>-1020531.5520972176</v>
      </c>
      <c r="BJ159" s="7">
        <f t="shared" si="86"/>
        <v>-670961.07291089883</v>
      </c>
    </row>
    <row r="160" spans="1:62" ht="14.25" hidden="1" customHeight="1" x14ac:dyDescent="0.35">
      <c r="A160" s="19">
        <v>45814</v>
      </c>
      <c r="B160" s="17">
        <f>+'BD MD'!B159</f>
        <v>40369746</v>
      </c>
      <c r="C160" s="17">
        <f t="shared" si="59"/>
        <v>3016574.4827586208</v>
      </c>
      <c r="D160" s="18">
        <f t="shared" si="80"/>
        <v>2.6303977444996626E-2</v>
      </c>
      <c r="E160" s="17">
        <v>47697211</v>
      </c>
      <c r="F160" s="19">
        <v>46179</v>
      </c>
      <c r="G160" s="17">
        <f t="shared" si="60"/>
        <v>3963610.0504163904</v>
      </c>
      <c r="H160" s="17">
        <v>2902425.7969517601</v>
      </c>
      <c r="I160" s="17">
        <v>1061184.2534646301</v>
      </c>
      <c r="J160" s="17">
        <v>1974536</v>
      </c>
      <c r="K160" s="17">
        <v>2159116</v>
      </c>
      <c r="L160" s="17">
        <v>24459.482758620699</v>
      </c>
      <c r="M160" s="17">
        <v>34578</v>
      </c>
      <c r="N160" s="17">
        <v>72867</v>
      </c>
      <c r="O160" s="17">
        <v>22387</v>
      </c>
      <c r="P160" s="17">
        <v>5878</v>
      </c>
      <c r="Q160" s="17">
        <v>1996</v>
      </c>
      <c r="R160" s="17">
        <v>128752</v>
      </c>
      <c r="S160" s="17">
        <v>97775</v>
      </c>
      <c r="T160" s="17">
        <v>599700</v>
      </c>
      <c r="U160" s="17">
        <v>344708</v>
      </c>
      <c r="V160" s="17">
        <v>181701</v>
      </c>
      <c r="W160" s="17">
        <v>188671</v>
      </c>
      <c r="X160" s="17">
        <v>19333</v>
      </c>
      <c r="Y160" s="17">
        <v>9093</v>
      </c>
      <c r="Z160" s="17">
        <v>9348</v>
      </c>
      <c r="AA160" s="17">
        <v>3824</v>
      </c>
      <c r="AB160" s="17">
        <v>0</v>
      </c>
      <c r="AC160" s="17">
        <v>5418</v>
      </c>
      <c r="AD160" s="17">
        <v>0</v>
      </c>
      <c r="AE160" s="17">
        <v>3100</v>
      </c>
      <c r="AF160" s="17">
        <f t="shared" si="61"/>
        <v>2870666</v>
      </c>
      <c r="AG160" s="18">
        <f t="shared" si="62"/>
        <v>0.72425540441306202</v>
      </c>
      <c r="AH160" s="17">
        <f t="shared" si="63"/>
        <v>-1092944.0504163904</v>
      </c>
      <c r="AI160" s="20">
        <f t="shared" si="64"/>
        <v>8.636658081798787E-2</v>
      </c>
      <c r="AJ160" s="20">
        <f t="shared" si="65"/>
        <v>5.2614319106986225E-2</v>
      </c>
      <c r="AK160" s="21">
        <f t="shared" si="66"/>
        <v>6.0185196153292903E-2</v>
      </c>
      <c r="AL160" s="21">
        <f t="shared" si="67"/>
        <v>-5.0290742515161524E-2</v>
      </c>
      <c r="AM160" s="31"/>
      <c r="AO160" s="38">
        <f t="shared" si="68"/>
        <v>46179</v>
      </c>
      <c r="AP160" s="17">
        <f>+Tabla22[[#This Row],[Web + APP 2025]]+Tabla22[[#This Row],[Afiliados 2025]]+Tabla22[[#This Row],[TMK 2025]]+Tabla22[[#This Row],[WA 2025]]+Tabla22[[#This Row],[Ent. en Tienda 2025]]</f>
        <v>2206492.4827586208</v>
      </c>
      <c r="AQ160" s="17">
        <f>+Tabla22[[#This Row],[Meli Drop 2025]]+Tabla22[[#This Row],[Meli Full 2025]]+Tabla22[[#This Row],[Amazon Drop 2025]]+Tabla22[[#This Row],[Amazon Full 2025]]+Tabla22[[#This Row],[TikTok 2025]]+Tabla22[[#This Row],[Shein 2025]]</f>
        <v>810082</v>
      </c>
      <c r="AR160" s="17">
        <f t="shared" si="69"/>
        <v>2315852</v>
      </c>
      <c r="AS160" s="17">
        <f t="shared" si="70"/>
        <v>554814</v>
      </c>
      <c r="AT160" s="18">
        <f t="shared" si="71"/>
        <v>4.956260585336536E-2</v>
      </c>
      <c r="AU160" s="18">
        <f t="shared" si="72"/>
        <v>-0.3151137786051289</v>
      </c>
      <c r="AV160" s="49">
        <f t="shared" si="73"/>
        <v>2902425.7969517601</v>
      </c>
      <c r="AW160" s="49">
        <f t="shared" si="74"/>
        <v>1061184.2534646301</v>
      </c>
      <c r="AX160" s="39">
        <f t="shared" si="75"/>
        <v>0.79790222455719539</v>
      </c>
      <c r="AY160" s="39">
        <f t="shared" si="76"/>
        <v>0.5228253229244626</v>
      </c>
      <c r="AZ160" s="39">
        <f t="shared" si="77"/>
        <v>0.72425540441306202</v>
      </c>
      <c r="BA160" s="18">
        <v>2.89164665355943E-2</v>
      </c>
      <c r="BB160" s="20">
        <v>2.5447505646976398E-2</v>
      </c>
      <c r="BC160" s="17">
        <f t="shared" si="78"/>
        <v>-586573.79695176007</v>
      </c>
      <c r="BD160" s="17">
        <f t="shared" si="79"/>
        <v>-506370.25346463011</v>
      </c>
      <c r="BE160" s="6">
        <f t="shared" si="81"/>
        <v>2902425.7969517596</v>
      </c>
      <c r="BF160" s="27">
        <f t="shared" si="82"/>
        <v>2.5448684807361205E-2</v>
      </c>
      <c r="BG160" s="27">
        <f t="shared" si="83"/>
        <v>2.8954549889894491E-2</v>
      </c>
      <c r="BH160" s="7">
        <f t="shared" si="84"/>
        <v>1061184.2534646327</v>
      </c>
      <c r="BI160" s="6">
        <f t="shared" si="85"/>
        <v>-586573.79695175961</v>
      </c>
      <c r="BJ160" s="7">
        <f t="shared" si="86"/>
        <v>-506370.25346463267</v>
      </c>
    </row>
    <row r="161" spans="1:66" ht="14.25" hidden="1" customHeight="1" x14ac:dyDescent="0.35">
      <c r="A161" s="16">
        <v>45815</v>
      </c>
      <c r="B161" s="17">
        <f>+'BD MD'!B160</f>
        <v>50222961</v>
      </c>
      <c r="C161" s="17">
        <f t="shared" si="59"/>
        <v>2642446.8965517241</v>
      </c>
      <c r="D161" s="18">
        <f t="shared" si="80"/>
        <v>2.3041653360050537E-2</v>
      </c>
      <c r="E161" s="17">
        <v>50902735</v>
      </c>
      <c r="F161" s="19">
        <v>46180</v>
      </c>
      <c r="G161" s="17">
        <f t="shared" si="60"/>
        <v>3472422.4349578251</v>
      </c>
      <c r="H161" s="17">
        <v>2638146.18790258</v>
      </c>
      <c r="I161" s="17">
        <v>834276.24705524498</v>
      </c>
      <c r="J161" s="17">
        <v>1787547</v>
      </c>
      <c r="K161" s="17">
        <v>2835754</v>
      </c>
      <c r="L161" s="17">
        <v>25031.896551724101</v>
      </c>
      <c r="M161" s="17">
        <v>33462</v>
      </c>
      <c r="N161" s="17">
        <v>25976</v>
      </c>
      <c r="O161" s="17">
        <v>1717</v>
      </c>
      <c r="P161" s="17">
        <v>10248</v>
      </c>
      <c r="Q161" s="17">
        <v>3121</v>
      </c>
      <c r="R161" s="17">
        <v>156778</v>
      </c>
      <c r="S161" s="17">
        <v>82366</v>
      </c>
      <c r="T161" s="17">
        <v>495806</v>
      </c>
      <c r="U161" s="17">
        <v>526670</v>
      </c>
      <c r="V161" s="17">
        <v>116017</v>
      </c>
      <c r="W161" s="17">
        <v>201401</v>
      </c>
      <c r="X161" s="17">
        <v>17934</v>
      </c>
      <c r="Y161" s="17">
        <v>12585</v>
      </c>
      <c r="Z161" s="17">
        <v>7109</v>
      </c>
      <c r="AA161" s="17">
        <v>6574</v>
      </c>
      <c r="AB161" s="17">
        <v>0</v>
      </c>
      <c r="AC161" s="17">
        <v>2075</v>
      </c>
      <c r="AD161" s="17">
        <v>0</v>
      </c>
      <c r="AE161" s="17">
        <v>3057</v>
      </c>
      <c r="AF161" s="17">
        <f t="shared" si="61"/>
        <v>3708782</v>
      </c>
      <c r="AG161" s="18">
        <f t="shared" si="62"/>
        <v>1.0680676298663085</v>
      </c>
      <c r="AH161" s="17">
        <f t="shared" si="63"/>
        <v>236359.56504217489</v>
      </c>
      <c r="AI161" s="20">
        <f t="shared" si="64"/>
        <v>0.16227425533582518</v>
      </c>
      <c r="AJ161" s="20">
        <f t="shared" si="65"/>
        <v>6.3921386858858051E-2</v>
      </c>
      <c r="AK161" s="21">
        <f t="shared" si="66"/>
        <v>7.2860171462299617E-2</v>
      </c>
      <c r="AL161" s="21">
        <f t="shared" si="67"/>
        <v>1.9681683700879526E-2</v>
      </c>
      <c r="AM161" s="31"/>
      <c r="AO161" s="38">
        <f t="shared" si="68"/>
        <v>46180</v>
      </c>
      <c r="AP161" s="17">
        <f>+Tabla22[[#This Row],[Web + APP 2025]]+Tabla22[[#This Row],[Afiliados 2025]]+Tabla22[[#This Row],[TMK 2025]]+Tabla22[[#This Row],[WA 2025]]+Tabla22[[#This Row],[Ent. en Tienda 2025]]</f>
        <v>2005580.8965517241</v>
      </c>
      <c r="AQ161" s="17">
        <f>+Tabla22[[#This Row],[Meli Drop 2025]]+Tabla22[[#This Row],[Meli Full 2025]]+Tabla22[[#This Row],[Amazon Drop 2025]]+Tabla22[[#This Row],[Amazon Full 2025]]+Tabla22[[#This Row],[TikTok 2025]]+Tabla22[[#This Row],[Shein 2025]]</f>
        <v>636866</v>
      </c>
      <c r="AR161" s="17">
        <f t="shared" si="69"/>
        <v>2956420</v>
      </c>
      <c r="AS161" s="17">
        <f t="shared" si="70"/>
        <v>752362</v>
      </c>
      <c r="AT161" s="18">
        <f t="shared" si="71"/>
        <v>0.47409660965712819</v>
      </c>
      <c r="AU161" s="18">
        <f t="shared" si="72"/>
        <v>0.18135055097932695</v>
      </c>
      <c r="AV161" s="49">
        <f t="shared" si="73"/>
        <v>2638146.18790258</v>
      </c>
      <c r="AW161" s="49">
        <f t="shared" si="74"/>
        <v>834276.24705524498</v>
      </c>
      <c r="AX161" s="39">
        <f t="shared" si="75"/>
        <v>1.1206429778444003</v>
      </c>
      <c r="AY161" s="39">
        <f t="shared" si="76"/>
        <v>0.90181400064501571</v>
      </c>
      <c r="AZ161" s="39">
        <f t="shared" si="77"/>
        <v>1.0680676298663085</v>
      </c>
      <c r="BA161" s="18">
        <v>2.27333953558502E-2</v>
      </c>
      <c r="BB161" s="20">
        <v>2.3130559876951999E-2</v>
      </c>
      <c r="BC161" s="17">
        <f t="shared" si="78"/>
        <v>318273.81209741998</v>
      </c>
      <c r="BD161" s="17">
        <f t="shared" si="79"/>
        <v>-81914.247055244981</v>
      </c>
      <c r="BE161" s="6">
        <f t="shared" si="81"/>
        <v>2638146.1879025837</v>
      </c>
      <c r="BF161" s="27">
        <f t="shared" si="82"/>
        <v>2.3131461580235612E-2</v>
      </c>
      <c r="BG161" s="27">
        <f t="shared" si="83"/>
        <v>2.2763335526746115E-2</v>
      </c>
      <c r="BH161" s="7">
        <f t="shared" si="84"/>
        <v>834276.24705524475</v>
      </c>
      <c r="BI161" s="6">
        <f t="shared" si="85"/>
        <v>318273.81209741626</v>
      </c>
      <c r="BJ161" s="7">
        <f t="shared" si="86"/>
        <v>-81914.247055244748</v>
      </c>
      <c r="BM161" s="53"/>
    </row>
    <row r="162" spans="1:66" ht="14.25" hidden="1" customHeight="1" x14ac:dyDescent="0.35">
      <c r="A162" s="19">
        <v>45816</v>
      </c>
      <c r="B162" s="17">
        <f>+'BD MD'!B161</f>
        <v>49920221</v>
      </c>
      <c r="C162" s="17">
        <f t="shared" si="59"/>
        <v>3190969.7586206896</v>
      </c>
      <c r="D162" s="18">
        <f t="shared" si="80"/>
        <v>2.7824672335511912E-2</v>
      </c>
      <c r="E162" s="17">
        <v>28697109</v>
      </c>
      <c r="F162" s="19">
        <v>46181</v>
      </c>
      <c r="G162" s="17">
        <f t="shared" si="60"/>
        <v>4193019.4933147803</v>
      </c>
      <c r="H162" s="17">
        <v>3134115.9000614402</v>
      </c>
      <c r="I162" s="17">
        <v>1058903.5932533401</v>
      </c>
      <c r="J162" s="17">
        <v>2242842</v>
      </c>
      <c r="K162" s="17">
        <v>4038776</v>
      </c>
      <c r="L162" s="17">
        <v>25757.758620689601</v>
      </c>
      <c r="M162" s="17">
        <v>28413</v>
      </c>
      <c r="N162" s="17">
        <v>21715</v>
      </c>
      <c r="O162" s="17">
        <v>38880</v>
      </c>
      <c r="P162" s="17">
        <v>6780</v>
      </c>
      <c r="Q162" s="17">
        <v>7184</v>
      </c>
      <c r="R162" s="17">
        <v>85534</v>
      </c>
      <c r="S162" s="17">
        <v>129134</v>
      </c>
      <c r="T162" s="17">
        <v>642846</v>
      </c>
      <c r="U162" s="17">
        <v>693965</v>
      </c>
      <c r="V162" s="17">
        <v>139716</v>
      </c>
      <c r="W162" s="17">
        <v>192882</v>
      </c>
      <c r="X162" s="17">
        <v>16575</v>
      </c>
      <c r="Y162" s="17">
        <v>27190</v>
      </c>
      <c r="Z162" s="17">
        <v>9204</v>
      </c>
      <c r="AA162" s="17">
        <v>4960</v>
      </c>
      <c r="AB162" s="17">
        <v>0</v>
      </c>
      <c r="AC162" s="17">
        <v>8849</v>
      </c>
      <c r="AD162" s="17">
        <v>0</v>
      </c>
      <c r="AE162" s="17">
        <v>3057</v>
      </c>
      <c r="AF162" s="17">
        <f t="shared" si="61"/>
        <v>5173290</v>
      </c>
      <c r="AG162" s="18">
        <f t="shared" si="62"/>
        <v>1.2337862984534493</v>
      </c>
      <c r="AH162" s="17">
        <f t="shared" si="63"/>
        <v>980270.50668521971</v>
      </c>
      <c r="AI162" s="20">
        <f t="shared" si="64"/>
        <v>0.15127456239772519</v>
      </c>
      <c r="AJ162" s="20">
        <f t="shared" si="65"/>
        <v>0.15602258379094466</v>
      </c>
      <c r="AK162" s="21">
        <f t="shared" si="66"/>
        <v>0.18027216609171329</v>
      </c>
      <c r="AL162" s="21">
        <f t="shared" si="67"/>
        <v>-3.5908716673527241E-3</v>
      </c>
      <c r="AM162" s="31"/>
      <c r="AO162" s="38">
        <f t="shared" si="68"/>
        <v>46181</v>
      </c>
      <c r="AP162" s="17">
        <f>+Tabla22[[#This Row],[Web + APP 2025]]+Tabla22[[#This Row],[Afiliados 2025]]+Tabla22[[#This Row],[TMK 2025]]+Tabla22[[#This Row],[WA 2025]]+Tabla22[[#This Row],[Ent. en Tienda 2025]]</f>
        <v>2382628.7586206896</v>
      </c>
      <c r="AQ162" s="17">
        <f>+Tabla22[[#This Row],[Meli Drop 2025]]+Tabla22[[#This Row],[Meli Full 2025]]+Tabla22[[#This Row],[Amazon Drop 2025]]+Tabla22[[#This Row],[Amazon Full 2025]]+Tabla22[[#This Row],[TikTok 2025]]+Tabla22[[#This Row],[Shein 2025]]</f>
        <v>808341</v>
      </c>
      <c r="AR162" s="17">
        <f t="shared" si="69"/>
        <v>4242387</v>
      </c>
      <c r="AS162" s="17">
        <f t="shared" si="70"/>
        <v>930903</v>
      </c>
      <c r="AT162" s="18">
        <f t="shared" si="71"/>
        <v>0.78054889359092994</v>
      </c>
      <c r="AU162" s="18">
        <f t="shared" si="72"/>
        <v>0.15162165472245004</v>
      </c>
      <c r="AV162" s="49">
        <f t="shared" si="73"/>
        <v>3134115.9000614402</v>
      </c>
      <c r="AW162" s="49">
        <f t="shared" si="74"/>
        <v>1058903.5932533401</v>
      </c>
      <c r="AX162" s="39">
        <f t="shared" si="75"/>
        <v>1.3536152252432125</v>
      </c>
      <c r="AY162" s="39">
        <f t="shared" si="76"/>
        <v>0.87911969128362732</v>
      </c>
      <c r="AZ162" s="39">
        <f t="shared" si="77"/>
        <v>1.2337862984534493</v>
      </c>
      <c r="BA162" s="18">
        <v>2.8854320273563501E-2</v>
      </c>
      <c r="BB162" s="20">
        <v>2.74854380632647E-2</v>
      </c>
      <c r="BC162" s="17">
        <f t="shared" si="78"/>
        <v>1108271.0999385598</v>
      </c>
      <c r="BD162" s="17">
        <f t="shared" si="79"/>
        <v>-128000.59325334011</v>
      </c>
      <c r="BE162" s="6">
        <f t="shared" si="81"/>
        <v>3134115.9000614402</v>
      </c>
      <c r="BF162" s="27">
        <f t="shared" si="82"/>
        <v>2.7480160827597695E-2</v>
      </c>
      <c r="BG162" s="27">
        <f t="shared" si="83"/>
        <v>2.8892321780445932E-2</v>
      </c>
      <c r="BH162" s="7">
        <f t="shared" si="84"/>
        <v>1058903.5932533429</v>
      </c>
      <c r="BI162" s="7"/>
      <c r="BM162" s="53"/>
    </row>
    <row r="163" spans="1:66" ht="14.25" hidden="1" customHeight="1" x14ac:dyDescent="0.35">
      <c r="A163" s="16">
        <v>45817</v>
      </c>
      <c r="B163" s="17">
        <f>+'BD MD'!B162</f>
        <v>28800528</v>
      </c>
      <c r="C163" s="17">
        <f t="shared" si="59"/>
        <v>4493532.7931034481</v>
      </c>
      <c r="D163" s="18">
        <f t="shared" si="80"/>
        <v>3.9182783622188355E-2</v>
      </c>
      <c r="E163" s="17">
        <v>32882240</v>
      </c>
      <c r="F163" s="19">
        <v>46182</v>
      </c>
      <c r="G163" s="17">
        <f t="shared" si="60"/>
        <v>5905700.5773297697</v>
      </c>
      <c r="H163" s="17">
        <v>4674671.9817084698</v>
      </c>
      <c r="I163" s="17">
        <v>1231028.5956212999</v>
      </c>
      <c r="J163" s="17">
        <v>3389987</v>
      </c>
      <c r="K163" s="17">
        <v>4305103</v>
      </c>
      <c r="L163" s="17">
        <v>24238.793103448301</v>
      </c>
      <c r="M163" s="17">
        <v>32400</v>
      </c>
      <c r="N163" s="17">
        <v>51991</v>
      </c>
      <c r="O163" s="17">
        <v>65678</v>
      </c>
      <c r="P163" s="17">
        <v>11309</v>
      </c>
      <c r="Q163" s="17">
        <v>1844</v>
      </c>
      <c r="R163" s="17">
        <v>76270</v>
      </c>
      <c r="S163" s="17">
        <v>114553</v>
      </c>
      <c r="T163" s="17">
        <v>757315</v>
      </c>
      <c r="U163" s="17">
        <v>480602</v>
      </c>
      <c r="V163" s="17">
        <v>142907</v>
      </c>
      <c r="W163" s="17">
        <v>174897</v>
      </c>
      <c r="X163" s="17">
        <v>32343</v>
      </c>
      <c r="Y163" s="17">
        <v>13800</v>
      </c>
      <c r="Z163" s="17">
        <v>7172</v>
      </c>
      <c r="AA163" s="17">
        <v>7381</v>
      </c>
      <c r="AB163" s="17">
        <v>0</v>
      </c>
      <c r="AC163" s="17">
        <v>11271</v>
      </c>
      <c r="AD163" s="17">
        <v>0</v>
      </c>
      <c r="AE163" s="17">
        <v>1636</v>
      </c>
      <c r="AF163" s="17">
        <f t="shared" si="61"/>
        <v>5209165</v>
      </c>
      <c r="AG163" s="18">
        <f t="shared" si="62"/>
        <v>0.88205707888348373</v>
      </c>
      <c r="AH163" s="17">
        <f t="shared" si="63"/>
        <v>-696535.57732976973</v>
      </c>
      <c r="AI163" s="20">
        <f t="shared" si="64"/>
        <v>6.8446347962349385E-2</v>
      </c>
      <c r="AJ163" s="20">
        <f t="shared" si="65"/>
        <v>0.14406295826410509</v>
      </c>
      <c r="AK163" s="21">
        <f t="shared" si="66"/>
        <v>0.15841879993577079</v>
      </c>
      <c r="AL163" s="21">
        <f t="shared" si="67"/>
        <v>-2.8375788123997436E-2</v>
      </c>
      <c r="AM163" s="31"/>
      <c r="AO163" s="38">
        <f t="shared" si="68"/>
        <v>46182</v>
      </c>
      <c r="AP163" s="17">
        <f>+Tabla22[[#This Row],[Web + APP 2025]]+Tabla22[[#This Row],[Afiliados 2025]]+Tabla22[[#This Row],[TMK 2025]]+Tabla22[[#This Row],[WA 2025]]+Tabla22[[#This Row],[Ent. en Tienda 2025]]</f>
        <v>3553795.7931034481</v>
      </c>
      <c r="AQ163" s="17">
        <f>+Tabla22[[#This Row],[Meli Drop 2025]]+Tabla22[[#This Row],[Meli Full 2025]]+Tabla22[[#This Row],[Amazon Drop 2025]]+Tabla22[[#This Row],[Amazon Full 2025]]+Tabla22[[#This Row],[TikTok 2025]]+Tabla22[[#This Row],[Shein 2025]]</f>
        <v>939737</v>
      </c>
      <c r="AR163" s="17">
        <f t="shared" si="69"/>
        <v>4519578</v>
      </c>
      <c r="AS163" s="17">
        <f t="shared" si="70"/>
        <v>689587</v>
      </c>
      <c r="AT163" s="18">
        <f t="shared" si="71"/>
        <v>0.27176074910403236</v>
      </c>
      <c r="AU163" s="18">
        <f t="shared" si="72"/>
        <v>-0.26619149825961941</v>
      </c>
      <c r="AV163" s="49">
        <f t="shared" si="73"/>
        <v>4674671.9817084698</v>
      </c>
      <c r="AW163" s="49">
        <f t="shared" si="74"/>
        <v>1231028.5956212999</v>
      </c>
      <c r="AX163" s="39">
        <f t="shared" si="75"/>
        <v>0.96682248886866562</v>
      </c>
      <c r="AY163" s="39">
        <f t="shared" si="76"/>
        <v>0.56017139037453922</v>
      </c>
      <c r="AZ163" s="39">
        <f t="shared" si="77"/>
        <v>0.88205707888348373</v>
      </c>
      <c r="BA163" s="18">
        <v>3.3544596118367999E-2</v>
      </c>
      <c r="BB163" s="20">
        <v>4.0791226161324801E-2</v>
      </c>
      <c r="BC163" s="17">
        <f t="shared" si="78"/>
        <v>-155093.9817084698</v>
      </c>
      <c r="BD163" s="17">
        <f t="shared" si="79"/>
        <v>-541441.59562129993</v>
      </c>
      <c r="BE163" s="6">
        <f t="shared" si="81"/>
        <v>4674671.9817084717</v>
      </c>
      <c r="BF163" s="27">
        <f t="shared" si="82"/>
        <v>4.0987870892424658E-2</v>
      </c>
      <c r="BG163" s="27">
        <f t="shared" si="83"/>
        <v>3.3588774778207368E-2</v>
      </c>
      <c r="BH163" s="7">
        <f t="shared" si="84"/>
        <v>1231028.5956212995</v>
      </c>
      <c r="BI163" s="7"/>
      <c r="BN163" s="53"/>
    </row>
    <row r="164" spans="1:66" ht="14.25" hidden="1" customHeight="1" x14ac:dyDescent="0.35">
      <c r="A164" s="19">
        <v>45818</v>
      </c>
      <c r="B164" s="17">
        <f>+'BD MD'!B163</f>
        <v>33842549</v>
      </c>
      <c r="C164" s="17">
        <f t="shared" si="59"/>
        <v>4875457.7241379311</v>
      </c>
      <c r="D164" s="18">
        <f t="shared" si="80"/>
        <v>4.2513099127087096E-2</v>
      </c>
      <c r="E164" s="17">
        <v>37140797</v>
      </c>
      <c r="F164" s="19">
        <v>46183</v>
      </c>
      <c r="G164" s="17">
        <f t="shared" si="60"/>
        <v>6407621.7256236402</v>
      </c>
      <c r="H164" s="17">
        <v>5064708.4725375203</v>
      </c>
      <c r="I164" s="17">
        <v>1342913.2530861199</v>
      </c>
      <c r="J164" s="17">
        <v>3660690</v>
      </c>
      <c r="K164" s="17">
        <v>4123039</v>
      </c>
      <c r="L164" s="17">
        <v>22251.724137931</v>
      </c>
      <c r="M164" s="17">
        <v>28567</v>
      </c>
      <c r="N164" s="17">
        <v>65685</v>
      </c>
      <c r="O164" s="17">
        <v>28987</v>
      </c>
      <c r="P164" s="17">
        <v>13660</v>
      </c>
      <c r="Q164" s="17">
        <v>6055</v>
      </c>
      <c r="R164" s="17">
        <v>88024</v>
      </c>
      <c r="S164" s="17">
        <v>132557</v>
      </c>
      <c r="T164" s="17">
        <v>829750</v>
      </c>
      <c r="U164" s="17">
        <v>415988</v>
      </c>
      <c r="V164" s="17">
        <v>153054</v>
      </c>
      <c r="W164" s="17">
        <v>141262</v>
      </c>
      <c r="X164" s="17">
        <v>32493</v>
      </c>
      <c r="Y164" s="17">
        <v>21700</v>
      </c>
      <c r="Z164" s="17">
        <v>9850</v>
      </c>
      <c r="AA164" s="17">
        <v>2811</v>
      </c>
      <c r="AB164" s="17">
        <v>0</v>
      </c>
      <c r="AC164" s="17">
        <v>4259</v>
      </c>
      <c r="AD164" s="17">
        <v>0</v>
      </c>
      <c r="AE164" s="17">
        <v>0</v>
      </c>
      <c r="AF164" s="17">
        <f t="shared" si="61"/>
        <v>4905225</v>
      </c>
      <c r="AG164" s="18">
        <f t="shared" si="62"/>
        <v>0.7655297409933457</v>
      </c>
      <c r="AH164" s="17">
        <f t="shared" si="63"/>
        <v>-1502396.7256236402</v>
      </c>
      <c r="AI164" s="20">
        <f t="shared" si="64"/>
        <v>0.10448786537619759</v>
      </c>
      <c r="AJ164" s="20">
        <f t="shared" si="65"/>
        <v>0.1161836524699323</v>
      </c>
      <c r="AK164" s="21">
        <f t="shared" ref="AK164:AK184" si="87">+AF164/E164</f>
        <v>0.13207107537299212</v>
      </c>
      <c r="AL164" s="21">
        <f t="shared" si="67"/>
        <v>-2.837594116866704E-2</v>
      </c>
      <c r="AM164" s="31"/>
      <c r="AO164" s="38">
        <f t="shared" si="68"/>
        <v>46183</v>
      </c>
      <c r="AP164" s="17">
        <f>+Tabla22[[#This Row],[Web + APP 2025]]+Tabla22[[#This Row],[Afiliados 2025]]+Tabla22[[#This Row],[TMK 2025]]+Tabla22[[#This Row],[WA 2025]]+Tabla22[[#This Row],[Ent. en Tienda 2025]]</f>
        <v>3850310.7241379311</v>
      </c>
      <c r="AQ164" s="17">
        <f>+Tabla22[[#This Row],[Meli Drop 2025]]+Tabla22[[#This Row],[Meli Full 2025]]+Tabla22[[#This Row],[Amazon Drop 2025]]+Tabla22[[#This Row],[Amazon Full 2025]]+Tabla22[[#This Row],[TikTok 2025]]+Tabla22[[#This Row],[Shein 2025]]</f>
        <v>1025147</v>
      </c>
      <c r="AR164" s="17">
        <f t="shared" si="69"/>
        <v>4319205</v>
      </c>
      <c r="AS164" s="17">
        <f t="shared" si="70"/>
        <v>586020</v>
      </c>
      <c r="AT164" s="18">
        <f t="shared" si="71"/>
        <v>0.12178089236344758</v>
      </c>
      <c r="AU164" s="18">
        <f t="shared" si="72"/>
        <v>-0.42835515296830606</v>
      </c>
      <c r="AV164" s="49">
        <f t="shared" si="73"/>
        <v>5064708.4725375203</v>
      </c>
      <c r="AW164" s="49">
        <f t="shared" si="74"/>
        <v>1342913.2530861199</v>
      </c>
      <c r="AX164" s="39">
        <f t="shared" si="75"/>
        <v>0.8528042676928238</v>
      </c>
      <c r="AY164" s="39">
        <f t="shared" si="76"/>
        <v>0.43637963856062939</v>
      </c>
      <c r="AZ164" s="39">
        <f t="shared" si="77"/>
        <v>0.7655297409933457</v>
      </c>
      <c r="BA164" s="18">
        <v>3.6593368226383198E-2</v>
      </c>
      <c r="BB164" s="20">
        <v>4.4127254434182403E-2</v>
      </c>
      <c r="BC164" s="17">
        <f t="shared" si="78"/>
        <v>-745503.47253752034</v>
      </c>
      <c r="BD164" s="17">
        <f t="shared" si="79"/>
        <v>-756893.25308611989</v>
      </c>
      <c r="BE164" s="6">
        <f t="shared" si="81"/>
        <v>5064708.4725375231</v>
      </c>
      <c r="BF164" s="27">
        <f t="shared" si="82"/>
        <v>4.4407739792743268E-2</v>
      </c>
      <c r="BG164" s="27">
        <f t="shared" si="83"/>
        <v>3.6641562157874966E-2</v>
      </c>
      <c r="BH164" s="7">
        <f t="shared" si="84"/>
        <v>1342913.2530861169</v>
      </c>
      <c r="BI164" s="7"/>
      <c r="BN164" s="53"/>
    </row>
    <row r="165" spans="1:66" ht="14.25" hidden="1" customHeight="1" x14ac:dyDescent="0.35">
      <c r="A165" s="16">
        <v>45819</v>
      </c>
      <c r="B165" s="17">
        <f>+'BD MD'!B164</f>
        <v>38225481</v>
      </c>
      <c r="C165" s="17">
        <f t="shared" si="59"/>
        <v>4441176</v>
      </c>
      <c r="D165" s="18">
        <f t="shared" si="80"/>
        <v>3.8726241967819514E-2</v>
      </c>
      <c r="E165" s="17">
        <v>35683971</v>
      </c>
      <c r="F165" s="19">
        <v>46184</v>
      </c>
      <c r="G165" s="17">
        <f t="shared" si="60"/>
        <v>5835819.3199239196</v>
      </c>
      <c r="H165" s="17">
        <v>4360940.8577481396</v>
      </c>
      <c r="I165" s="17">
        <v>1474878.46217578</v>
      </c>
      <c r="J165" s="17">
        <v>3126283</v>
      </c>
      <c r="K165" s="17">
        <v>2993082</v>
      </c>
      <c r="L165" s="17">
        <v>19800</v>
      </c>
      <c r="M165" s="17">
        <v>24347</v>
      </c>
      <c r="N165" s="17">
        <v>47481</v>
      </c>
      <c r="O165" s="17">
        <v>18478</v>
      </c>
      <c r="P165" s="17">
        <v>1700</v>
      </c>
      <c r="Q165" s="17">
        <v>2267</v>
      </c>
      <c r="R165" s="17">
        <v>120026</v>
      </c>
      <c r="S165" s="17">
        <v>140034</v>
      </c>
      <c r="T165" s="17">
        <v>948224</v>
      </c>
      <c r="U165" s="17">
        <v>412479</v>
      </c>
      <c r="V165" s="17">
        <v>139153</v>
      </c>
      <c r="W165" s="17">
        <v>215146</v>
      </c>
      <c r="X165" s="17">
        <v>23874</v>
      </c>
      <c r="Y165" s="17">
        <v>12955</v>
      </c>
      <c r="Z165" s="17">
        <v>14635</v>
      </c>
      <c r="AA165" s="17">
        <v>214</v>
      </c>
      <c r="AB165" s="17">
        <v>0</v>
      </c>
      <c r="AC165" s="17">
        <v>4069</v>
      </c>
      <c r="AD165" s="17">
        <v>0</v>
      </c>
      <c r="AE165" s="17">
        <v>1076</v>
      </c>
      <c r="AF165" s="17">
        <f t="shared" si="61"/>
        <v>3824147</v>
      </c>
      <c r="AG165" s="18">
        <f t="shared" si="62"/>
        <v>0.65528879328804424</v>
      </c>
      <c r="AH165" s="17">
        <f t="shared" si="63"/>
        <v>-2011672.3199239196</v>
      </c>
      <c r="AI165" s="20">
        <f t="shared" si="64"/>
        <v>-4.1536392791188259E-3</v>
      </c>
      <c r="AJ165" s="20">
        <f t="shared" si="65"/>
        <v>8.615429046371674E-2</v>
      </c>
      <c r="AK165" s="21">
        <f t="shared" si="87"/>
        <v>0.10716708070410662</v>
      </c>
      <c r="AL165" s="21">
        <f t="shared" si="67"/>
        <v>-0.19941425990999928</v>
      </c>
      <c r="AM165" s="31"/>
      <c r="AO165" s="38">
        <f t="shared" si="68"/>
        <v>46184</v>
      </c>
      <c r="AP165" s="17">
        <f>+Tabla22[[#This Row],[Web + APP 2025]]+Tabla22[[#This Row],[Afiliados 2025]]+Tabla22[[#This Row],[TMK 2025]]+Tabla22[[#This Row],[WA 2025]]+Tabla22[[#This Row],[Ent. en Tienda 2025]]</f>
        <v>3315290</v>
      </c>
      <c r="AQ165" s="17">
        <f>+Tabla22[[#This Row],[Meli Drop 2025]]+Tabla22[[#This Row],[Meli Full 2025]]+Tabla22[[#This Row],[Amazon Drop 2025]]+Tabla22[[#This Row],[Amazon Full 2025]]+Tabla22[[#This Row],[TikTok 2025]]+Tabla22[[#This Row],[Shein 2025]]</f>
        <v>1125886</v>
      </c>
      <c r="AR165" s="17">
        <f t="shared" si="69"/>
        <v>3178208</v>
      </c>
      <c r="AS165" s="17">
        <f t="shared" si="70"/>
        <v>645939</v>
      </c>
      <c r="AT165" s="18">
        <f t="shared" si="71"/>
        <v>-4.1348418992003699E-2</v>
      </c>
      <c r="AU165" s="18">
        <f t="shared" si="72"/>
        <v>-0.42628383335435382</v>
      </c>
      <c r="AV165" s="49">
        <f t="shared" si="73"/>
        <v>4360940.8577481396</v>
      </c>
      <c r="AW165" s="49">
        <f t="shared" si="74"/>
        <v>1474878.46217578</v>
      </c>
      <c r="AX165" s="39">
        <f t="shared" si="75"/>
        <v>0.728789521268842</v>
      </c>
      <c r="AY165" s="39">
        <f t="shared" si="76"/>
        <v>0.43796083308932016</v>
      </c>
      <c r="AZ165" s="39">
        <f t="shared" si="77"/>
        <v>0.65528879328804424</v>
      </c>
      <c r="BA165" s="18">
        <v>4.0189320145237399E-2</v>
      </c>
      <c r="BB165" s="20">
        <v>3.8005437173531803E-2</v>
      </c>
      <c r="BC165" s="17">
        <f t="shared" si="78"/>
        <v>-1182732.8577481396</v>
      </c>
      <c r="BD165" s="17">
        <f t="shared" si="79"/>
        <v>-828939.46217577998</v>
      </c>
      <c r="BE165" s="6">
        <f t="shared" si="81"/>
        <v>4360940.8577481387</v>
      </c>
      <c r="BF165" s="27">
        <f t="shared" si="82"/>
        <v>3.8237053112238573E-2</v>
      </c>
      <c r="BG165" s="27">
        <f t="shared" si="83"/>
        <v>4.0242249991153674E-2</v>
      </c>
      <c r="BH165" s="7">
        <f t="shared" si="84"/>
        <v>1474878.4621757816</v>
      </c>
      <c r="BI165" s="7"/>
    </row>
    <row r="166" spans="1:66" ht="14.25" hidden="1" customHeight="1" x14ac:dyDescent="0.35">
      <c r="A166" s="19">
        <v>45820</v>
      </c>
      <c r="B166" s="17">
        <f>+'BD MD'!B165</f>
        <v>44572329</v>
      </c>
      <c r="C166" s="17">
        <f t="shared" si="59"/>
        <v>3840097.3793103448</v>
      </c>
      <c r="D166" s="18">
        <f t="shared" si="80"/>
        <v>3.3484946395090399E-2</v>
      </c>
      <c r="E166" s="17">
        <v>38806927</v>
      </c>
      <c r="F166" s="19">
        <v>46185</v>
      </c>
      <c r="G166" s="17">
        <f t="shared" si="60"/>
        <v>5045229.5474619195</v>
      </c>
      <c r="H166" s="17">
        <v>3587371.5437153699</v>
      </c>
      <c r="I166" s="17">
        <v>1457858.0037465501</v>
      </c>
      <c r="J166" s="17">
        <v>2529675</v>
      </c>
      <c r="K166" s="17">
        <v>2651227</v>
      </c>
      <c r="L166" s="17">
        <v>25116.379310344801</v>
      </c>
      <c r="M166" s="17">
        <v>30709</v>
      </c>
      <c r="N166" s="17">
        <v>47507</v>
      </c>
      <c r="O166" s="17">
        <v>11629</v>
      </c>
      <c r="P166" s="17">
        <v>12578</v>
      </c>
      <c r="Q166" s="17">
        <v>3889</v>
      </c>
      <c r="R166" s="17">
        <v>112328</v>
      </c>
      <c r="S166" s="17">
        <v>97304</v>
      </c>
      <c r="T166" s="17">
        <v>947866</v>
      </c>
      <c r="U166" s="17">
        <v>566709</v>
      </c>
      <c r="V166" s="17">
        <v>131048</v>
      </c>
      <c r="W166" s="17">
        <v>221811</v>
      </c>
      <c r="X166" s="17">
        <v>20426</v>
      </c>
      <c r="Y166" s="17">
        <v>20101</v>
      </c>
      <c r="Z166" s="17">
        <v>13553</v>
      </c>
      <c r="AA166" s="17">
        <v>2802</v>
      </c>
      <c r="AB166" s="17">
        <v>0</v>
      </c>
      <c r="AC166" s="17">
        <v>6123</v>
      </c>
      <c r="AD166" s="17">
        <v>0</v>
      </c>
      <c r="AE166" s="17">
        <v>2627</v>
      </c>
      <c r="AF166" s="17">
        <f t="shared" si="61"/>
        <v>3614931</v>
      </c>
      <c r="AG166" s="18">
        <f t="shared" si="62"/>
        <v>0.71650476276516428</v>
      </c>
      <c r="AH166" s="17">
        <f t="shared" si="63"/>
        <v>-1430298.5474619195</v>
      </c>
      <c r="AI166" s="20">
        <f t="shared" si="64"/>
        <v>0.30675142736352701</v>
      </c>
      <c r="AJ166" s="20">
        <f t="shared" si="65"/>
        <v>5.7527224435941417E-2</v>
      </c>
      <c r="AK166" s="21">
        <f t="shared" si="87"/>
        <v>9.3151694283858139E-2</v>
      </c>
      <c r="AL166" s="21">
        <f t="shared" si="67"/>
        <v>-0.19299607782920425</v>
      </c>
      <c r="AM166" s="31"/>
      <c r="AO166" s="38">
        <f t="shared" si="68"/>
        <v>46185</v>
      </c>
      <c r="AP166" s="17">
        <f>+Tabla22[[#This Row],[Web + APP 2025]]+Tabla22[[#This Row],[Afiliados 2025]]+Tabla22[[#This Row],[TMK 2025]]+Tabla22[[#This Row],[WA 2025]]+Tabla22[[#This Row],[Ent. en Tienda 2025]]</f>
        <v>2727204.3793103448</v>
      </c>
      <c r="AQ166" s="17">
        <f>+Tabla22[[#This Row],[Meli Drop 2025]]+Tabla22[[#This Row],[Meli Full 2025]]+Tabla22[[#This Row],[Amazon Drop 2025]]+Tabla22[[#This Row],[Amazon Full 2025]]+Tabla22[[#This Row],[TikTok 2025]]+Tabla22[[#This Row],[Shein 2025]]</f>
        <v>1112893</v>
      </c>
      <c r="AR166" s="17">
        <f t="shared" si="69"/>
        <v>2794758</v>
      </c>
      <c r="AS166" s="17">
        <f t="shared" si="70"/>
        <v>820173</v>
      </c>
      <c r="AT166" s="18">
        <f t="shared" si="71"/>
        <v>2.4770281685576601E-2</v>
      </c>
      <c r="AU166" s="18">
        <f t="shared" si="72"/>
        <v>-0.26302618490726426</v>
      </c>
      <c r="AV166" s="49">
        <f t="shared" si="73"/>
        <v>3587371.5437153699</v>
      </c>
      <c r="AW166" s="49">
        <f t="shared" si="74"/>
        <v>1457858.0037465501</v>
      </c>
      <c r="AX166" s="39">
        <f t="shared" si="75"/>
        <v>0.77905451552573901</v>
      </c>
      <c r="AY166" s="39">
        <f t="shared" si="76"/>
        <v>0.56258771285834219</v>
      </c>
      <c r="AZ166" s="39">
        <f t="shared" si="77"/>
        <v>0.71650476276516428</v>
      </c>
      <c r="BA166" s="18">
        <v>3.9725525554446597E-2</v>
      </c>
      <c r="BB166" s="20">
        <v>3.1372475287727297E-2</v>
      </c>
      <c r="BC166" s="17">
        <f t="shared" si="78"/>
        <v>-792613.54371536989</v>
      </c>
      <c r="BD166" s="17">
        <f t="shared" si="79"/>
        <v>-637685.00374655006</v>
      </c>
      <c r="BE166" s="6">
        <f t="shared" si="81"/>
        <v>3587371.5437153718</v>
      </c>
      <c r="BF166" s="27">
        <f t="shared" si="82"/>
        <v>3.1454339952046211E-2</v>
      </c>
      <c r="BG166" s="27">
        <f t="shared" si="83"/>
        <v>3.9777844576986465E-2</v>
      </c>
      <c r="BH166" s="7">
        <f t="shared" si="84"/>
        <v>1457858.0037465533</v>
      </c>
      <c r="BI166" s="7"/>
    </row>
    <row r="167" spans="1:66" ht="14.25" hidden="1" customHeight="1" x14ac:dyDescent="0.35">
      <c r="A167" s="16">
        <v>45821</v>
      </c>
      <c r="B167" s="17">
        <f>+'BD MD'!B166</f>
        <v>48087656</v>
      </c>
      <c r="C167" s="17">
        <f t="shared" si="59"/>
        <v>2766349.3793103448</v>
      </c>
      <c r="D167" s="18">
        <f t="shared" si="80"/>
        <v>2.4122060335077859E-2</v>
      </c>
      <c r="E167" s="17">
        <v>50061401</v>
      </c>
      <c r="F167" s="19">
        <v>46186</v>
      </c>
      <c r="G167" s="17">
        <f t="shared" si="60"/>
        <v>3633800.0556295104</v>
      </c>
      <c r="H167" s="17">
        <v>2412639.4745812402</v>
      </c>
      <c r="I167" s="17">
        <v>1221160.58104827</v>
      </c>
      <c r="J167" s="17">
        <v>1638837</v>
      </c>
      <c r="K167" s="17">
        <v>2172069</v>
      </c>
      <c r="L167" s="17">
        <v>28341.379310344801</v>
      </c>
      <c r="M167" s="17">
        <v>41533</v>
      </c>
      <c r="N167" s="17">
        <v>42888</v>
      </c>
      <c r="O167" s="17">
        <v>29771</v>
      </c>
      <c r="P167" s="17">
        <v>9320</v>
      </c>
      <c r="Q167" s="17">
        <v>2610</v>
      </c>
      <c r="R167" s="17">
        <v>114759</v>
      </c>
      <c r="S167" s="17">
        <v>43950</v>
      </c>
      <c r="T167" s="17">
        <v>766146</v>
      </c>
      <c r="U167" s="17">
        <v>427855</v>
      </c>
      <c r="V167" s="17">
        <v>144596</v>
      </c>
      <c r="W167" s="17">
        <v>215157</v>
      </c>
      <c r="X167" s="17">
        <v>10631</v>
      </c>
      <c r="Y167" s="17">
        <v>16395</v>
      </c>
      <c r="Z167" s="17">
        <v>10831</v>
      </c>
      <c r="AA167" s="17">
        <v>3162</v>
      </c>
      <c r="AB167" s="17">
        <v>0</v>
      </c>
      <c r="AC167" s="17">
        <v>-34</v>
      </c>
      <c r="AD167" s="17">
        <v>0</v>
      </c>
      <c r="AE167" s="17">
        <v>3272</v>
      </c>
      <c r="AF167" s="17">
        <f t="shared" si="61"/>
        <v>2955740</v>
      </c>
      <c r="AG167" s="18">
        <f t="shared" si="62"/>
        <v>0.81340193592130783</v>
      </c>
      <c r="AH167" s="17">
        <f t="shared" si="63"/>
        <v>-678060.05562951043</v>
      </c>
      <c r="AI167" s="20">
        <f t="shared" si="64"/>
        <v>0.21524463443862274</v>
      </c>
      <c r="AJ167" s="20">
        <f t="shared" si="65"/>
        <v>3.8299884881504223E-2</v>
      </c>
      <c r="AK167" s="21">
        <f t="shared" si="87"/>
        <v>5.9042294881040187E-2</v>
      </c>
      <c r="AL167" s="21">
        <f t="shared" si="67"/>
        <v>-0.21168833806947462</v>
      </c>
      <c r="AM167" s="31"/>
      <c r="AO167" s="38">
        <f t="shared" si="68"/>
        <v>46186</v>
      </c>
      <c r="AP167" s="17">
        <f>+Tabla22[[#This Row],[Web + APP 2025]]+Tabla22[[#This Row],[Afiliados 2025]]+Tabla22[[#This Row],[TMK 2025]]+Tabla22[[#This Row],[WA 2025]]+Tabla22[[#This Row],[Ent. en Tienda 2025]]</f>
        <v>1834145.3793103448</v>
      </c>
      <c r="AQ167" s="17">
        <f>+Tabla22[[#This Row],[Meli Drop 2025]]+Tabla22[[#This Row],[Meli Full 2025]]+Tabla22[[#This Row],[Amazon Drop 2025]]+Tabla22[[#This Row],[Amazon Full 2025]]+Tabla22[[#This Row],[TikTok 2025]]+Tabla22[[#This Row],[Shein 2025]]</f>
        <v>932204</v>
      </c>
      <c r="AR167" s="17">
        <f t="shared" si="69"/>
        <v>2289933</v>
      </c>
      <c r="AS167" s="17">
        <f t="shared" si="70"/>
        <v>665807</v>
      </c>
      <c r="AT167" s="18">
        <f t="shared" si="71"/>
        <v>0.24850135972375065</v>
      </c>
      <c r="AU167" s="18">
        <f t="shared" si="72"/>
        <v>-0.28577114022252637</v>
      </c>
      <c r="AV167" s="49">
        <f t="shared" si="73"/>
        <v>2412639.4745812402</v>
      </c>
      <c r="AW167" s="49">
        <f t="shared" si="74"/>
        <v>1221160.58104827</v>
      </c>
      <c r="AX167" s="39">
        <f t="shared" si="75"/>
        <v>0.94914015298430021</v>
      </c>
      <c r="AY167" s="39">
        <f t="shared" si="76"/>
        <v>0.54522477250981782</v>
      </c>
      <c r="AZ167" s="39">
        <f t="shared" si="77"/>
        <v>0.81340193592130783</v>
      </c>
      <c r="BA167" s="18">
        <v>3.3275700201148999E-2</v>
      </c>
      <c r="BB167" s="20">
        <v>2.12226044556688E-2</v>
      </c>
      <c r="BC167" s="17">
        <f t="shared" si="78"/>
        <v>-122706.47458124021</v>
      </c>
      <c r="BD167" s="17">
        <f t="shared" si="79"/>
        <v>-555353.58104826999</v>
      </c>
      <c r="BE167" s="6">
        <f t="shared" si="81"/>
        <v>2412639.4745812402</v>
      </c>
      <c r="BF167" s="27">
        <f t="shared" si="82"/>
        <v>2.1154201980597961E-2</v>
      </c>
      <c r="BG167" s="27">
        <f t="shared" si="83"/>
        <v>3.3319524721644483E-2</v>
      </c>
      <c r="BH167" s="7">
        <f t="shared" si="84"/>
        <v>1221160.5810482698</v>
      </c>
      <c r="BI167" s="7"/>
    </row>
    <row r="168" spans="1:66" ht="14.25" hidden="1" customHeight="1" x14ac:dyDescent="0.35">
      <c r="A168" s="19">
        <v>45822</v>
      </c>
      <c r="B168" s="17">
        <f>+'BD MD'!B167</f>
        <v>63504580</v>
      </c>
      <c r="C168" s="17">
        <f t="shared" si="59"/>
        <v>2432218.1034482755</v>
      </c>
      <c r="D168" s="18">
        <f t="shared" si="80"/>
        <v>2.1208496756861019E-2</v>
      </c>
      <c r="E168" s="17">
        <v>53829581</v>
      </c>
      <c r="F168" s="19">
        <v>46187</v>
      </c>
      <c r="G168" s="17">
        <f t="shared" si="60"/>
        <v>3194761.9660381302</v>
      </c>
      <c r="H168" s="17">
        <v>2089143.48260971</v>
      </c>
      <c r="I168" s="17">
        <v>1105618.48342842</v>
      </c>
      <c r="J168" s="17">
        <v>1454606</v>
      </c>
      <c r="K168" s="17">
        <v>2966244</v>
      </c>
      <c r="L168" s="17">
        <v>33468.103448275797</v>
      </c>
      <c r="M168" s="17">
        <v>39097</v>
      </c>
      <c r="N168" s="17">
        <v>14384</v>
      </c>
      <c r="O168" s="17">
        <v>-880</v>
      </c>
      <c r="P168" s="17">
        <v>6930</v>
      </c>
      <c r="Q168" s="17">
        <v>939</v>
      </c>
      <c r="R168" s="17">
        <v>78828</v>
      </c>
      <c r="S168" s="17">
        <v>55568</v>
      </c>
      <c r="T168" s="17">
        <v>672212</v>
      </c>
      <c r="U168" s="17">
        <v>506926</v>
      </c>
      <c r="V168" s="17">
        <v>147847</v>
      </c>
      <c r="W168" s="17">
        <v>228812</v>
      </c>
      <c r="X168" s="17">
        <v>11663</v>
      </c>
      <c r="Y168" s="17">
        <v>16003</v>
      </c>
      <c r="Z168" s="17">
        <v>12280</v>
      </c>
      <c r="AA168" s="17">
        <v>2578</v>
      </c>
      <c r="AB168" s="17">
        <v>0</v>
      </c>
      <c r="AC168" s="17">
        <v>3300</v>
      </c>
      <c r="AD168" s="17">
        <v>0</v>
      </c>
      <c r="AE168" s="17">
        <v>3617</v>
      </c>
      <c r="AF168" s="17">
        <f t="shared" si="61"/>
        <v>3822204</v>
      </c>
      <c r="AG168" s="18">
        <f t="shared" si="62"/>
        <v>1.196397115225448</v>
      </c>
      <c r="AH168" s="17">
        <f t="shared" si="63"/>
        <v>627442.03396186978</v>
      </c>
      <c r="AI168" s="20">
        <f t="shared" si="64"/>
        <v>0.40856701262259687</v>
      </c>
      <c r="AJ168" s="20">
        <f t="shared" si="65"/>
        <v>5.9011352944410025E-2</v>
      </c>
      <c r="AK168" s="21">
        <f t="shared" si="87"/>
        <v>7.1005642789602988E-2</v>
      </c>
      <c r="AL168" s="21">
        <f t="shared" si="67"/>
        <v>0.17063154225675681</v>
      </c>
      <c r="AM168" s="31"/>
      <c r="AO168" s="38">
        <f t="shared" si="68"/>
        <v>46187</v>
      </c>
      <c r="AP168" s="17">
        <f>+Tabla22[[#This Row],[Web + APP 2025]]+Tabla22[[#This Row],[Afiliados 2025]]+Tabla22[[#This Row],[TMK 2025]]+Tabla22[[#This Row],[WA 2025]]+Tabla22[[#This Row],[Ent. en Tienda 2025]]</f>
        <v>1588216.1034482757</v>
      </c>
      <c r="AQ168" s="17">
        <f>+Tabla22[[#This Row],[Meli Drop 2025]]+Tabla22[[#This Row],[Meli Full 2025]]+Tabla22[[#This Row],[Amazon Drop 2025]]+Tabla22[[#This Row],[Amazon Full 2025]]+Tabla22[[#This Row],[TikTok 2025]]+Tabla22[[#This Row],[Shein 2025]]</f>
        <v>844002</v>
      </c>
      <c r="AR168" s="17">
        <f t="shared" si="69"/>
        <v>3060968</v>
      </c>
      <c r="AS168" s="17">
        <f t="shared" si="70"/>
        <v>761236</v>
      </c>
      <c r="AT168" s="18">
        <f t="shared" si="71"/>
        <v>0.92729943573430607</v>
      </c>
      <c r="AU168" s="18">
        <f t="shared" si="72"/>
        <v>-9.8063748664102723E-2</v>
      </c>
      <c r="AV168" s="49">
        <f t="shared" si="73"/>
        <v>2089143.48260971</v>
      </c>
      <c r="AW168" s="49">
        <f t="shared" si="74"/>
        <v>1105618.48342842</v>
      </c>
      <c r="AX168" s="39">
        <f t="shared" si="75"/>
        <v>1.4651784453676246</v>
      </c>
      <c r="AY168" s="39">
        <f t="shared" si="76"/>
        <v>0.68851598576705952</v>
      </c>
      <c r="AZ168" s="39">
        <f t="shared" si="77"/>
        <v>1.196397115225448</v>
      </c>
      <c r="BA168" s="18">
        <v>3.01272656212269E-2</v>
      </c>
      <c r="BB168" s="20">
        <v>1.8482054494823E-2</v>
      </c>
      <c r="BC168" s="17">
        <f t="shared" si="78"/>
        <v>971824.51739029004</v>
      </c>
      <c r="BD168" s="17">
        <f t="shared" si="79"/>
        <v>-344382.48342842003</v>
      </c>
      <c r="BE168" s="6">
        <f t="shared" si="81"/>
        <v>2089143.4826097053</v>
      </c>
      <c r="BF168" s="27">
        <f t="shared" si="82"/>
        <v>1.8317765112935612E-2</v>
      </c>
      <c r="BG168" s="27">
        <f t="shared" si="83"/>
        <v>3.0166943613326468E-2</v>
      </c>
      <c r="BH168" s="7">
        <f t="shared" si="84"/>
        <v>1105618.4834284147</v>
      </c>
      <c r="BI168" s="7"/>
    </row>
    <row r="169" spans="1:66" ht="14.25" hidden="1" customHeight="1" x14ac:dyDescent="0.35">
      <c r="A169" s="16">
        <v>45823</v>
      </c>
      <c r="B169" s="17">
        <f>+'BD MD'!B168</f>
        <v>45983368</v>
      </c>
      <c r="C169" s="17">
        <f t="shared" si="59"/>
        <v>2713540.7586206896</v>
      </c>
      <c r="D169" s="18">
        <f t="shared" si="80"/>
        <v>2.3661578826843464E-2</v>
      </c>
      <c r="E169" s="17">
        <v>31869082</v>
      </c>
      <c r="F169" s="19">
        <v>46188</v>
      </c>
      <c r="G169" s="17">
        <f t="shared" si="60"/>
        <v>3564311.2937797699</v>
      </c>
      <c r="H169" s="17">
        <v>2337321.3399915602</v>
      </c>
      <c r="I169" s="17">
        <v>1226989.9537882099</v>
      </c>
      <c r="J169" s="17">
        <v>1639221</v>
      </c>
      <c r="K169" s="17">
        <v>4649825</v>
      </c>
      <c r="L169" s="17">
        <v>25457.758620689601</v>
      </c>
      <c r="M169" s="17">
        <v>37739</v>
      </c>
      <c r="N169" s="17">
        <v>15670</v>
      </c>
      <c r="O169" s="17">
        <v>23981</v>
      </c>
      <c r="P169" s="17">
        <v>5332</v>
      </c>
      <c r="Q169" s="17">
        <v>1678</v>
      </c>
      <c r="R169" s="17">
        <v>91206</v>
      </c>
      <c r="S169" s="17">
        <v>112677</v>
      </c>
      <c r="T169" s="17">
        <v>746589</v>
      </c>
      <c r="U169" s="17">
        <v>633681</v>
      </c>
      <c r="V169" s="17">
        <v>161202</v>
      </c>
      <c r="W169" s="17">
        <v>215869</v>
      </c>
      <c r="X169" s="17">
        <v>18560</v>
      </c>
      <c r="Y169" s="17">
        <v>20071</v>
      </c>
      <c r="Z169" s="17">
        <v>10303</v>
      </c>
      <c r="AA169" s="17">
        <v>5767</v>
      </c>
      <c r="AB169" s="17">
        <v>0</v>
      </c>
      <c r="AC169" s="17">
        <v>8348</v>
      </c>
      <c r="AD169" s="17">
        <v>0</v>
      </c>
      <c r="AE169" s="17">
        <v>1550</v>
      </c>
      <c r="AF169" s="17">
        <f t="shared" si="61"/>
        <v>5711186</v>
      </c>
      <c r="AG169" s="18">
        <f t="shared" si="62"/>
        <v>1.6023252542410737</v>
      </c>
      <c r="AH169" s="17">
        <f t="shared" si="63"/>
        <v>2146874.7062202301</v>
      </c>
      <c r="AI169" s="20">
        <f t="shared" si="64"/>
        <v>0.46478109890672425</v>
      </c>
      <c r="AJ169" s="20">
        <f t="shared" si="65"/>
        <v>0.15855348056601137</v>
      </c>
      <c r="AK169" s="21">
        <f t="shared" si="87"/>
        <v>0.17920773494511075</v>
      </c>
      <c r="AL169" s="21">
        <f t="shared" si="67"/>
        <v>0.29596047609274434</v>
      </c>
      <c r="AM169" s="31"/>
      <c r="AO169" s="38">
        <f t="shared" si="68"/>
        <v>46188</v>
      </c>
      <c r="AP169" s="17">
        <f>+Tabla22[[#This Row],[Web + APP 2025]]+Tabla22[[#This Row],[Afiliados 2025]]+Tabla22[[#This Row],[TMK 2025]]+Tabla22[[#This Row],[WA 2025]]+Tabla22[[#This Row],[Ent. en Tienda 2025]]</f>
        <v>1776886.7586206896</v>
      </c>
      <c r="AQ169" s="17">
        <f>+Tabla22[[#This Row],[Meli Drop 2025]]+Tabla22[[#This Row],[Meli Full 2025]]+Tabla22[[#This Row],[Amazon Drop 2025]]+Tabla22[[#This Row],[Amazon Full 2025]]+Tabla22[[#This Row],[TikTok 2025]]+Tabla22[[#This Row],[Shein 2025]]</f>
        <v>936654</v>
      </c>
      <c r="AR169" s="17">
        <f t="shared" si="69"/>
        <v>4825900</v>
      </c>
      <c r="AS169" s="17">
        <f t="shared" si="70"/>
        <v>885286</v>
      </c>
      <c r="AT169" s="18">
        <f t="shared" si="71"/>
        <v>1.7159299694180343</v>
      </c>
      <c r="AU169" s="18">
        <f t="shared" si="72"/>
        <v>-5.4842022774685195E-2</v>
      </c>
      <c r="AV169" s="49">
        <f t="shared" si="73"/>
        <v>2337321.3399915602</v>
      </c>
      <c r="AW169" s="49">
        <f t="shared" si="74"/>
        <v>1226989.9537882099</v>
      </c>
      <c r="AX169" s="39">
        <f t="shared" si="75"/>
        <v>2.064713960134136</v>
      </c>
      <c r="AY169" s="39">
        <f t="shared" si="76"/>
        <v>0.72151038993169192</v>
      </c>
      <c r="AZ169" s="39">
        <f t="shared" si="77"/>
        <v>1.6023252542410737</v>
      </c>
      <c r="BA169" s="18">
        <v>3.3434546189682703E-2</v>
      </c>
      <c r="BB169" s="20">
        <v>2.0535441139475301E-2</v>
      </c>
      <c r="BC169" s="17">
        <f t="shared" si="78"/>
        <v>2488578.6600084398</v>
      </c>
      <c r="BD169" s="17">
        <f t="shared" si="79"/>
        <v>-341703.95378820994</v>
      </c>
      <c r="BE169" s="6">
        <f t="shared" si="81"/>
        <v>2337321.3399915602</v>
      </c>
      <c r="BF169" s="27">
        <f t="shared" si="82"/>
        <v>2.0493806986360996E-2</v>
      </c>
      <c r="BG169" s="27">
        <f t="shared" si="83"/>
        <v>3.3478579912365948E-2</v>
      </c>
      <c r="BH169" s="7">
        <f t="shared" si="84"/>
        <v>1226989.9537882116</v>
      </c>
      <c r="BI169" s="7"/>
    </row>
    <row r="170" spans="1:66" ht="14.25" hidden="1" customHeight="1" x14ac:dyDescent="0.35">
      <c r="A170" s="19">
        <v>45824</v>
      </c>
      <c r="B170" s="17">
        <f>+'BD MD'!B169</f>
        <v>24591091</v>
      </c>
      <c r="C170" s="17">
        <f t="shared" si="59"/>
        <v>3899003.068965517</v>
      </c>
      <c r="D170" s="18">
        <f t="shared" si="80"/>
        <v>3.3998593228917177E-2</v>
      </c>
      <c r="E170" s="17">
        <v>36969775</v>
      </c>
      <c r="F170" s="19">
        <v>46189</v>
      </c>
      <c r="G170" s="17">
        <f t="shared" si="60"/>
        <v>5123707.1868958799</v>
      </c>
      <c r="H170" s="17">
        <v>3905344.7047627801</v>
      </c>
      <c r="I170" s="17">
        <v>1218362.4821331</v>
      </c>
      <c r="J170" s="17">
        <v>2820912</v>
      </c>
      <c r="K170" s="17">
        <v>5160916</v>
      </c>
      <c r="L170" s="17">
        <v>25462.068965517199</v>
      </c>
      <c r="M170" s="17">
        <v>18791</v>
      </c>
      <c r="N170" s="17">
        <v>27617</v>
      </c>
      <c r="O170" s="17">
        <v>35886</v>
      </c>
      <c r="P170" s="17">
        <v>9575</v>
      </c>
      <c r="Q170" s="17">
        <v>3238</v>
      </c>
      <c r="R170" s="17">
        <v>85369</v>
      </c>
      <c r="S170" s="17">
        <v>89042</v>
      </c>
      <c r="T170" s="17">
        <v>742785</v>
      </c>
      <c r="U170" s="17">
        <v>748300</v>
      </c>
      <c r="V170" s="17">
        <v>138760</v>
      </c>
      <c r="W170" s="17">
        <v>179203</v>
      </c>
      <c r="X170" s="17">
        <v>37149</v>
      </c>
      <c r="Y170" s="17">
        <v>14440</v>
      </c>
      <c r="Z170" s="17">
        <v>11374</v>
      </c>
      <c r="AA170" s="17">
        <v>6266</v>
      </c>
      <c r="AB170" s="17">
        <v>0</v>
      </c>
      <c r="AC170" s="17">
        <v>8389</v>
      </c>
      <c r="AD170" s="17">
        <v>0</v>
      </c>
      <c r="AE170" s="17">
        <v>2884</v>
      </c>
      <c r="AF170" s="17">
        <f t="shared" si="61"/>
        <v>6267355</v>
      </c>
      <c r="AG170" s="18">
        <f t="shared" si="62"/>
        <v>1.2232070981786494</v>
      </c>
      <c r="AH170" s="17">
        <f t="shared" si="63"/>
        <v>1143647.8131041201</v>
      </c>
      <c r="AI170" s="20">
        <f t="shared" si="64"/>
        <v>0.39877731916499815</v>
      </c>
      <c r="AJ170" s="20">
        <f t="shared" si="65"/>
        <v>0.14900075316456707</v>
      </c>
      <c r="AK170" s="21">
        <f t="shared" si="87"/>
        <v>0.16952645776177971</v>
      </c>
      <c r="AL170" s="21">
        <f t="shared" si="67"/>
        <v>0.22941797296308186</v>
      </c>
      <c r="AM170" s="31"/>
      <c r="AO170" s="38">
        <f t="shared" si="68"/>
        <v>46189</v>
      </c>
      <c r="AP170" s="17">
        <f>+Tabla22[[#This Row],[Web + APP 2025]]+Tabla22[[#This Row],[Afiliados 2025]]+Tabla22[[#This Row],[TMK 2025]]+Tabla22[[#This Row],[WA 2025]]+Tabla22[[#This Row],[Ent. en Tienda 2025]]</f>
        <v>2968935.068965517</v>
      </c>
      <c r="AQ170" s="17">
        <f>+Tabla22[[#This Row],[Meli Drop 2025]]+Tabla22[[#This Row],[Meli Full 2025]]+Tabla22[[#This Row],[Amazon Drop 2025]]+Tabla22[[#This Row],[Amazon Full 2025]]+Tabla22[[#This Row],[TikTok 2025]]+Tabla22[[#This Row],[Shein 2025]]</f>
        <v>930068</v>
      </c>
      <c r="AR170" s="17">
        <f t="shared" si="69"/>
        <v>5307873</v>
      </c>
      <c r="AS170" s="17">
        <f t="shared" si="70"/>
        <v>959482</v>
      </c>
      <c r="AT170" s="18">
        <f t="shared" si="71"/>
        <v>0.78780366586105655</v>
      </c>
      <c r="AU170" s="18">
        <f t="shared" si="72"/>
        <v>3.1625644576525502E-2</v>
      </c>
      <c r="AV170" s="49">
        <f t="shared" si="73"/>
        <v>3905344.7047627801</v>
      </c>
      <c r="AW170" s="49">
        <f t="shared" si="74"/>
        <v>1218362.4821331</v>
      </c>
      <c r="AX170" s="39">
        <f t="shared" si="75"/>
        <v>1.3591304740723043</v>
      </c>
      <c r="AY170" s="39">
        <f t="shared" si="76"/>
        <v>0.78751768383424448</v>
      </c>
      <c r="AZ170" s="39">
        <f t="shared" si="77"/>
        <v>1.2232070981786494</v>
      </c>
      <c r="BA170" s="18">
        <v>3.3199454126652803E-2</v>
      </c>
      <c r="BB170" s="20">
        <v>3.4120561223004102E-2</v>
      </c>
      <c r="BC170" s="17">
        <f t="shared" si="78"/>
        <v>1402528.2952372199</v>
      </c>
      <c r="BD170" s="17">
        <f t="shared" si="79"/>
        <v>-258880.48213310004</v>
      </c>
      <c r="BE170" s="6">
        <f t="shared" si="81"/>
        <v>3905344.7047627838</v>
      </c>
      <c r="BF170" s="27">
        <f t="shared" si="82"/>
        <v>3.4242352228258208E-2</v>
      </c>
      <c r="BG170" s="27">
        <f t="shared" si="83"/>
        <v>3.3243178230098175E-2</v>
      </c>
      <c r="BH170" s="7">
        <f t="shared" si="84"/>
        <v>1218362.4821330977</v>
      </c>
      <c r="BI170" s="7"/>
    </row>
    <row r="171" spans="1:66" ht="13.5" hidden="1" customHeight="1" x14ac:dyDescent="0.35">
      <c r="A171" s="16">
        <v>45825</v>
      </c>
      <c r="B171" s="17">
        <f>+'BD MD'!B170</f>
        <v>30070957</v>
      </c>
      <c r="C171" s="17">
        <f t="shared" si="59"/>
        <v>4480595.2413793104</v>
      </c>
      <c r="D171" s="18">
        <f t="shared" si="80"/>
        <v>3.9069970538775284E-2</v>
      </c>
      <c r="E171" s="17">
        <v>42471497</v>
      </c>
      <c r="F171" s="19">
        <v>46190</v>
      </c>
      <c r="G171" s="17">
        <f t="shared" si="60"/>
        <v>5888458.4875598401</v>
      </c>
      <c r="H171" s="17">
        <v>4603401.4314247901</v>
      </c>
      <c r="I171" s="17">
        <v>1285057.05613505</v>
      </c>
      <c r="J171" s="17">
        <v>3331006</v>
      </c>
      <c r="K171" s="17">
        <v>4780003</v>
      </c>
      <c r="L171" s="17">
        <v>37267.241379310297</v>
      </c>
      <c r="M171" s="17">
        <v>32856</v>
      </c>
      <c r="N171" s="17">
        <v>45603</v>
      </c>
      <c r="O171" s="17">
        <v>23592</v>
      </c>
      <c r="P171" s="17">
        <v>6054</v>
      </c>
      <c r="Q171" s="17">
        <v>4187</v>
      </c>
      <c r="R171" s="17">
        <v>79684</v>
      </c>
      <c r="S171" s="17">
        <v>135945</v>
      </c>
      <c r="T171" s="17">
        <v>770093</v>
      </c>
      <c r="U171" s="17">
        <v>805827</v>
      </c>
      <c r="V171" s="17">
        <v>153147</v>
      </c>
      <c r="W171" s="17">
        <v>161698</v>
      </c>
      <c r="X171" s="17">
        <v>41755</v>
      </c>
      <c r="Y171" s="17">
        <v>17717</v>
      </c>
      <c r="Z171" s="17">
        <v>15986</v>
      </c>
      <c r="AA171" s="17">
        <v>6926</v>
      </c>
      <c r="AB171" s="17">
        <v>0</v>
      </c>
      <c r="AC171" s="17">
        <v>7283</v>
      </c>
      <c r="AD171" s="17">
        <v>0</v>
      </c>
      <c r="AE171" s="17">
        <v>2368</v>
      </c>
      <c r="AF171" s="17">
        <f t="shared" si="61"/>
        <v>5978402</v>
      </c>
      <c r="AG171" s="18">
        <f t="shared" si="62"/>
        <v>1.0152745430115842</v>
      </c>
      <c r="AH171" s="17">
        <f t="shared" si="63"/>
        <v>89943.512440159917</v>
      </c>
      <c r="AI171" s="20">
        <f t="shared" si="64"/>
        <v>0.48519628831604789</v>
      </c>
      <c r="AJ171" s="20">
        <f t="shared" si="65"/>
        <v>0.12061226916299343</v>
      </c>
      <c r="AK171" s="21">
        <f t="shared" si="87"/>
        <v>0.14076268609039139</v>
      </c>
      <c r="AL171" s="21">
        <f t="shared" si="67"/>
        <v>0.27258792412658961</v>
      </c>
      <c r="AM171" s="31"/>
      <c r="AO171" s="38">
        <f t="shared" si="68"/>
        <v>46190</v>
      </c>
      <c r="AP171" s="17">
        <f>+Tabla22[[#This Row],[Web + APP 2025]]+Tabla22[[#This Row],[Afiliados 2025]]+Tabla22[[#This Row],[TMK 2025]]+Tabla22[[#This Row],[WA 2025]]+Tabla22[[#This Row],[Ent. en Tienda 2025]]</f>
        <v>3499614.2413793104</v>
      </c>
      <c r="AQ171" s="17">
        <f>+Tabla22[[#This Row],[Meli Drop 2025]]+Tabla22[[#This Row],[Meli Full 2025]]+Tabla22[[#This Row],[Amazon Drop 2025]]+Tabla22[[#This Row],[Amazon Full 2025]]+Tabla22[[#This Row],[TikTok 2025]]+Tabla22[[#This Row],[Shein 2025]]</f>
        <v>980981</v>
      </c>
      <c r="AR171" s="17">
        <f t="shared" si="69"/>
        <v>4976583</v>
      </c>
      <c r="AS171" s="17">
        <f t="shared" si="70"/>
        <v>1001819</v>
      </c>
      <c r="AT171" s="18">
        <f t="shared" si="71"/>
        <v>0.42203758950259873</v>
      </c>
      <c r="AU171" s="18">
        <f t="shared" si="72"/>
        <v>2.1242001628981599E-2</v>
      </c>
      <c r="AV171" s="49">
        <f t="shared" si="73"/>
        <v>4603401.4314247901</v>
      </c>
      <c r="AW171" s="49">
        <f t="shared" si="74"/>
        <v>1285057.05613505</v>
      </c>
      <c r="AX171" s="39">
        <f t="shared" si="75"/>
        <v>1.0810664840193411</v>
      </c>
      <c r="AY171" s="39">
        <f t="shared" si="76"/>
        <v>0.77959106579522663</v>
      </c>
      <c r="AZ171" s="39">
        <f t="shared" si="77"/>
        <v>1.0152745430115842</v>
      </c>
      <c r="BA171" s="18">
        <v>3.5016830714117701E-2</v>
      </c>
      <c r="BB171" s="20">
        <v>4.0287502787462903E-2</v>
      </c>
      <c r="BC171" s="17">
        <f t="shared" si="78"/>
        <v>373181.56857520994</v>
      </c>
      <c r="BD171" s="17">
        <f t="shared" si="79"/>
        <v>-283238.05613505002</v>
      </c>
      <c r="BE171" s="6">
        <f t="shared" si="81"/>
        <v>4603401.4314247891</v>
      </c>
      <c r="BF171" s="27">
        <f t="shared" si="82"/>
        <v>4.0362965417796687E-2</v>
      </c>
      <c r="BG171" s="27">
        <f t="shared" si="83"/>
        <v>3.506294832564924E-2</v>
      </c>
      <c r="BH171" s="7">
        <f t="shared" si="84"/>
        <v>1285057.0561350442</v>
      </c>
      <c r="BI171" s="7"/>
    </row>
    <row r="172" spans="1:66" ht="13.5" hidden="1" customHeight="1" x14ac:dyDescent="0.35">
      <c r="A172" s="19">
        <v>45826</v>
      </c>
      <c r="B172" s="17">
        <f>+'BD MD'!B171</f>
        <v>33374116</v>
      </c>
      <c r="C172" s="17">
        <f t="shared" si="59"/>
        <v>4025327.8620689656</v>
      </c>
      <c r="D172" s="18">
        <f t="shared" si="80"/>
        <v>3.5100122306859348E-2</v>
      </c>
      <c r="E172" s="17">
        <v>46880396</v>
      </c>
      <c r="F172" s="19">
        <v>46191</v>
      </c>
      <c r="G172" s="17">
        <f t="shared" si="60"/>
        <v>5290333.0760039603</v>
      </c>
      <c r="H172" s="17">
        <v>4182423.4525930402</v>
      </c>
      <c r="I172" s="17">
        <v>1107909.6234109199</v>
      </c>
      <c r="J172" s="17">
        <v>2973640</v>
      </c>
      <c r="K172" s="17">
        <v>3694508</v>
      </c>
      <c r="L172" s="17">
        <v>40300.8620689655</v>
      </c>
      <c r="M172" s="17">
        <v>30523</v>
      </c>
      <c r="N172" s="17">
        <v>43913</v>
      </c>
      <c r="O172" s="17">
        <v>39366</v>
      </c>
      <c r="P172" s="17">
        <v>7553</v>
      </c>
      <c r="Q172" s="17">
        <v>4372</v>
      </c>
      <c r="R172" s="17">
        <v>114170</v>
      </c>
      <c r="S172" s="17">
        <v>104558</v>
      </c>
      <c r="T172" s="17">
        <v>667867</v>
      </c>
      <c r="U172" s="17">
        <v>564730</v>
      </c>
      <c r="V172" s="17">
        <v>125568</v>
      </c>
      <c r="W172" s="17">
        <v>163685</v>
      </c>
      <c r="X172" s="17">
        <v>34974</v>
      </c>
      <c r="Y172" s="17">
        <v>12267</v>
      </c>
      <c r="Z172" s="17">
        <v>17342</v>
      </c>
      <c r="AA172" s="17">
        <v>5509</v>
      </c>
      <c r="AB172" s="17">
        <v>0</v>
      </c>
      <c r="AC172" s="17">
        <v>8214</v>
      </c>
      <c r="AD172" s="17">
        <v>0</v>
      </c>
      <c r="AE172" s="17">
        <v>5684</v>
      </c>
      <c r="AF172" s="17">
        <f t="shared" si="61"/>
        <v>4633416</v>
      </c>
      <c r="AG172" s="18">
        <f t="shared" si="62"/>
        <v>0.87582689661193114</v>
      </c>
      <c r="AH172" s="17">
        <f t="shared" si="63"/>
        <v>-656917.07600396033</v>
      </c>
      <c r="AI172" s="20">
        <f t="shared" si="64"/>
        <v>0.35200824882711435</v>
      </c>
      <c r="AJ172" s="20">
        <f t="shared" si="65"/>
        <v>9.4363984498991985E-2</v>
      </c>
      <c r="AK172" s="21">
        <f t="shared" si="87"/>
        <v>9.8834830661413353E-2</v>
      </c>
      <c r="AL172" s="21">
        <f t="shared" si="67"/>
        <v>0.29084943618607006</v>
      </c>
      <c r="AM172" s="31"/>
      <c r="AO172" s="38">
        <f t="shared" si="68"/>
        <v>46191</v>
      </c>
      <c r="AP172" s="17">
        <f>+Tabla22[[#This Row],[Web + APP 2025]]+Tabla22[[#This Row],[Afiliados 2025]]+Tabla22[[#This Row],[TMK 2025]]+Tabla22[[#This Row],[WA 2025]]+Tabla22[[#This Row],[Ent. en Tienda 2025]]</f>
        <v>3179576.8620689656</v>
      </c>
      <c r="AQ172" s="17">
        <f>+Tabla22[[#This Row],[Meli Drop 2025]]+Tabla22[[#This Row],[Meli Full 2025]]+Tabla22[[#This Row],[Amazon Drop 2025]]+Tabla22[[#This Row],[Amazon Full 2025]]+Tabla22[[#This Row],[TikTok 2025]]+Tabla22[[#This Row],[Shein 2025]]</f>
        <v>845751</v>
      </c>
      <c r="AR172" s="17">
        <f t="shared" si="69"/>
        <v>3873327</v>
      </c>
      <c r="AS172" s="17">
        <f t="shared" si="70"/>
        <v>760089</v>
      </c>
      <c r="AT172" s="18">
        <f t="shared" si="71"/>
        <v>0.21818945351099583</v>
      </c>
      <c r="AU172" s="18">
        <f t="shared" si="72"/>
        <v>-0.10128513002053796</v>
      </c>
      <c r="AV172" s="49">
        <f t="shared" si="73"/>
        <v>4182423.4525930402</v>
      </c>
      <c r="AW172" s="49">
        <f t="shared" si="74"/>
        <v>1107909.6234109199</v>
      </c>
      <c r="AX172" s="39">
        <f t="shared" si="75"/>
        <v>0.92609632762043614</v>
      </c>
      <c r="AY172" s="39">
        <f t="shared" si="76"/>
        <v>0.68605686234578867</v>
      </c>
      <c r="AZ172" s="39">
        <f t="shared" si="77"/>
        <v>0.87582689661193114</v>
      </c>
      <c r="BA172" s="18">
        <v>3.0189697449079799E-2</v>
      </c>
      <c r="BB172" s="20">
        <v>3.6676344853442698E-2</v>
      </c>
      <c r="BC172" s="17">
        <f t="shared" si="78"/>
        <v>-309096.45259304019</v>
      </c>
      <c r="BD172" s="17">
        <f t="shared" si="79"/>
        <v>-347820.62341091991</v>
      </c>
      <c r="BE172" s="6">
        <f t="shared" si="81"/>
        <v>4182423.4525930365</v>
      </c>
      <c r="BF172" s="27">
        <f t="shared" si="82"/>
        <v>3.6671799254175616E-2</v>
      </c>
      <c r="BG172" s="27">
        <f t="shared" si="83"/>
        <v>3.0229457664690929E-2</v>
      </c>
      <c r="BH172" s="7">
        <f t="shared" si="84"/>
        <v>1107909.623410922</v>
      </c>
      <c r="BI172" s="7"/>
    </row>
    <row r="173" spans="1:66" ht="13.5" hidden="1" customHeight="1" x14ac:dyDescent="0.35">
      <c r="A173" s="16">
        <v>45827</v>
      </c>
      <c r="B173" s="17">
        <f>+'BD MD'!B172</f>
        <v>36317478</v>
      </c>
      <c r="C173" s="17">
        <f t="shared" si="59"/>
        <v>3427061.9310344825</v>
      </c>
      <c r="D173" s="18">
        <f t="shared" si="80"/>
        <v>2.988335287319038E-2</v>
      </c>
      <c r="E173" s="17">
        <v>49964426</v>
      </c>
      <c r="F173" s="19">
        <v>46192</v>
      </c>
      <c r="G173" s="17">
        <f t="shared" si="60"/>
        <v>4504623.475328858</v>
      </c>
      <c r="H173" s="17">
        <v>3698431.7051661098</v>
      </c>
      <c r="I173" s="17">
        <v>806191.77016274806</v>
      </c>
      <c r="J173" s="17">
        <v>2669804</v>
      </c>
      <c r="K173" s="17">
        <v>2520466</v>
      </c>
      <c r="L173" s="17">
        <v>40587.931034482703</v>
      </c>
      <c r="M173" s="17">
        <v>27134</v>
      </c>
      <c r="N173" s="17">
        <v>31678</v>
      </c>
      <c r="O173" s="17">
        <v>6920</v>
      </c>
      <c r="P173" s="17">
        <v>8489</v>
      </c>
      <c r="Q173" s="17">
        <v>610</v>
      </c>
      <c r="R173" s="17">
        <v>61076</v>
      </c>
      <c r="S173" s="17">
        <v>82905</v>
      </c>
      <c r="T173" s="17">
        <v>455015</v>
      </c>
      <c r="U173" s="17">
        <v>507387</v>
      </c>
      <c r="V173" s="17">
        <v>126044</v>
      </c>
      <c r="W173" s="17">
        <v>155281</v>
      </c>
      <c r="X173" s="17">
        <v>24483</v>
      </c>
      <c r="Y173" s="17">
        <v>7714</v>
      </c>
      <c r="Z173" s="17">
        <v>9885</v>
      </c>
      <c r="AA173" s="17">
        <v>7124</v>
      </c>
      <c r="AB173" s="17">
        <v>0</v>
      </c>
      <c r="AC173" s="17">
        <v>10528</v>
      </c>
      <c r="AD173" s="17">
        <v>0</v>
      </c>
      <c r="AE173" s="17">
        <v>5426</v>
      </c>
      <c r="AF173" s="17">
        <f t="shared" si="61"/>
        <v>3331495</v>
      </c>
      <c r="AG173" s="18">
        <f t="shared" si="62"/>
        <v>0.73957235676768429</v>
      </c>
      <c r="AH173" s="17">
        <f t="shared" si="63"/>
        <v>-1173128.475328858</v>
      </c>
      <c r="AI173" s="20">
        <f t="shared" si="64"/>
        <v>2.004429885565373E-2</v>
      </c>
      <c r="AJ173" s="20">
        <f t="shared" si="65"/>
        <v>8.5740320610696835E-2</v>
      </c>
      <c r="AK173" s="21">
        <f t="shared" si="87"/>
        <v>6.6677339593574039E-2</v>
      </c>
      <c r="AL173" s="21">
        <f t="shared" si="67"/>
        <v>0.3116738873220728</v>
      </c>
      <c r="AM173" s="31"/>
      <c r="AO173" s="38">
        <f t="shared" si="68"/>
        <v>46192</v>
      </c>
      <c r="AP173" s="17">
        <f>+Tabla22[[#This Row],[Web + APP 2025]]+Tabla22[[#This Row],[Afiliados 2025]]+Tabla22[[#This Row],[TMK 2025]]+Tabla22[[#This Row],[WA 2025]]+Tabla22[[#This Row],[Ent. en Tienda 2025]]</f>
        <v>2811634.9310344825</v>
      </c>
      <c r="AQ173" s="17">
        <f>+Tabla22[[#This Row],[Meli Drop 2025]]+Tabla22[[#This Row],[Meli Full 2025]]+Tabla22[[#This Row],[Amazon Drop 2025]]+Tabla22[[#This Row],[Amazon Full 2025]]+Tabla22[[#This Row],[TikTok 2025]]+Tabla22[[#This Row],[Shein 2025]]</f>
        <v>615427</v>
      </c>
      <c r="AR173" s="17">
        <f t="shared" si="69"/>
        <v>2638035</v>
      </c>
      <c r="AS173" s="17">
        <f t="shared" si="70"/>
        <v>693460</v>
      </c>
      <c r="AT173" s="18">
        <f t="shared" si="71"/>
        <v>-6.1743410966447976E-2</v>
      </c>
      <c r="AU173" s="18">
        <f t="shared" si="72"/>
        <v>0.12679489200181338</v>
      </c>
      <c r="AV173" s="49">
        <f t="shared" si="73"/>
        <v>3698431.7051661098</v>
      </c>
      <c r="AW173" s="49">
        <f t="shared" si="74"/>
        <v>806191.77016274806</v>
      </c>
      <c r="AX173" s="39">
        <f t="shared" si="75"/>
        <v>0.71328476778822025</v>
      </c>
      <c r="AY173" s="39">
        <f t="shared" si="76"/>
        <v>0.86016755028398439</v>
      </c>
      <c r="AZ173" s="39">
        <f t="shared" si="77"/>
        <v>0.73957235676768429</v>
      </c>
      <c r="BA173" s="18">
        <v>2.1968114648395098E-2</v>
      </c>
      <c r="BB173" s="20">
        <v>3.2502181934904402E-2</v>
      </c>
      <c r="BC173" s="17">
        <f t="shared" si="78"/>
        <v>-1060396.7051661098</v>
      </c>
      <c r="BD173" s="17">
        <f t="shared" si="79"/>
        <v>-112731.77016274806</v>
      </c>
      <c r="BE173" s="6">
        <f t="shared" si="81"/>
        <v>3698431.7051661075</v>
      </c>
      <c r="BF173" s="27">
        <f t="shared" si="82"/>
        <v>3.2428123690594411E-2</v>
      </c>
      <c r="BG173" s="27">
        <f t="shared" si="83"/>
        <v>2.1997046934863505E-2</v>
      </c>
      <c r="BH173" s="7">
        <f t="shared" si="84"/>
        <v>806191.77016274713</v>
      </c>
      <c r="BI173" s="7"/>
    </row>
    <row r="174" spans="1:66" ht="14.25" hidden="1" customHeight="1" x14ac:dyDescent="0.35">
      <c r="A174" s="19">
        <v>45828</v>
      </c>
      <c r="B174" s="17">
        <f>+'BD MD'!B173</f>
        <v>38092110</v>
      </c>
      <c r="C174" s="17">
        <f t="shared" si="59"/>
        <v>3266029.7241379311</v>
      </c>
      <c r="D174" s="18">
        <f t="shared" si="80"/>
        <v>2.8479181498561719E-2</v>
      </c>
      <c r="E174" s="17">
        <v>63050656</v>
      </c>
      <c r="F174" s="19">
        <v>46193</v>
      </c>
      <c r="G174" s="17">
        <f t="shared" si="60"/>
        <v>4290912.3452426102</v>
      </c>
      <c r="H174" s="17">
        <v>3029109.90144003</v>
      </c>
      <c r="I174" s="17">
        <v>1261802.44380258</v>
      </c>
      <c r="J174" s="17">
        <v>2117726</v>
      </c>
      <c r="K174" s="17">
        <v>1707778</v>
      </c>
      <c r="L174" s="17">
        <v>37026.724137931</v>
      </c>
      <c r="M174" s="17">
        <v>37861</v>
      </c>
      <c r="N174" s="17">
        <v>33900</v>
      </c>
      <c r="O174" s="17">
        <v>195</v>
      </c>
      <c r="P174" s="17">
        <v>3527</v>
      </c>
      <c r="Q174" s="17">
        <v>4940</v>
      </c>
      <c r="R174" s="17">
        <v>110621</v>
      </c>
      <c r="S174" s="17">
        <v>125997</v>
      </c>
      <c r="T174" s="17">
        <v>822254</v>
      </c>
      <c r="U174" s="17">
        <v>378080</v>
      </c>
      <c r="V174" s="17">
        <v>98107</v>
      </c>
      <c r="W174" s="17">
        <v>153733</v>
      </c>
      <c r="X174" s="17">
        <v>33075</v>
      </c>
      <c r="Y174" s="17">
        <v>14491</v>
      </c>
      <c r="Z174" s="17">
        <v>9793</v>
      </c>
      <c r="AA174" s="17">
        <v>5329</v>
      </c>
      <c r="AB174" s="17">
        <v>0</v>
      </c>
      <c r="AC174" s="17">
        <v>5725</v>
      </c>
      <c r="AD174" s="17">
        <v>0</v>
      </c>
      <c r="AE174" s="17">
        <v>603</v>
      </c>
      <c r="AF174" s="17">
        <f t="shared" si="61"/>
        <v>2434732</v>
      </c>
      <c r="AG174" s="18">
        <f t="shared" si="62"/>
        <v>0.56741592558967524</v>
      </c>
      <c r="AH174" s="17">
        <f t="shared" si="63"/>
        <v>-1856180.3452426102</v>
      </c>
      <c r="AI174" s="20">
        <f t="shared" si="64"/>
        <v>-0.14914189260059629</v>
      </c>
      <c r="AJ174" s="20">
        <f t="shared" si="65"/>
        <v>5.6148136510023726E-2</v>
      </c>
      <c r="AK174" s="21">
        <f t="shared" si="87"/>
        <v>3.8615490376499813E-2</v>
      </c>
      <c r="AL174" s="21">
        <f t="shared" si="67"/>
        <v>0.237174426612901</v>
      </c>
      <c r="AM174" s="31"/>
      <c r="AO174" s="38">
        <f t="shared" si="68"/>
        <v>46193</v>
      </c>
      <c r="AP174" s="17">
        <f>+Tabla22[[#This Row],[Web + APP 2025]]+Tabla22[[#This Row],[Afiliados 2025]]+Tabla22[[#This Row],[TMK 2025]]+Tabla22[[#This Row],[WA 2025]]+Tabla22[[#This Row],[Ent. en Tienda 2025]]</f>
        <v>2302800.7241379311</v>
      </c>
      <c r="AQ174" s="17">
        <f>+Tabla22[[#This Row],[Meli Drop 2025]]+Tabla22[[#This Row],[Meli Full 2025]]+Tabla22[[#This Row],[Amazon Drop 2025]]+Tabla22[[#This Row],[Amazon Full 2025]]+Tabla22[[#This Row],[TikTok 2025]]+Tabla22[[#This Row],[Shein 2025]]</f>
        <v>963229</v>
      </c>
      <c r="AR174" s="17">
        <f t="shared" si="69"/>
        <v>1876771</v>
      </c>
      <c r="AS174" s="17">
        <f t="shared" si="70"/>
        <v>557961</v>
      </c>
      <c r="AT174" s="18">
        <f t="shared" si="71"/>
        <v>-0.185005033076589</v>
      </c>
      <c r="AU174" s="18">
        <f t="shared" si="72"/>
        <v>-0.42073899353113331</v>
      </c>
      <c r="AV174" s="49">
        <f t="shared" si="73"/>
        <v>3029109.90144003</v>
      </c>
      <c r="AW174" s="49">
        <f t="shared" si="74"/>
        <v>1261802.44380258</v>
      </c>
      <c r="AX174" s="39">
        <f t="shared" si="75"/>
        <v>0.61957837815913797</v>
      </c>
      <c r="AY174" s="39">
        <f t="shared" si="76"/>
        <v>0.44219362764786169</v>
      </c>
      <c r="AZ174" s="39">
        <f t="shared" si="77"/>
        <v>0.56741592558967524</v>
      </c>
      <c r="BA174" s="18">
        <v>3.4383160154915202E-2</v>
      </c>
      <c r="BB174" s="20">
        <v>2.6666934432569098E-2</v>
      </c>
      <c r="BC174" s="17">
        <f t="shared" si="78"/>
        <v>-1152338.90144003</v>
      </c>
      <c r="BD174" s="17">
        <f t="shared" si="79"/>
        <v>-703841.44380258</v>
      </c>
      <c r="BE174" s="6">
        <f t="shared" si="81"/>
        <v>3029109.9014400262</v>
      </c>
      <c r="BF174" s="27">
        <f t="shared" si="82"/>
        <v>2.6559460438080384E-2</v>
      </c>
      <c r="BG174" s="27">
        <f t="shared" si="83"/>
        <v>3.442844321425878E-2</v>
      </c>
      <c r="BH174" s="7">
        <f t="shared" si="84"/>
        <v>1261802.4438025837</v>
      </c>
      <c r="BI174" s="7"/>
    </row>
    <row r="175" spans="1:66" ht="13.5" hidden="1" customHeight="1" x14ac:dyDescent="0.35">
      <c r="A175" s="16">
        <v>45829</v>
      </c>
      <c r="B175" s="17">
        <f>+'BD MD'!B174</f>
        <v>50963433</v>
      </c>
      <c r="C175" s="17">
        <f t="shared" si="59"/>
        <v>2861501.7931034481</v>
      </c>
      <c r="D175" s="18">
        <f t="shared" si="80"/>
        <v>2.4951771970098357E-2</v>
      </c>
      <c r="E175" s="17">
        <v>44356663</v>
      </c>
      <c r="F175" s="19">
        <v>46194</v>
      </c>
      <c r="G175" s="17">
        <f t="shared" si="60"/>
        <v>3761691.2293913742</v>
      </c>
      <c r="H175" s="17">
        <v>3198382.5668882602</v>
      </c>
      <c r="I175" s="17">
        <v>563308.66250311397</v>
      </c>
      <c r="J175" s="17">
        <v>2280322</v>
      </c>
      <c r="K175" s="17">
        <v>2286106</v>
      </c>
      <c r="L175" s="17">
        <v>39113.793103448297</v>
      </c>
      <c r="M175" s="17">
        <v>30081</v>
      </c>
      <c r="N175" s="17">
        <v>21973</v>
      </c>
      <c r="O175" s="17">
        <v>-4507</v>
      </c>
      <c r="P175" s="17">
        <v>5556</v>
      </c>
      <c r="Q175" s="17">
        <v>-62</v>
      </c>
      <c r="R175" s="17">
        <v>84521</v>
      </c>
      <c r="S175" s="17">
        <v>66122</v>
      </c>
      <c r="T175" s="17">
        <v>311488</v>
      </c>
      <c r="U175" s="17">
        <v>434484</v>
      </c>
      <c r="V175" s="17">
        <v>82471</v>
      </c>
      <c r="W175" s="17">
        <v>171572</v>
      </c>
      <c r="X175" s="17">
        <v>25122</v>
      </c>
      <c r="Y175" s="17">
        <v>16085</v>
      </c>
      <c r="Z175" s="17">
        <v>10935</v>
      </c>
      <c r="AA175" s="17">
        <v>6203</v>
      </c>
      <c r="AB175" s="17">
        <v>0</v>
      </c>
      <c r="AC175" s="17">
        <v>5780</v>
      </c>
      <c r="AD175" s="17">
        <v>0</v>
      </c>
      <c r="AE175" s="17">
        <v>2584</v>
      </c>
      <c r="AF175" s="17">
        <f t="shared" si="61"/>
        <v>3014448</v>
      </c>
      <c r="AG175" s="18">
        <f t="shared" si="62"/>
        <v>0.80135444835213787</v>
      </c>
      <c r="AH175" s="17">
        <f t="shared" si="63"/>
        <v>-747243.22939137416</v>
      </c>
      <c r="AI175" s="20">
        <f t="shared" si="64"/>
        <v>-8.5878424966886691E-2</v>
      </c>
      <c r="AJ175" s="20">
        <f t="shared" si="65"/>
        <v>6.7309817220294735E-2</v>
      </c>
      <c r="AK175" s="21">
        <f t="shared" si="87"/>
        <v>6.795930523448078E-2</v>
      </c>
      <c r="AL175" s="21">
        <f t="shared" si="67"/>
        <v>-9.46146974235339E-2</v>
      </c>
      <c r="AM175" s="31"/>
      <c r="AO175" s="38">
        <f t="shared" si="68"/>
        <v>46194</v>
      </c>
      <c r="AP175" s="17">
        <f>+Tabla22[[#This Row],[Web + APP 2025]]+Tabla22[[#This Row],[Afiliados 2025]]+Tabla22[[#This Row],[TMK 2025]]+Tabla22[[#This Row],[WA 2025]]+Tabla22[[#This Row],[Ent. en Tienda 2025]]</f>
        <v>2431485.7931034481</v>
      </c>
      <c r="AQ175" s="17">
        <f>+Tabla22[[#This Row],[Meli Drop 2025]]+Tabla22[[#This Row],[Meli Full 2025]]+Tabla22[[#This Row],[Amazon Drop 2025]]+Tabla22[[#This Row],[Amazon Full 2025]]+Tabla22[[#This Row],[TikTok 2025]]+Tabla22[[#This Row],[Shein 2025]]</f>
        <v>430016</v>
      </c>
      <c r="AR175" s="17">
        <f t="shared" si="69"/>
        <v>2377740</v>
      </c>
      <c r="AS175" s="17">
        <f t="shared" si="70"/>
        <v>636708</v>
      </c>
      <c r="AT175" s="18">
        <f t="shared" si="71"/>
        <v>-2.2104095058210982E-2</v>
      </c>
      <c r="AU175" s="18">
        <f t="shared" si="72"/>
        <v>0.4806611847001041</v>
      </c>
      <c r="AV175" s="49">
        <f t="shared" si="73"/>
        <v>3198382.5668882602</v>
      </c>
      <c r="AW175" s="49">
        <f t="shared" si="74"/>
        <v>563308.66250311397</v>
      </c>
      <c r="AX175" s="39">
        <f t="shared" si="75"/>
        <v>0.74341950979095295</v>
      </c>
      <c r="AY175" s="39">
        <f t="shared" si="76"/>
        <v>1.1303003883709675</v>
      </c>
      <c r="AZ175" s="39">
        <f t="shared" si="77"/>
        <v>0.80135444835213787</v>
      </c>
      <c r="BA175" s="18">
        <v>1.5349734068612999E-2</v>
      </c>
      <c r="BB175" s="20">
        <v>2.8149351478049801E-2</v>
      </c>
      <c r="BC175" s="17">
        <f t="shared" si="78"/>
        <v>-820642.56688826019</v>
      </c>
      <c r="BD175" s="17">
        <f t="shared" si="79"/>
        <v>73399.33749688603</v>
      </c>
      <c r="BE175" s="6">
        <f t="shared" si="81"/>
        <v>3198382.5668882551</v>
      </c>
      <c r="BF175" s="27">
        <f t="shared" si="82"/>
        <v>2.8043655732243655E-2</v>
      </c>
      <c r="BG175" s="27">
        <f t="shared" si="83"/>
        <v>1.536994986365932E-2</v>
      </c>
      <c r="BH175" s="7">
        <f t="shared" si="84"/>
        <v>563308.66250311385</v>
      </c>
      <c r="BI175" s="7"/>
    </row>
    <row r="176" spans="1:66" ht="14.25" hidden="1" customHeight="1" x14ac:dyDescent="0.35">
      <c r="A176" s="19">
        <v>45830</v>
      </c>
      <c r="B176" s="17">
        <f>+'BD MD'!B175</f>
        <v>48992029</v>
      </c>
      <c r="C176" s="17">
        <f t="shared" si="59"/>
        <v>3297644.5172413792</v>
      </c>
      <c r="D176" s="18">
        <f t="shared" si="80"/>
        <v>2.8754856708795826E-2</v>
      </c>
      <c r="E176" s="17">
        <v>26759670</v>
      </c>
      <c r="F176" s="19">
        <v>46195</v>
      </c>
      <c r="G176" s="17">
        <f t="shared" si="60"/>
        <v>4336185.2668039147</v>
      </c>
      <c r="H176" s="17">
        <v>3963613.6803517002</v>
      </c>
      <c r="I176" s="17">
        <v>372571.58645221498</v>
      </c>
      <c r="J176" s="17">
        <v>2863065</v>
      </c>
      <c r="K176" s="17">
        <v>3449372</v>
      </c>
      <c r="L176" s="17">
        <v>49765.517241379297</v>
      </c>
      <c r="M176" s="17">
        <v>32572</v>
      </c>
      <c r="N176" s="17">
        <v>3999</v>
      </c>
      <c r="O176" s="17">
        <v>60642</v>
      </c>
      <c r="P176" s="17">
        <v>5169</v>
      </c>
      <c r="Q176" s="17">
        <v>0</v>
      </c>
      <c r="R176" s="17">
        <v>91234</v>
      </c>
      <c r="S176" s="17">
        <v>81822</v>
      </c>
      <c r="T176" s="17">
        <v>100157</v>
      </c>
      <c r="U176" s="17">
        <v>607813</v>
      </c>
      <c r="V176" s="17">
        <v>134523</v>
      </c>
      <c r="W176" s="17">
        <v>170679</v>
      </c>
      <c r="X176" s="17">
        <v>40627</v>
      </c>
      <c r="Y176" s="17">
        <v>25030</v>
      </c>
      <c r="Z176" s="17">
        <v>9105</v>
      </c>
      <c r="AA176" s="17">
        <v>4734</v>
      </c>
      <c r="AB176" s="17">
        <v>0</v>
      </c>
      <c r="AC176" s="17">
        <v>5983</v>
      </c>
      <c r="AD176" s="17">
        <v>0</v>
      </c>
      <c r="AE176" s="17">
        <v>1464</v>
      </c>
      <c r="AF176" s="17">
        <f t="shared" si="61"/>
        <v>4440111</v>
      </c>
      <c r="AG176" s="18">
        <f t="shared" si="62"/>
        <v>1.0239670878437088</v>
      </c>
      <c r="AH176" s="17">
        <f t="shared" si="63"/>
        <v>103925.73319608532</v>
      </c>
      <c r="AI176" s="20">
        <f t="shared" si="64"/>
        <v>-0.15269424813078691</v>
      </c>
      <c r="AJ176" s="20">
        <f t="shared" si="65"/>
        <v>0.16560017341136393</v>
      </c>
      <c r="AK176" s="21">
        <f t="shared" si="87"/>
        <v>0.16592547665946553</v>
      </c>
      <c r="AL176" s="21">
        <f t="shared" si="67"/>
        <v>-0.154355423489553</v>
      </c>
      <c r="AM176" s="31"/>
      <c r="AO176" s="38">
        <f t="shared" si="68"/>
        <v>46195</v>
      </c>
      <c r="AP176" s="17">
        <f>+Tabla22[[#This Row],[Web + APP 2025]]+Tabla22[[#This Row],[Afiliados 2025]]+Tabla22[[#This Row],[TMK 2025]]+Tabla22[[#This Row],[WA 2025]]+Tabla22[[#This Row],[Ent. en Tienda 2025]]</f>
        <v>3013232.5172413792</v>
      </c>
      <c r="AQ176" s="17">
        <f>+Tabla22[[#This Row],[Meli Drop 2025]]+Tabla22[[#This Row],[Meli Full 2025]]+Tabla22[[#This Row],[Amazon Drop 2025]]+Tabla22[[#This Row],[Amazon Full 2025]]+Tabla22[[#This Row],[TikTok 2025]]+Tabla22[[#This Row],[Shein 2025]]</f>
        <v>284412</v>
      </c>
      <c r="AR176" s="17">
        <f t="shared" si="69"/>
        <v>3624408</v>
      </c>
      <c r="AS176" s="17">
        <f t="shared" si="70"/>
        <v>815703</v>
      </c>
      <c r="AT176" s="18">
        <f t="shared" si="71"/>
        <v>0.20283050818731807</v>
      </c>
      <c r="AU176" s="18">
        <f t="shared" si="72"/>
        <v>1.8680329943884226</v>
      </c>
      <c r="AV176" s="49">
        <f t="shared" si="73"/>
        <v>3963613.6803517002</v>
      </c>
      <c r="AW176" s="49">
        <f t="shared" si="74"/>
        <v>372571.58645221498</v>
      </c>
      <c r="AX176" s="39">
        <f t="shared" si="75"/>
        <v>0.91442009547166525</v>
      </c>
      <c r="AY176" s="39">
        <f t="shared" si="76"/>
        <v>2.1893859587293565</v>
      </c>
      <c r="AZ176" s="39">
        <f t="shared" si="77"/>
        <v>1.0239670878437088</v>
      </c>
      <c r="BA176" s="18">
        <v>1.0152293323788799E-2</v>
      </c>
      <c r="BB176" s="20">
        <v>3.4901937381317201E-2</v>
      </c>
      <c r="BC176" s="17">
        <f t="shared" si="78"/>
        <v>-339205.68035170017</v>
      </c>
      <c r="BD176" s="17">
        <f t="shared" si="79"/>
        <v>443131.41354778502</v>
      </c>
      <c r="BE176" s="6">
        <f t="shared" si="81"/>
        <v>3963613.6803517048</v>
      </c>
      <c r="BF176" s="27">
        <f t="shared" si="82"/>
        <v>3.4753258930978269E-2</v>
      </c>
      <c r="BG176" s="27">
        <f t="shared" si="83"/>
        <v>1.0165664023252797E-2</v>
      </c>
      <c r="BH176" s="7">
        <f t="shared" si="84"/>
        <v>372571.58645221486</v>
      </c>
      <c r="BI176" s="7"/>
    </row>
    <row r="177" spans="1:64" ht="14.25" hidden="1" customHeight="1" x14ac:dyDescent="0.35">
      <c r="A177" s="16">
        <v>45831</v>
      </c>
      <c r="B177" s="17">
        <f>+'BD MD'!B176</f>
        <v>31644110</v>
      </c>
      <c r="C177" s="17">
        <f t="shared" si="59"/>
        <v>5240270.1034482755</v>
      </c>
      <c r="D177" s="18">
        <f t="shared" si="80"/>
        <v>4.5694196312613712E-2</v>
      </c>
      <c r="E177" s="17">
        <v>28828276</v>
      </c>
      <c r="F177" s="19">
        <v>46196</v>
      </c>
      <c r="G177" s="17">
        <f t="shared" si="60"/>
        <v>6885052.9044871293</v>
      </c>
      <c r="H177" s="17">
        <v>4952666.9300810797</v>
      </c>
      <c r="I177" s="17">
        <v>1932385.9744060501</v>
      </c>
      <c r="J177" s="17">
        <v>3518868</v>
      </c>
      <c r="K177" s="17">
        <v>3607578</v>
      </c>
      <c r="L177" s="17">
        <v>48518.103448275797</v>
      </c>
      <c r="M177" s="17">
        <v>31603</v>
      </c>
      <c r="N177" s="17">
        <v>41503</v>
      </c>
      <c r="O177" s="17">
        <v>41336</v>
      </c>
      <c r="P177" s="17">
        <v>11366</v>
      </c>
      <c r="Q177" s="17">
        <v>0</v>
      </c>
      <c r="R177" s="17">
        <v>144879</v>
      </c>
      <c r="S177" s="17">
        <v>47149</v>
      </c>
      <c r="T177" s="17">
        <v>1270698</v>
      </c>
      <c r="U177" s="17">
        <v>522266</v>
      </c>
      <c r="V177" s="17">
        <v>117470</v>
      </c>
      <c r="W177" s="17">
        <v>166620</v>
      </c>
      <c r="X177" s="17">
        <v>71619</v>
      </c>
      <c r="Y177" s="17">
        <v>35881</v>
      </c>
      <c r="Z177" s="17">
        <v>15349</v>
      </c>
      <c r="AA177" s="17">
        <v>14026</v>
      </c>
      <c r="AB177" s="17">
        <v>0</v>
      </c>
      <c r="AC177" s="17">
        <v>6322</v>
      </c>
      <c r="AD177" s="17">
        <v>0</v>
      </c>
      <c r="AE177" s="17">
        <v>5038</v>
      </c>
      <c r="AF177" s="17">
        <f t="shared" si="61"/>
        <v>4477819</v>
      </c>
      <c r="AG177" s="18">
        <f t="shared" si="62"/>
        <v>0.65036813255010928</v>
      </c>
      <c r="AH177" s="17">
        <f t="shared" si="63"/>
        <v>-2407233.9044871293</v>
      </c>
      <c r="AI177" s="20">
        <f t="shared" si="64"/>
        <v>2.7424737949500066E-2</v>
      </c>
      <c r="AJ177" s="20">
        <f t="shared" si="65"/>
        <v>0.13304668045382048</v>
      </c>
      <c r="AK177" s="21">
        <f t="shared" si="87"/>
        <v>0.15532732515811906</v>
      </c>
      <c r="AL177" s="21">
        <f t="shared" si="67"/>
        <v>-0.11995232866358163</v>
      </c>
      <c r="AM177" s="31"/>
      <c r="AO177" s="38">
        <f t="shared" si="68"/>
        <v>46196</v>
      </c>
      <c r="AP177" s="17">
        <f>+Tabla22[[#This Row],[Web + APP 2025]]+Tabla22[[#This Row],[Afiliados 2025]]+Tabla22[[#This Row],[TMK 2025]]+Tabla22[[#This Row],[WA 2025]]+Tabla22[[#This Row],[Ent. en Tienda 2025]]</f>
        <v>3765134.1034482759</v>
      </c>
      <c r="AQ177" s="17">
        <f>+Tabla22[[#This Row],[Meli Drop 2025]]+Tabla22[[#This Row],[Meli Full 2025]]+Tabla22[[#This Row],[Amazon Drop 2025]]+Tabla22[[#This Row],[Amazon Full 2025]]+Tabla22[[#This Row],[TikTok 2025]]+Tabla22[[#This Row],[Shein 2025]]</f>
        <v>1475136</v>
      </c>
      <c r="AR177" s="17">
        <f t="shared" si="69"/>
        <v>3727666</v>
      </c>
      <c r="AS177" s="17">
        <f t="shared" si="70"/>
        <v>750153</v>
      </c>
      <c r="AT177" s="18">
        <f t="shared" si="71"/>
        <v>-9.95133305184559E-3</v>
      </c>
      <c r="AU177" s="18">
        <f t="shared" si="72"/>
        <v>-0.49146858323571518</v>
      </c>
      <c r="AV177" s="49">
        <f t="shared" si="73"/>
        <v>4952666.9300810797</v>
      </c>
      <c r="AW177" s="49">
        <f t="shared" si="74"/>
        <v>1932385.9744060501</v>
      </c>
      <c r="AX177" s="39">
        <f t="shared" si="75"/>
        <v>0.75265832583233594</v>
      </c>
      <c r="AY177" s="39">
        <f t="shared" si="76"/>
        <v>0.38820039574680293</v>
      </c>
      <c r="AZ177" s="39">
        <f t="shared" si="77"/>
        <v>0.65036813255010928</v>
      </c>
      <c r="BA177" s="18">
        <v>5.2656053065554501E-2</v>
      </c>
      <c r="BB177" s="20">
        <v>4.3449593494173398E-2</v>
      </c>
      <c r="BC177" s="17">
        <f t="shared" si="78"/>
        <v>-1225000.9300810797</v>
      </c>
      <c r="BD177" s="17">
        <f t="shared" si="79"/>
        <v>-1182232.9744060501</v>
      </c>
      <c r="BE177" s="6">
        <f t="shared" si="81"/>
        <v>4952666.9300810769</v>
      </c>
      <c r="BF177" s="27">
        <f t="shared" si="82"/>
        <v>4.3425351232698341E-2</v>
      </c>
      <c r="BG177" s="27">
        <f t="shared" si="83"/>
        <v>5.2725401757327532E-2</v>
      </c>
      <c r="BH177" s="7">
        <f t="shared" si="84"/>
        <v>1932385.9744060533</v>
      </c>
      <c r="BI177" s="7"/>
    </row>
    <row r="178" spans="1:64" ht="14.25" hidden="1" customHeight="1" x14ac:dyDescent="0.35">
      <c r="A178" s="19">
        <v>45832</v>
      </c>
      <c r="B178" s="17">
        <f>+'BD MD'!B177</f>
        <v>32757630</v>
      </c>
      <c r="C178" s="17">
        <f t="shared" si="59"/>
        <v>4358293.931034483</v>
      </c>
      <c r="D178" s="18">
        <f t="shared" si="80"/>
        <v>3.8003525494175572E-2</v>
      </c>
      <c r="E178" s="17">
        <v>28911259</v>
      </c>
      <c r="F178" s="19">
        <v>46197</v>
      </c>
      <c r="G178" s="17">
        <f t="shared" si="60"/>
        <v>5729014.832033854</v>
      </c>
      <c r="H178" s="17">
        <v>4789302.9167269897</v>
      </c>
      <c r="I178" s="17">
        <v>939711.91530686396</v>
      </c>
      <c r="J178" s="17">
        <v>3394337</v>
      </c>
      <c r="K178" s="17">
        <v>3156183</v>
      </c>
      <c r="L178" s="17">
        <v>48212.931034482703</v>
      </c>
      <c r="M178" s="17">
        <v>27167</v>
      </c>
      <c r="N178" s="17">
        <v>85752</v>
      </c>
      <c r="O178" s="17">
        <v>47227</v>
      </c>
      <c r="P178" s="17">
        <v>8426</v>
      </c>
      <c r="Q178" s="17">
        <v>1614</v>
      </c>
      <c r="R178" s="17">
        <v>104213</v>
      </c>
      <c r="S178" s="17">
        <v>62691</v>
      </c>
      <c r="T178" s="17">
        <v>504323</v>
      </c>
      <c r="U178" s="17">
        <v>486332</v>
      </c>
      <c r="V178" s="17">
        <v>137554</v>
      </c>
      <c r="W178" s="17">
        <v>165559</v>
      </c>
      <c r="X178" s="17">
        <v>60128</v>
      </c>
      <c r="Y178" s="17">
        <v>26707</v>
      </c>
      <c r="Z178" s="17">
        <v>15348</v>
      </c>
      <c r="AA178" s="17">
        <v>18093</v>
      </c>
      <c r="AB178" s="17">
        <v>0</v>
      </c>
      <c r="AC178" s="17">
        <v>15844</v>
      </c>
      <c r="AD178" s="17">
        <v>0</v>
      </c>
      <c r="AE178" s="17">
        <v>5384</v>
      </c>
      <c r="AF178" s="17">
        <f t="shared" si="61"/>
        <v>4012801</v>
      </c>
      <c r="AG178" s="18">
        <f t="shared" si="62"/>
        <v>0.70043473749838736</v>
      </c>
      <c r="AH178" s="17">
        <f t="shared" si="63"/>
        <v>-1716213.832033854</v>
      </c>
      <c r="AI178" s="20">
        <f t="shared" si="64"/>
        <v>-8.2570336260633925E-2</v>
      </c>
      <c r="AJ178" s="20">
        <f t="shared" si="65"/>
        <v>0.11926784529425177</v>
      </c>
      <c r="AK178" s="21">
        <f t="shared" si="87"/>
        <v>0.13879717240954467</v>
      </c>
      <c r="AL178" s="21">
        <f t="shared" si="67"/>
        <v>-0.211656424236351</v>
      </c>
      <c r="AM178" s="31"/>
      <c r="AO178" s="38">
        <f t="shared" si="68"/>
        <v>46197</v>
      </c>
      <c r="AP178" s="17">
        <f>+Tabla22[[#This Row],[Web + APP 2025]]+Tabla22[[#This Row],[Afiliados 2025]]+Tabla22[[#This Row],[TMK 2025]]+Tabla22[[#This Row],[WA 2025]]+Tabla22[[#This Row],[Ent. en Tienda 2025]]</f>
        <v>3640940.9310344825</v>
      </c>
      <c r="AQ178" s="17">
        <f>+Tabla22[[#This Row],[Meli Drop 2025]]+Tabla22[[#This Row],[Meli Full 2025]]+Tabla22[[#This Row],[Amazon Drop 2025]]+Tabla22[[#This Row],[Amazon Full 2025]]+Tabla22[[#This Row],[TikTok 2025]]+Tabla22[[#This Row],[Shein 2025]]</f>
        <v>717353</v>
      </c>
      <c r="AR178" s="17">
        <f t="shared" si="69"/>
        <v>3294882</v>
      </c>
      <c r="AS178" s="17">
        <f t="shared" si="70"/>
        <v>717919</v>
      </c>
      <c r="AT178" s="18">
        <f t="shared" si="71"/>
        <v>-9.5046565596481281E-2</v>
      </c>
      <c r="AU178" s="18">
        <f t="shared" si="72"/>
        <v>7.8901182541923909E-4</v>
      </c>
      <c r="AV178" s="49">
        <f t="shared" si="73"/>
        <v>4789302.9167269897</v>
      </c>
      <c r="AW178" s="49">
        <f t="shared" si="74"/>
        <v>939711.91530686396</v>
      </c>
      <c r="AX178" s="39">
        <f t="shared" si="75"/>
        <v>0.68796692489263611</v>
      </c>
      <c r="AY178" s="39">
        <f t="shared" si="76"/>
        <v>0.76397775563542025</v>
      </c>
      <c r="AZ178" s="39">
        <f t="shared" si="77"/>
        <v>0.70043473749838736</v>
      </c>
      <c r="BA178" s="18">
        <v>2.5606437396100901E-2</v>
      </c>
      <c r="BB178" s="20">
        <v>4.2033247547599899E-2</v>
      </c>
      <c r="BC178" s="17">
        <f t="shared" si="78"/>
        <v>-1494420.9167269897</v>
      </c>
      <c r="BD178" s="17">
        <f t="shared" si="79"/>
        <v>-221792.91530686396</v>
      </c>
      <c r="BE178" s="6">
        <f t="shared" si="81"/>
        <v>4789302.9167269897</v>
      </c>
      <c r="BF178" s="27">
        <f t="shared" si="82"/>
        <v>4.1992963438640014E-2</v>
      </c>
      <c r="BG178" s="27">
        <f t="shared" si="83"/>
        <v>2.5640161399914433E-2</v>
      </c>
      <c r="BH178" s="7">
        <f t="shared" si="84"/>
        <v>939711.91530686361</v>
      </c>
      <c r="BI178" s="7"/>
    </row>
    <row r="179" spans="1:64" ht="14.25" hidden="1" customHeight="1" x14ac:dyDescent="0.35">
      <c r="A179" s="16">
        <v>45833</v>
      </c>
      <c r="B179" s="17">
        <f>+'BD MD'!B178</f>
        <v>36673425</v>
      </c>
      <c r="C179" s="17">
        <f t="shared" si="59"/>
        <v>4373960.3793103453</v>
      </c>
      <c r="D179" s="18">
        <f t="shared" si="80"/>
        <v>3.8140134056121183E-2</v>
      </c>
      <c r="E179" s="17">
        <v>32990386</v>
      </c>
      <c r="F179" s="19">
        <v>46198</v>
      </c>
      <c r="G179" s="17">
        <f t="shared" si="60"/>
        <v>5747826.9104707399</v>
      </c>
      <c r="H179" s="17">
        <v>4375020.1099856403</v>
      </c>
      <c r="I179" s="17">
        <v>1372806.8004850999</v>
      </c>
      <c r="J179" s="17">
        <v>3139943</v>
      </c>
      <c r="K179" s="17">
        <v>2694753</v>
      </c>
      <c r="L179" s="17">
        <v>41541.379310344797</v>
      </c>
      <c r="M179" s="17">
        <v>29216</v>
      </c>
      <c r="N179" s="17">
        <v>19984</v>
      </c>
      <c r="O179" s="17">
        <v>16753</v>
      </c>
      <c r="P179" s="17">
        <v>5166</v>
      </c>
      <c r="Q179" s="17">
        <v>1713</v>
      </c>
      <c r="R179" s="17">
        <v>119359</v>
      </c>
      <c r="S179" s="17">
        <v>63932</v>
      </c>
      <c r="T179" s="17">
        <v>869828</v>
      </c>
      <c r="U179" s="17">
        <v>505290</v>
      </c>
      <c r="V179" s="17">
        <v>125724</v>
      </c>
      <c r="W179" s="17">
        <v>132920</v>
      </c>
      <c r="X179" s="17">
        <v>44086</v>
      </c>
      <c r="Y179" s="17">
        <v>47371</v>
      </c>
      <c r="Z179" s="17">
        <v>8329</v>
      </c>
      <c r="AA179" s="17">
        <v>14247</v>
      </c>
      <c r="AB179" s="17">
        <v>0</v>
      </c>
      <c r="AC179" s="17">
        <v>19034</v>
      </c>
      <c r="AD179" s="17">
        <v>0</v>
      </c>
      <c r="AE179" s="17">
        <v>861</v>
      </c>
      <c r="AF179" s="17">
        <f t="shared" si="61"/>
        <v>3526090</v>
      </c>
      <c r="AG179" s="18">
        <f t="shared" si="62"/>
        <v>0.61346488941352229</v>
      </c>
      <c r="AH179" s="17">
        <f t="shared" si="63"/>
        <v>-2221736.9104707399</v>
      </c>
      <c r="AI179" s="20">
        <f t="shared" si="64"/>
        <v>7.1724461183537702E-3</v>
      </c>
      <c r="AJ179" s="20">
        <f t="shared" si="65"/>
        <v>8.6884847783927091E-2</v>
      </c>
      <c r="AK179" s="21">
        <f t="shared" si="87"/>
        <v>0.10688235051266147</v>
      </c>
      <c r="AL179" s="21">
        <f t="shared" si="67"/>
        <v>-0.18126777476892864</v>
      </c>
      <c r="AM179" s="31"/>
      <c r="AO179" s="38">
        <f t="shared" si="68"/>
        <v>46198</v>
      </c>
      <c r="AP179" s="17">
        <f>+Tabla22[[#This Row],[Web + APP 2025]]+Tabla22[[#This Row],[Afiliados 2025]]+Tabla22[[#This Row],[TMK 2025]]+Tabla22[[#This Row],[WA 2025]]+Tabla22[[#This Row],[Ent. en Tienda 2025]]</f>
        <v>3325993.3793103448</v>
      </c>
      <c r="AQ179" s="17">
        <f>+Tabla22[[#This Row],[Meli Drop 2025]]+Tabla22[[#This Row],[Meli Full 2025]]+Tabla22[[#This Row],[Amazon Drop 2025]]+Tabla22[[#This Row],[Amazon Full 2025]]+Tabla22[[#This Row],[TikTok 2025]]+Tabla22[[#This Row],[Shein 2025]]</f>
        <v>1047967</v>
      </c>
      <c r="AR179" s="17">
        <f t="shared" si="69"/>
        <v>2806367</v>
      </c>
      <c r="AS179" s="17">
        <f t="shared" si="70"/>
        <v>719723</v>
      </c>
      <c r="AT179" s="18">
        <f t="shared" si="71"/>
        <v>-0.15623193435763572</v>
      </c>
      <c r="AU179" s="18">
        <f t="shared" si="72"/>
        <v>-0.31321978650091076</v>
      </c>
      <c r="AV179" s="49">
        <f t="shared" si="73"/>
        <v>4375020.1099856403</v>
      </c>
      <c r="AW179" s="49">
        <f t="shared" si="74"/>
        <v>1372806.8004850999</v>
      </c>
      <c r="AX179" s="39">
        <f t="shared" si="75"/>
        <v>0.64145236580620224</v>
      </c>
      <c r="AY179" s="39">
        <f t="shared" si="76"/>
        <v>0.52427114998678337</v>
      </c>
      <c r="AZ179" s="39">
        <f t="shared" si="77"/>
        <v>0.61346488941352229</v>
      </c>
      <c r="BA179" s="18">
        <v>3.7407944733875299E-2</v>
      </c>
      <c r="BB179" s="20">
        <v>3.8368799143849497E-2</v>
      </c>
      <c r="BC179" s="17">
        <f t="shared" si="78"/>
        <v>-1568653.1099856403</v>
      </c>
      <c r="BD179" s="17">
        <f t="shared" si="79"/>
        <v>-653083.8004850999</v>
      </c>
      <c r="BE179" s="6">
        <f t="shared" si="81"/>
        <v>4375020.1099856375</v>
      </c>
      <c r="BF179" s="27">
        <f t="shared" si="82"/>
        <v>3.8360501040827048E-2</v>
      </c>
      <c r="BG179" s="27">
        <f t="shared" si="83"/>
        <v>3.7457211472990463E-2</v>
      </c>
      <c r="BH179" s="7">
        <f t="shared" si="84"/>
        <v>1372806.8004850999</v>
      </c>
      <c r="BI179" s="7"/>
    </row>
    <row r="180" spans="1:64" ht="14.25" hidden="1" customHeight="1" x14ac:dyDescent="0.35">
      <c r="A180" s="19">
        <v>45834</v>
      </c>
      <c r="B180" s="17">
        <f>+'BD MD'!B179</f>
        <v>40294476</v>
      </c>
      <c r="C180" s="17">
        <f t="shared" si="59"/>
        <v>3500979.4137931033</v>
      </c>
      <c r="D180" s="18">
        <f t="shared" si="80"/>
        <v>3.0527899795663723E-2</v>
      </c>
      <c r="E180" s="17">
        <v>37473775</v>
      </c>
      <c r="F180" s="19">
        <v>46199</v>
      </c>
      <c r="G180" s="17">
        <f t="shared" si="60"/>
        <v>4601271.3508241205</v>
      </c>
      <c r="H180" s="17">
        <v>3654372.9324046001</v>
      </c>
      <c r="I180" s="17">
        <v>946898.41841952002</v>
      </c>
      <c r="J180" s="17">
        <v>2604399</v>
      </c>
      <c r="K180" s="17">
        <v>2205478</v>
      </c>
      <c r="L180" s="17">
        <v>43047.413793103398</v>
      </c>
      <c r="M180" s="17">
        <v>28000</v>
      </c>
      <c r="N180" s="17">
        <v>27161</v>
      </c>
      <c r="O180" s="17">
        <v>16158</v>
      </c>
      <c r="P180" s="17">
        <v>7060</v>
      </c>
      <c r="Q180" s="17">
        <v>1136</v>
      </c>
      <c r="R180" s="17">
        <v>96473</v>
      </c>
      <c r="S180" s="17">
        <v>81003</v>
      </c>
      <c r="T180" s="17">
        <v>505360</v>
      </c>
      <c r="U180" s="17">
        <v>416030</v>
      </c>
      <c r="V180" s="17">
        <v>154811</v>
      </c>
      <c r="W180" s="17">
        <v>171947</v>
      </c>
      <c r="X180" s="17">
        <v>46738</v>
      </c>
      <c r="Y180" s="17">
        <v>42864</v>
      </c>
      <c r="Z180" s="17">
        <v>15930</v>
      </c>
      <c r="AA180" s="17">
        <v>12244</v>
      </c>
      <c r="AB180" s="17">
        <v>0</v>
      </c>
      <c r="AC180" s="17">
        <v>7750</v>
      </c>
      <c r="AD180" s="17">
        <v>0</v>
      </c>
      <c r="AE180" s="17">
        <v>689</v>
      </c>
      <c r="AF180" s="17">
        <f t="shared" si="61"/>
        <v>2983299</v>
      </c>
      <c r="AG180" s="18">
        <f t="shared" si="62"/>
        <v>0.64836406561105553</v>
      </c>
      <c r="AH180" s="17">
        <f t="shared" si="63"/>
        <v>-1617972.3508241205</v>
      </c>
      <c r="AI180" s="20">
        <f t="shared" si="64"/>
        <v>1.3244916771268711E-2</v>
      </c>
      <c r="AJ180" s="20">
        <f t="shared" si="65"/>
        <v>6.4638707135331805E-2</v>
      </c>
      <c r="AK180" s="21">
        <f t="shared" si="87"/>
        <v>7.961031414635969E-2</v>
      </c>
      <c r="AL180" s="21">
        <f t="shared" si="67"/>
        <v>-0.17730708471853773</v>
      </c>
      <c r="AM180" s="31"/>
      <c r="AO180" s="38">
        <f t="shared" si="68"/>
        <v>46199</v>
      </c>
      <c r="AP180" s="17">
        <f>+Tabla22[[#This Row],[Web + APP 2025]]+Tabla22[[#This Row],[Afiliados 2025]]+Tabla22[[#This Row],[TMK 2025]]+Tabla22[[#This Row],[WA 2025]]+Tabla22[[#This Row],[Ent. en Tienda 2025]]</f>
        <v>2778140.4137931033</v>
      </c>
      <c r="AQ180" s="17">
        <f>+Tabla22[[#This Row],[Meli Drop 2025]]+Tabla22[[#This Row],[Meli Full 2025]]+Tabla22[[#This Row],[Amazon Drop 2025]]+Tabla22[[#This Row],[Amazon Full 2025]]+Tabla22[[#This Row],[TikTok 2025]]+Tabla22[[#This Row],[Shein 2025]]</f>
        <v>722839</v>
      </c>
      <c r="AR180" s="17">
        <f t="shared" si="69"/>
        <v>2331775</v>
      </c>
      <c r="AS180" s="17">
        <f t="shared" si="70"/>
        <v>651524</v>
      </c>
      <c r="AT180" s="18">
        <f t="shared" si="71"/>
        <v>-0.16067057358834613</v>
      </c>
      <c r="AU180" s="18">
        <f t="shared" si="72"/>
        <v>-9.8659590863248936E-2</v>
      </c>
      <c r="AV180" s="49">
        <f t="shared" si="73"/>
        <v>3654372.9324046001</v>
      </c>
      <c r="AW180" s="49">
        <f t="shared" si="74"/>
        <v>946898.41841952002</v>
      </c>
      <c r="AX180" s="39">
        <f t="shared" si="75"/>
        <v>0.63807800767221579</v>
      </c>
      <c r="AY180" s="39">
        <f t="shared" si="76"/>
        <v>0.68806113446410322</v>
      </c>
      <c r="AZ180" s="39">
        <f t="shared" si="77"/>
        <v>0.64836406561105553</v>
      </c>
      <c r="BA180" s="18">
        <v>2.58022641585944E-2</v>
      </c>
      <c r="BB180" s="20">
        <v>3.2135924383983099E-2</v>
      </c>
      <c r="BC180" s="17">
        <f t="shared" si="78"/>
        <v>-1322597.9324046001</v>
      </c>
      <c r="BD180" s="17">
        <f t="shared" si="79"/>
        <v>-295374.41841952002</v>
      </c>
      <c r="BE180" s="6">
        <f t="shared" si="81"/>
        <v>3654372.9324046057</v>
      </c>
      <c r="BF180" s="27">
        <f t="shared" si="82"/>
        <v>3.2041813100954469E-2</v>
      </c>
      <c r="BG180" s="27">
        <f t="shared" si="83"/>
        <v>2.583624606874544E-2</v>
      </c>
      <c r="BH180" s="7">
        <f t="shared" si="84"/>
        <v>946898.41841952002</v>
      </c>
      <c r="BI180" s="7"/>
    </row>
    <row r="181" spans="1:64" ht="14.25" hidden="1" customHeight="1" x14ac:dyDescent="0.35">
      <c r="A181" s="16">
        <v>45835</v>
      </c>
      <c r="B181" s="17">
        <f>+'BD MD'!B180</f>
        <v>45550137</v>
      </c>
      <c r="C181" s="17">
        <f t="shared" si="59"/>
        <v>2944301.9655172415</v>
      </c>
      <c r="D181" s="18">
        <f t="shared" si="80"/>
        <v>2.5673774320798655E-2</v>
      </c>
      <c r="E181" s="17">
        <v>42913204</v>
      </c>
      <c r="F181" s="19">
        <v>46200</v>
      </c>
      <c r="G181" s="17">
        <f t="shared" si="60"/>
        <v>3869238.1141088381</v>
      </c>
      <c r="H181" s="17">
        <v>2975810.10838571</v>
      </c>
      <c r="I181" s="17">
        <v>893428.00572312798</v>
      </c>
      <c r="J181" s="17">
        <v>2116880</v>
      </c>
      <c r="K181" s="17">
        <v>1773131</v>
      </c>
      <c r="L181" s="17">
        <v>39018.965517241399</v>
      </c>
      <c r="M181" s="17">
        <v>37159</v>
      </c>
      <c r="N181" s="17">
        <v>39894</v>
      </c>
      <c r="O181" s="17">
        <v>7338</v>
      </c>
      <c r="P181" s="17">
        <v>8661</v>
      </c>
      <c r="Q181" s="17">
        <v>0</v>
      </c>
      <c r="R181" s="17">
        <v>57827</v>
      </c>
      <c r="S181" s="17">
        <v>67734</v>
      </c>
      <c r="T181" s="17">
        <v>506732</v>
      </c>
      <c r="U181" s="17">
        <v>419596</v>
      </c>
      <c r="V181" s="17">
        <v>134913</v>
      </c>
      <c r="W181" s="17">
        <v>154349</v>
      </c>
      <c r="X181" s="17">
        <v>29295</v>
      </c>
      <c r="Y181" s="17">
        <v>36632</v>
      </c>
      <c r="Z181" s="17">
        <v>11081</v>
      </c>
      <c r="AA181" s="17">
        <v>11823</v>
      </c>
      <c r="AB181" s="17">
        <v>0</v>
      </c>
      <c r="AC181" s="17">
        <v>4627</v>
      </c>
      <c r="AD181" s="17">
        <v>0</v>
      </c>
      <c r="AE181" s="17">
        <v>1463</v>
      </c>
      <c r="AF181" s="17">
        <f t="shared" si="61"/>
        <v>2513852</v>
      </c>
      <c r="AG181" s="18">
        <f t="shared" si="62"/>
        <v>0.64970206688326027</v>
      </c>
      <c r="AH181" s="17">
        <f t="shared" si="63"/>
        <v>-1355386.1141088381</v>
      </c>
      <c r="AI181" s="20">
        <f t="shared" si="64"/>
        <v>8.9820690371433809E-3</v>
      </c>
      <c r="AJ181" s="20">
        <f t="shared" si="65"/>
        <v>4.7527441477588382E-2</v>
      </c>
      <c r="AK181" s="21">
        <f t="shared" si="87"/>
        <v>5.8579918665592999E-2</v>
      </c>
      <c r="AL181" s="21">
        <f t="shared" si="67"/>
        <v>-0.18138609048180676</v>
      </c>
      <c r="AM181" s="31"/>
      <c r="AO181" s="38">
        <f t="shared" si="68"/>
        <v>46200</v>
      </c>
      <c r="AP181" s="17">
        <f>+Tabla22[[#This Row],[Web + APP 2025]]+Tabla22[[#This Row],[Afiliados 2025]]+Tabla22[[#This Row],[TMK 2025]]+Tabla22[[#This Row],[WA 2025]]+Tabla22[[#This Row],[Ent. en Tienda 2025]]</f>
        <v>2262280.9655172415</v>
      </c>
      <c r="AQ181" s="17">
        <f>+Tabla22[[#This Row],[Meli Drop 2025]]+Tabla22[[#This Row],[Meli Full 2025]]+Tabla22[[#This Row],[Amazon Drop 2025]]+Tabla22[[#This Row],[Amazon Full 2025]]+Tabla22[[#This Row],[TikTok 2025]]+Tabla22[[#This Row],[Shein 2025]]</f>
        <v>682021</v>
      </c>
      <c r="AR181" s="17">
        <f t="shared" si="69"/>
        <v>1885362</v>
      </c>
      <c r="AS181" s="17">
        <f t="shared" si="70"/>
        <v>628490</v>
      </c>
      <c r="AT181" s="18">
        <f t="shared" si="71"/>
        <v>-0.16661014757336468</v>
      </c>
      <c r="AU181" s="18">
        <f t="shared" si="72"/>
        <v>-7.8488785535929195E-2</v>
      </c>
      <c r="AV181" s="49">
        <f t="shared" si="73"/>
        <v>2975810.10838571</v>
      </c>
      <c r="AW181" s="49">
        <f t="shared" si="74"/>
        <v>893428.00572312798</v>
      </c>
      <c r="AX181" s="39">
        <f t="shared" si="75"/>
        <v>0.63356260357041183</v>
      </c>
      <c r="AY181" s="39">
        <f t="shared" si="76"/>
        <v>0.70345903192424453</v>
      </c>
      <c r="AZ181" s="39">
        <f t="shared" si="77"/>
        <v>0.64970206688326027</v>
      </c>
      <c r="BA181" s="18">
        <v>2.5055509533847001E-2</v>
      </c>
      <c r="BB181" s="20">
        <v>2.62204052582714E-2</v>
      </c>
      <c r="BC181" s="17">
        <f t="shared" si="78"/>
        <v>-1090448.10838571</v>
      </c>
      <c r="BD181" s="17">
        <f t="shared" si="79"/>
        <v>-264938.00572312798</v>
      </c>
      <c r="BE181" s="6">
        <f t="shared" si="81"/>
        <v>2975810.1083857059</v>
      </c>
      <c r="BF181" s="27">
        <f t="shared" si="82"/>
        <v>2.6092123896639244E-2</v>
      </c>
      <c r="BG181" s="27">
        <f t="shared" si="83"/>
        <v>2.4377298928325443E-2</v>
      </c>
      <c r="BH181" s="7">
        <f t="shared" si="84"/>
        <v>893428.00572312716</v>
      </c>
      <c r="BI181" s="7"/>
    </row>
    <row r="182" spans="1:64" ht="14.25" hidden="1" customHeight="1" x14ac:dyDescent="0.35">
      <c r="A182" s="19">
        <v>45836</v>
      </c>
      <c r="B182" s="17">
        <f>+'BD MD'!B181</f>
        <v>52421787</v>
      </c>
      <c r="C182" s="17">
        <f t="shared" si="59"/>
        <v>2491473.4137931033</v>
      </c>
      <c r="D182" s="18">
        <f t="shared" si="80"/>
        <v>2.1725192219119671E-2</v>
      </c>
      <c r="E182" s="17">
        <v>44748131</v>
      </c>
      <c r="F182" s="19">
        <v>46201</v>
      </c>
      <c r="G182" s="17">
        <f t="shared" si="60"/>
        <v>3273634.5030915751</v>
      </c>
      <c r="H182" s="17">
        <v>2391835.1135060801</v>
      </c>
      <c r="I182" s="17">
        <v>881799.389585495</v>
      </c>
      <c r="J182" s="17">
        <v>1692150</v>
      </c>
      <c r="K182" s="17">
        <v>2401141</v>
      </c>
      <c r="L182" s="17">
        <v>45922.413793103398</v>
      </c>
      <c r="M182" s="17">
        <v>36721</v>
      </c>
      <c r="N182" s="17">
        <v>20153</v>
      </c>
      <c r="O182" s="17">
        <v>0</v>
      </c>
      <c r="P182" s="17">
        <v>5603</v>
      </c>
      <c r="Q182" s="17">
        <v>3416</v>
      </c>
      <c r="R182" s="17">
        <v>54501</v>
      </c>
      <c r="S182" s="17">
        <v>51033</v>
      </c>
      <c r="T182" s="17">
        <v>502302</v>
      </c>
      <c r="U182" s="17">
        <v>338340</v>
      </c>
      <c r="V182" s="17">
        <v>130575</v>
      </c>
      <c r="W182" s="17">
        <v>156455</v>
      </c>
      <c r="X182" s="17">
        <v>29728</v>
      </c>
      <c r="Y182" s="17">
        <v>51224</v>
      </c>
      <c r="Z182" s="17">
        <v>10539</v>
      </c>
      <c r="AA182" s="17">
        <v>16905</v>
      </c>
      <c r="AB182" s="17">
        <v>0</v>
      </c>
      <c r="AC182" s="17">
        <v>2570</v>
      </c>
      <c r="AD182" s="17">
        <v>0</v>
      </c>
      <c r="AE182" s="17">
        <v>5469</v>
      </c>
      <c r="AF182" s="17">
        <f t="shared" si="61"/>
        <v>3063274</v>
      </c>
      <c r="AG182" s="18">
        <f t="shared" si="62"/>
        <v>0.93574099280389622</v>
      </c>
      <c r="AH182" s="17">
        <f t="shared" si="63"/>
        <v>-210360.50309157511</v>
      </c>
      <c r="AI182" s="20">
        <f t="shared" si="64"/>
        <v>0.12568811188618012</v>
      </c>
      <c r="AJ182" s="20">
        <f t="shared" si="65"/>
        <v>5.0515111232651191E-2</v>
      </c>
      <c r="AK182" s="21">
        <f t="shared" si="87"/>
        <v>6.845590936524254E-2</v>
      </c>
      <c r="AL182" s="21">
        <f t="shared" si="67"/>
        <v>-0.16933014676925084</v>
      </c>
      <c r="AM182" s="31"/>
      <c r="AO182" s="38">
        <f t="shared" si="68"/>
        <v>46201</v>
      </c>
      <c r="AP182" s="17">
        <f>+Tabla22[[#This Row],[Web + APP 2025]]+Tabla22[[#This Row],[Afiliados 2025]]+Tabla22[[#This Row],[TMK 2025]]+Tabla22[[#This Row],[WA 2025]]+Tabla22[[#This Row],[Ent. en Tienda 2025]]</f>
        <v>1818329.4137931033</v>
      </c>
      <c r="AQ182" s="17">
        <f>+Tabla22[[#This Row],[Meli Drop 2025]]+Tabla22[[#This Row],[Meli Full 2025]]+Tabla22[[#This Row],[Amazon Drop 2025]]+Tabla22[[#This Row],[Amazon Full 2025]]+Tabla22[[#This Row],[TikTok 2025]]+Tabla22[[#This Row],[Shein 2025]]</f>
        <v>673144</v>
      </c>
      <c r="AR182" s="17">
        <f t="shared" si="69"/>
        <v>2492311</v>
      </c>
      <c r="AS182" s="17">
        <f t="shared" si="70"/>
        <v>570963</v>
      </c>
      <c r="AT182" s="18">
        <f t="shared" si="71"/>
        <v>0.37065978314729331</v>
      </c>
      <c r="AU182" s="18">
        <f t="shared" si="72"/>
        <v>-0.15179664380875413</v>
      </c>
      <c r="AV182" s="49">
        <f t="shared" si="73"/>
        <v>2391835.1135060801</v>
      </c>
      <c r="AW182" s="49">
        <f t="shared" si="74"/>
        <v>881799.389585495</v>
      </c>
      <c r="AX182" s="39">
        <f t="shared" si="75"/>
        <v>1.0420078649763767</v>
      </c>
      <c r="AY182" s="39">
        <f t="shared" si="76"/>
        <v>0.64749761311174303</v>
      </c>
      <c r="AZ182" s="39">
        <f t="shared" si="77"/>
        <v>0.93574099280389622</v>
      </c>
      <c r="BA182" s="18">
        <v>2.41832130345663E-2</v>
      </c>
      <c r="BB182" s="20">
        <v>2.12408006456383E-2</v>
      </c>
      <c r="BC182" s="17">
        <f t="shared" si="78"/>
        <v>100475.88649391988</v>
      </c>
      <c r="BD182" s="17">
        <f t="shared" si="79"/>
        <v>-310836.389585495</v>
      </c>
      <c r="BE182" s="6">
        <f t="shared" si="81"/>
        <v>2391835.1135060783</v>
      </c>
      <c r="BF182" s="27">
        <f t="shared" si="82"/>
        <v>2.0971787798579465E-2</v>
      </c>
      <c r="BG182" s="27">
        <f t="shared" si="83"/>
        <v>2.4060010629890723E-2</v>
      </c>
      <c r="BH182" s="7">
        <f t="shared" si="84"/>
        <v>881799.38958549465</v>
      </c>
      <c r="BI182" s="7"/>
    </row>
    <row r="183" spans="1:64" ht="14.25" hidden="1" customHeight="1" x14ac:dyDescent="0.35">
      <c r="A183" s="16">
        <v>45837</v>
      </c>
      <c r="B183" s="17">
        <f>+'BD MD'!B182</f>
        <v>53869935</v>
      </c>
      <c r="C183" s="17">
        <f t="shared" si="59"/>
        <v>2721245.7586206896</v>
      </c>
      <c r="D183" s="18">
        <f t="shared" si="80"/>
        <v>2.3728765016799019E-2</v>
      </c>
      <c r="E183" s="17">
        <v>26885675</v>
      </c>
      <c r="F183" s="19">
        <v>46202</v>
      </c>
      <c r="G183" s="17">
        <f t="shared" si="60"/>
        <v>3577224.5959536387</v>
      </c>
      <c r="H183" s="17">
        <v>3020309.9038648298</v>
      </c>
      <c r="I183" s="17">
        <v>556914.69208880898</v>
      </c>
      <c r="J183" s="17">
        <v>2129034</v>
      </c>
      <c r="K183" s="17">
        <v>3662040</v>
      </c>
      <c r="L183" s="17">
        <v>46807.758620689601</v>
      </c>
      <c r="M183" s="17">
        <v>33444</v>
      </c>
      <c r="N183" s="17">
        <v>7774</v>
      </c>
      <c r="O183" s="17">
        <v>20991</v>
      </c>
      <c r="P183" s="17">
        <v>4942</v>
      </c>
      <c r="Q183" s="17">
        <v>963</v>
      </c>
      <c r="R183" s="17">
        <v>107553</v>
      </c>
      <c r="S183" s="17">
        <v>80828</v>
      </c>
      <c r="T183" s="17">
        <v>253751</v>
      </c>
      <c r="U183" s="17">
        <v>498148</v>
      </c>
      <c r="V183" s="17">
        <v>117964</v>
      </c>
      <c r="W183" s="17">
        <v>146434</v>
      </c>
      <c r="X183" s="17">
        <v>43414</v>
      </c>
      <c r="Y183" s="17">
        <v>52303</v>
      </c>
      <c r="Z183" s="17">
        <v>10006</v>
      </c>
      <c r="AA183" s="17">
        <v>17845</v>
      </c>
      <c r="AB183" s="17">
        <v>0</v>
      </c>
      <c r="AC183" s="17">
        <v>3624</v>
      </c>
      <c r="AD183" s="17">
        <v>0</v>
      </c>
      <c r="AE183" s="17">
        <v>4004</v>
      </c>
      <c r="AF183" s="17">
        <f t="shared" si="61"/>
        <v>4520624</v>
      </c>
      <c r="AG183" s="18">
        <f t="shared" si="62"/>
        <v>1.2637238391778596</v>
      </c>
      <c r="AH183" s="17">
        <f t="shared" si="63"/>
        <v>943399.40404636133</v>
      </c>
      <c r="AI183" s="20">
        <f t="shared" si="64"/>
        <v>-7.5684340362843106E-2</v>
      </c>
      <c r="AJ183" s="20">
        <f t="shared" si="65"/>
        <v>0.15730739520890064</v>
      </c>
      <c r="AK183" s="21">
        <f t="shared" si="87"/>
        <v>0.16814247736015556</v>
      </c>
      <c r="AL183" s="21">
        <f t="shared" si="67"/>
        <v>-0.13524713652890707</v>
      </c>
      <c r="AM183" s="31"/>
      <c r="AO183" s="38">
        <f t="shared" si="68"/>
        <v>46202</v>
      </c>
      <c r="AP183" s="17">
        <f>+Tabla22[[#This Row],[Web + APP 2025]]+Tabla22[[#This Row],[Afiliados 2025]]+Tabla22[[#This Row],[TMK 2025]]+Tabla22[[#This Row],[WA 2025]]+Tabla22[[#This Row],[Ent. en Tienda 2025]]</f>
        <v>2296110.7586206896</v>
      </c>
      <c r="AQ183" s="17">
        <f>+Tabla22[[#This Row],[Meli Drop 2025]]+Tabla22[[#This Row],[Meli Full 2025]]+Tabla22[[#This Row],[Amazon Drop 2025]]+Tabla22[[#This Row],[Amazon Full 2025]]+Tabla22[[#This Row],[TikTok 2025]]+Tabla22[[#This Row],[Shein 2025]]</f>
        <v>425135</v>
      </c>
      <c r="AR183" s="17">
        <f t="shared" si="69"/>
        <v>3798266</v>
      </c>
      <c r="AS183" s="17">
        <f t="shared" si="70"/>
        <v>722358</v>
      </c>
      <c r="AT183" s="18">
        <f t="shared" si="71"/>
        <v>0.6542172391900114</v>
      </c>
      <c r="AU183" s="18">
        <f t="shared" si="72"/>
        <v>0.69912615992567062</v>
      </c>
      <c r="AV183" s="49">
        <f t="shared" si="73"/>
        <v>3020309.9038648298</v>
      </c>
      <c r="AW183" s="49">
        <f t="shared" si="74"/>
        <v>556914.69208880898</v>
      </c>
      <c r="AX183" s="39">
        <f t="shared" si="75"/>
        <v>1.2575749247253361</v>
      </c>
      <c r="AY183" s="39">
        <f t="shared" si="76"/>
        <v>1.2970711856975188</v>
      </c>
      <c r="AZ183" s="39">
        <f t="shared" si="77"/>
        <v>1.2637238391778596</v>
      </c>
      <c r="BA183" s="18">
        <v>1.5625662044200801E-2</v>
      </c>
      <c r="BB183" s="20">
        <v>2.6694598817513598E-2</v>
      </c>
      <c r="BC183" s="17">
        <f t="shared" si="78"/>
        <v>777956.0961351702</v>
      </c>
      <c r="BD183" s="17">
        <f t="shared" si="79"/>
        <v>165443.30791119102</v>
      </c>
      <c r="BE183" s="6">
        <f t="shared" si="81"/>
        <v>3020309.9038648321</v>
      </c>
      <c r="BF183" s="27">
        <f t="shared" si="82"/>
        <v>2.6482301406200275E-2</v>
      </c>
      <c r="BG183" s="27">
        <f t="shared" si="83"/>
        <v>1.5195489552218534E-2</v>
      </c>
      <c r="BH183" s="7">
        <f t="shared" si="84"/>
        <v>556914.6920888091</v>
      </c>
      <c r="BI183" s="7"/>
    </row>
    <row r="184" spans="1:64" ht="14.25" hidden="1" customHeight="1" x14ac:dyDescent="0.35">
      <c r="A184" s="19">
        <v>45838</v>
      </c>
      <c r="B184" s="17">
        <f>+'BD MD'!B183</f>
        <v>31090588</v>
      </c>
      <c r="C184" s="17">
        <f t="shared" si="59"/>
        <v>4890779.4137931038</v>
      </c>
      <c r="D184" s="18">
        <f t="shared" si="80"/>
        <v>4.2646701456952443E-2</v>
      </c>
      <c r="E184" s="17">
        <v>29153329</v>
      </c>
      <c r="F184" s="19">
        <v>46203</v>
      </c>
      <c r="G184" s="17">
        <f t="shared" si="60"/>
        <v>6427394.1174728405</v>
      </c>
      <c r="H184" s="17">
        <v>4992392.4947524704</v>
      </c>
      <c r="I184" s="17">
        <v>1435001.6227203701</v>
      </c>
      <c r="J184" s="17">
        <v>3606910</v>
      </c>
      <c r="K184" s="17">
        <v>4003008</v>
      </c>
      <c r="L184" s="17">
        <v>47272.413793103398</v>
      </c>
      <c r="M184" s="17">
        <v>33147</v>
      </c>
      <c r="N184" s="17">
        <v>48765</v>
      </c>
      <c r="O184" s="17">
        <v>7770</v>
      </c>
      <c r="P184" s="17">
        <v>11584</v>
      </c>
      <c r="Q184" s="17">
        <v>4521</v>
      </c>
      <c r="R184" s="17">
        <v>80803</v>
      </c>
      <c r="S184" s="17">
        <v>83644</v>
      </c>
      <c r="T184" s="17">
        <v>907574</v>
      </c>
      <c r="U184" s="17">
        <v>771777</v>
      </c>
      <c r="V184" s="17">
        <v>118765</v>
      </c>
      <c r="W184" s="17">
        <v>155445</v>
      </c>
      <c r="X184" s="17">
        <v>58578</v>
      </c>
      <c r="Y184" s="17">
        <v>49773</v>
      </c>
      <c r="Z184" s="17">
        <v>10528</v>
      </c>
      <c r="AA184" s="17">
        <v>13299</v>
      </c>
      <c r="AB184" s="17">
        <v>0</v>
      </c>
      <c r="AC184" s="17">
        <v>4538</v>
      </c>
      <c r="AD184" s="17">
        <v>0</v>
      </c>
      <c r="AE184" s="17">
        <v>1937</v>
      </c>
      <c r="AF184" s="17">
        <f t="shared" si="61"/>
        <v>5128859</v>
      </c>
      <c r="AG184" s="18">
        <f t="shared" si="62"/>
        <v>0.79796864892059771</v>
      </c>
      <c r="AH184" s="17">
        <f t="shared" si="63"/>
        <v>-1298535.1174728405</v>
      </c>
      <c r="AI184" s="20">
        <f t="shared" si="64"/>
        <v>0.10594807795333638</v>
      </c>
      <c r="AJ184" s="20">
        <f t="shared" si="65"/>
        <v>0.13055996352371022</v>
      </c>
      <c r="AK184" s="21">
        <f t="shared" si="87"/>
        <v>0.17592704421508776</v>
      </c>
      <c r="AL184" s="21">
        <f t="shared" si="67"/>
        <v>-0.17924761732385375</v>
      </c>
      <c r="AM184" s="31"/>
      <c r="AO184" s="38">
        <f t="shared" si="68"/>
        <v>46203</v>
      </c>
      <c r="AP184" s="17">
        <f>+Tabla22[[#This Row],[Web + APP 2025]]+Tabla22[[#This Row],[Afiliados 2025]]+Tabla22[[#This Row],[TMK 2025]]+Tabla22[[#This Row],[WA 2025]]+Tabla22[[#This Row],[Ent. en Tienda 2025]]</f>
        <v>3795334.4137931033</v>
      </c>
      <c r="AQ184" s="17">
        <f>+Tabla22[[#This Row],[Meli Drop 2025]]+Tabla22[[#This Row],[Meli Full 2025]]+Tabla22[[#This Row],[Amazon Drop 2025]]+Tabla22[[#This Row],[Amazon Full 2025]]+Tabla22[[#This Row],[TikTok 2025]]+Tabla22[[#This Row],[Shein 2025]]</f>
        <v>1095445</v>
      </c>
      <c r="AR184" s="17">
        <f t="shared" si="69"/>
        <v>4132090</v>
      </c>
      <c r="AS184" s="17">
        <f t="shared" si="70"/>
        <v>996769</v>
      </c>
      <c r="AT184" s="18">
        <f t="shared" si="71"/>
        <v>8.8728831109862405E-2</v>
      </c>
      <c r="AU184" s="18">
        <f t="shared" si="72"/>
        <v>-9.0078461264600285E-2</v>
      </c>
      <c r="AV184" s="49">
        <f t="shared" si="73"/>
        <v>4992392.4947524704</v>
      </c>
      <c r="AW184" s="49">
        <f t="shared" si="74"/>
        <v>1435001.6227203701</v>
      </c>
      <c r="AX184" s="39">
        <f t="shared" si="75"/>
        <v>0.82767731189870608</v>
      </c>
      <c r="AY184" s="39">
        <f t="shared" si="76"/>
        <v>0.69461175807620268</v>
      </c>
      <c r="AZ184" s="39">
        <f t="shared" si="77"/>
        <v>0.79796864892059771</v>
      </c>
      <c r="BA184" s="18">
        <v>3.9102706496483203E-2</v>
      </c>
      <c r="BB184" s="20">
        <v>4.3781656084737199E-2</v>
      </c>
      <c r="BC184" s="17">
        <f t="shared" si="78"/>
        <v>-860302.4947524704</v>
      </c>
      <c r="BD184" s="17">
        <f t="shared" si="79"/>
        <v>-438232.62272037007</v>
      </c>
      <c r="BE184" s="6">
        <f t="shared" si="81"/>
        <v>4992392.4947524723</v>
      </c>
      <c r="BF184" s="27">
        <f t="shared" si="82"/>
        <v>4.377366793219107E-2</v>
      </c>
      <c r="BG184" s="27">
        <f t="shared" si="83"/>
        <v>3.9154205258400347E-2</v>
      </c>
      <c r="BH184" s="7">
        <f t="shared" si="84"/>
        <v>1435001.6227203722</v>
      </c>
      <c r="BI184" s="7"/>
    </row>
    <row r="185" spans="1:64" ht="14.25" hidden="1" customHeight="1" x14ac:dyDescent="0.35">
      <c r="A185" s="19">
        <v>45839</v>
      </c>
      <c r="B185" s="17">
        <f>+'BD MD'!B184</f>
        <v>35520249</v>
      </c>
      <c r="C185" s="17">
        <f t="shared" si="59"/>
        <v>4637522.4137931038</v>
      </c>
      <c r="D185" s="18">
        <f t="shared" ref="D185:D215" si="88">+C185/(SUM($C$185:$C$215))</f>
        <v>4.0246683754001533E-2</v>
      </c>
      <c r="E185" s="17">
        <v>31749859</v>
      </c>
      <c r="F185" s="19">
        <v>46204</v>
      </c>
      <c r="G185" s="17">
        <f t="shared" si="60"/>
        <v>6098844.9034075299</v>
      </c>
      <c r="H185" s="17">
        <v>5047249.3107280601</v>
      </c>
      <c r="I185" s="17">
        <v>1051595.5926794701</v>
      </c>
      <c r="J185" s="17">
        <v>3637472</v>
      </c>
      <c r="K185" s="17">
        <v>3854991</v>
      </c>
      <c r="L185" s="17">
        <v>42322.413793103398</v>
      </c>
      <c r="M185" s="17">
        <v>33555</v>
      </c>
      <c r="N185" s="17">
        <v>86850</v>
      </c>
      <c r="O185" s="17">
        <v>37725</v>
      </c>
      <c r="P185" s="17">
        <v>9893</v>
      </c>
      <c r="Q185" s="17">
        <v>3591</v>
      </c>
      <c r="R185" s="17">
        <v>74174</v>
      </c>
      <c r="S185" s="17">
        <v>72458</v>
      </c>
      <c r="T185" s="17">
        <v>622788</v>
      </c>
      <c r="U185" s="17">
        <v>625555</v>
      </c>
      <c r="V185" s="17">
        <v>102657</v>
      </c>
      <c r="W185" s="17">
        <v>147936</v>
      </c>
      <c r="X185" s="17">
        <v>47524</v>
      </c>
      <c r="Y185" s="17">
        <v>54054</v>
      </c>
      <c r="Z185" s="17">
        <v>13842</v>
      </c>
      <c r="AA185" s="17">
        <v>17511</v>
      </c>
      <c r="AB185" s="17">
        <v>0</v>
      </c>
      <c r="AC185" s="17">
        <v>6232</v>
      </c>
      <c r="AD185" s="17">
        <v>0</v>
      </c>
      <c r="AE185" s="17">
        <v>1455</v>
      </c>
      <c r="AF185" s="17">
        <f t="shared" si="61"/>
        <v>4855063</v>
      </c>
      <c r="AG185" s="18">
        <f t="shared" si="62"/>
        <v>0.79606270972514692</v>
      </c>
      <c r="AH185" s="17">
        <f t="shared" si="63"/>
        <v>-1243781.9034075299</v>
      </c>
      <c r="AI185" s="20">
        <f t="shared" si="64"/>
        <v>8.1932947815338109E-2</v>
      </c>
      <c r="AJ185" s="20">
        <f t="shared" si="65"/>
        <v>0.12063200494079214</v>
      </c>
      <c r="AK185" s="21">
        <f t="shared" ref="AK185:AK215" si="89">IFERROR(AF185/E185,0)</f>
        <v>0.15291604917048607</v>
      </c>
      <c r="AL185" s="21">
        <f t="shared" si="67"/>
        <v>-0.14648762236229562</v>
      </c>
      <c r="AM185" s="54"/>
      <c r="AO185" s="38">
        <f t="shared" si="68"/>
        <v>46204</v>
      </c>
      <c r="AP185" s="17">
        <f>J186+L186+N186+P186+R186</f>
        <v>3818718.3103448278</v>
      </c>
      <c r="AQ185" s="17">
        <f t="shared" ref="AQ185:AQ214" si="90">T186+V186+X186+Z186+AB186+AD186</f>
        <v>668679</v>
      </c>
      <c r="AR185" s="17">
        <f t="shared" si="69"/>
        <v>4002320</v>
      </c>
      <c r="AS185" s="17">
        <f t="shared" si="70"/>
        <v>852743</v>
      </c>
      <c r="AT185" s="18">
        <f t="shared" si="71"/>
        <v>4.8079401184894621E-2</v>
      </c>
      <c r="AU185" s="18">
        <f t="shared" si="72"/>
        <v>0.27526511225864736</v>
      </c>
      <c r="AV185" s="49">
        <f t="shared" si="73"/>
        <v>5047249.3107280601</v>
      </c>
      <c r="AW185" s="49">
        <f t="shared" si="74"/>
        <v>1051595.5926794701</v>
      </c>
      <c r="AX185" s="39">
        <f t="shared" si="75"/>
        <v>0.79297053773289239</v>
      </c>
      <c r="AY185" s="39">
        <f t="shared" si="76"/>
        <v>0.810903931070315</v>
      </c>
      <c r="AZ185" s="39">
        <f t="shared" si="77"/>
        <v>0.79606270972514692</v>
      </c>
      <c r="BA185" s="18">
        <v>3.3383987069189602E-2</v>
      </c>
      <c r="BB185" s="20">
        <v>4.2336268167108698E-2</v>
      </c>
      <c r="BC185" s="17">
        <f t="shared" si="78"/>
        <v>-1044929.3107280601</v>
      </c>
      <c r="BD185" s="17">
        <f t="shared" si="79"/>
        <v>-198852.59267947008</v>
      </c>
      <c r="BE185" s="17">
        <f t="shared" ref="BE185:BE214" si="91">AR185-AP185</f>
        <v>183601.68965517217</v>
      </c>
      <c r="BF185" s="17">
        <f t="shared" ref="BF185:BF214" si="92">AS185-AQ185</f>
        <v>184064</v>
      </c>
      <c r="BG185" s="27"/>
      <c r="BH185" s="54">
        <f>SUM(W185:W194)</f>
        <v>1221426</v>
      </c>
      <c r="BI185">
        <v>2026</v>
      </c>
      <c r="BJ185" s="54">
        <f>SUM(U185:U194)</f>
        <v>4909674</v>
      </c>
      <c r="BL185" s="5">
        <f>BH185/SUM(BH185,BJ185)</f>
        <v>0.19921808484611245</v>
      </c>
    </row>
    <row r="186" spans="1:64" ht="14.25" hidden="1" customHeight="1" x14ac:dyDescent="0.35">
      <c r="A186" s="16">
        <v>45840</v>
      </c>
      <c r="B186" s="17">
        <f>+'BD MD'!B185</f>
        <v>37199061</v>
      </c>
      <c r="C186" s="17">
        <f t="shared" si="59"/>
        <v>4487397.3103448283</v>
      </c>
      <c r="D186" s="18">
        <f t="shared" si="88"/>
        <v>3.8943824808447103E-2</v>
      </c>
      <c r="E186" s="17">
        <v>37296594</v>
      </c>
      <c r="F186" s="19">
        <v>46205</v>
      </c>
      <c r="G186" s="17">
        <f t="shared" si="60"/>
        <v>5892162.2488056887</v>
      </c>
      <c r="H186" s="17">
        <v>4998453.4809855698</v>
      </c>
      <c r="I186" s="17">
        <v>893708.76782011904</v>
      </c>
      <c r="J186" s="17">
        <v>3648365</v>
      </c>
      <c r="K186" s="17">
        <v>2923874</v>
      </c>
      <c r="L186" s="17">
        <v>36679.310344827602</v>
      </c>
      <c r="M186" s="17">
        <v>33721</v>
      </c>
      <c r="N186" s="17">
        <v>54428</v>
      </c>
      <c r="O186" s="17">
        <v>11767</v>
      </c>
      <c r="P186" s="17">
        <v>10227</v>
      </c>
      <c r="Q186" s="17">
        <v>4184</v>
      </c>
      <c r="R186" s="17">
        <v>69019</v>
      </c>
      <c r="S186" s="17">
        <v>86120</v>
      </c>
      <c r="T186" s="17">
        <v>520885</v>
      </c>
      <c r="U186" s="17">
        <v>529374</v>
      </c>
      <c r="V186" s="17">
        <v>97656</v>
      </c>
      <c r="W186" s="17">
        <v>154761</v>
      </c>
      <c r="X186" s="17">
        <v>41854</v>
      </c>
      <c r="Y186" s="17">
        <v>37080</v>
      </c>
      <c r="Z186" s="17">
        <v>8284</v>
      </c>
      <c r="AA186" s="17">
        <v>17915</v>
      </c>
      <c r="AB186" s="17">
        <v>0</v>
      </c>
      <c r="AC186" s="17">
        <v>9869</v>
      </c>
      <c r="AD186" s="17">
        <v>0</v>
      </c>
      <c r="AE186" s="17">
        <v>6287</v>
      </c>
      <c r="AF186" s="17">
        <f t="shared" si="61"/>
        <v>3814952</v>
      </c>
      <c r="AG186" s="18">
        <f t="shared" si="62"/>
        <v>0.64746214359139065</v>
      </c>
      <c r="AH186" s="17">
        <f t="shared" si="63"/>
        <v>-2077210.2488056887</v>
      </c>
      <c r="AI186" s="20">
        <f t="shared" si="64"/>
        <v>7.8747111827539573E-2</v>
      </c>
      <c r="AJ186" s="20">
        <f t="shared" si="65"/>
        <v>8.1252471354213027E-2</v>
      </c>
      <c r="AK186" s="21">
        <f t="shared" si="89"/>
        <v>0.10228687370219383</v>
      </c>
      <c r="AL186" s="21">
        <f t="shared" si="67"/>
        <v>-0.14308781146835181</v>
      </c>
      <c r="AM186" s="54"/>
      <c r="AO186" s="38">
        <f t="shared" si="68"/>
        <v>46205</v>
      </c>
      <c r="AP186" s="17">
        <f t="shared" ref="AP186:AP214" si="93">J187+L187+N187+P187+R187</f>
        <v>2841360.5517241377</v>
      </c>
      <c r="AQ186" s="17">
        <f t="shared" si="90"/>
        <v>695105</v>
      </c>
      <c r="AR186" s="17">
        <f t="shared" si="69"/>
        <v>3059666</v>
      </c>
      <c r="AS186" s="17">
        <f t="shared" si="70"/>
        <v>755286</v>
      </c>
      <c r="AT186" s="18">
        <f t="shared" si="71"/>
        <v>7.6831308206694926E-2</v>
      </c>
      <c r="AU186" s="18">
        <f t="shared" si="72"/>
        <v>8.657828673365886E-2</v>
      </c>
      <c r="AV186" s="49">
        <f t="shared" si="73"/>
        <v>4998453.4809855698</v>
      </c>
      <c r="AW186" s="49">
        <f t="shared" si="74"/>
        <v>893708.76782011904</v>
      </c>
      <c r="AX186" s="39">
        <f t="shared" si="75"/>
        <v>0.61212253182692633</v>
      </c>
      <c r="AY186" s="39">
        <f t="shared" si="76"/>
        <v>0.84511423317715506</v>
      </c>
      <c r="AZ186" s="39">
        <f t="shared" si="77"/>
        <v>0.64746214359139065</v>
      </c>
      <c r="BA186" s="18">
        <v>2.83717069149244E-2</v>
      </c>
      <c r="BB186" s="20">
        <v>4.1926969318125E-2</v>
      </c>
      <c r="BC186" s="17">
        <f t="shared" si="78"/>
        <v>-1938787.4809855698</v>
      </c>
      <c r="BD186" s="17">
        <f t="shared" si="79"/>
        <v>-138422.76782011904</v>
      </c>
      <c r="BE186" s="17">
        <f t="shared" si="91"/>
        <v>218305.44827586226</v>
      </c>
      <c r="BF186" s="17">
        <f t="shared" si="92"/>
        <v>60181</v>
      </c>
      <c r="BG186" s="27"/>
      <c r="BH186" s="54">
        <f>SUM(V185:V194)</f>
        <v>1255891</v>
      </c>
      <c r="BI186">
        <v>2025</v>
      </c>
      <c r="BJ186" s="54">
        <f>SUM(T185:T194)</f>
        <v>5363435</v>
      </c>
      <c r="BL186" s="5">
        <f>BH186/SUM(BH186,BJ186)</f>
        <v>0.18973094843795274</v>
      </c>
    </row>
    <row r="187" spans="1:64" ht="14.25" hidden="1" customHeight="1" x14ac:dyDescent="0.35">
      <c r="A187" s="19">
        <v>45841</v>
      </c>
      <c r="B187" s="17">
        <f>+'BD MD'!B186</f>
        <v>43524406</v>
      </c>
      <c r="C187" s="17">
        <f t="shared" si="59"/>
        <v>3536465.5517241377</v>
      </c>
      <c r="D187" s="18">
        <f t="shared" si="88"/>
        <v>3.0691174719465582E-2</v>
      </c>
      <c r="E187" s="17">
        <v>41201599</v>
      </c>
      <c r="F187" s="19">
        <v>46206</v>
      </c>
      <c r="G187" s="17">
        <f t="shared" si="60"/>
        <v>4659102.1493776534</v>
      </c>
      <c r="H187" s="17">
        <v>3730074.2704468002</v>
      </c>
      <c r="I187" s="17">
        <v>929027.87893085298</v>
      </c>
      <c r="J187" s="17">
        <v>2662326</v>
      </c>
      <c r="K187" s="17">
        <v>2705057</v>
      </c>
      <c r="L187" s="17">
        <v>35471.551724137898</v>
      </c>
      <c r="M187" s="17">
        <v>43805</v>
      </c>
      <c r="N187" s="17">
        <v>41667</v>
      </c>
      <c r="O187" s="17">
        <v>17931</v>
      </c>
      <c r="P187" s="17">
        <v>9394</v>
      </c>
      <c r="Q187" s="17">
        <v>1013</v>
      </c>
      <c r="R187" s="17">
        <v>92502</v>
      </c>
      <c r="S187" s="17">
        <v>84930</v>
      </c>
      <c r="T187" s="17">
        <v>552929</v>
      </c>
      <c r="U187" s="17">
        <v>337385</v>
      </c>
      <c r="V187" s="17">
        <v>93404</v>
      </c>
      <c r="W187" s="17">
        <v>118065</v>
      </c>
      <c r="X187" s="17">
        <v>39271</v>
      </c>
      <c r="Y187" s="17">
        <v>42831</v>
      </c>
      <c r="Z187" s="17">
        <v>9501</v>
      </c>
      <c r="AA187" s="17">
        <v>10140</v>
      </c>
      <c r="AB187" s="17">
        <v>0</v>
      </c>
      <c r="AC187" s="17">
        <v>10620</v>
      </c>
      <c r="AD187" s="17">
        <v>0</v>
      </c>
      <c r="AE187" s="17">
        <v>1894</v>
      </c>
      <c r="AF187" s="17">
        <f t="shared" si="61"/>
        <v>3373671</v>
      </c>
      <c r="AG187" s="18">
        <f t="shared" si="62"/>
        <v>0.72410324818713045</v>
      </c>
      <c r="AH187" s="17">
        <f t="shared" si="63"/>
        <v>-1285431.1493776534</v>
      </c>
      <c r="AI187" s="20">
        <f t="shared" si="64"/>
        <v>0.1781090718018925</v>
      </c>
      <c r="AJ187" s="20">
        <f t="shared" si="65"/>
        <v>6.7915954355162123E-2</v>
      </c>
      <c r="AK187" s="21">
        <f t="shared" si="89"/>
        <v>8.1882040548960242E-2</v>
      </c>
      <c r="AL187" s="21">
        <f t="shared" si="67"/>
        <v>-2.2833317178295953E-2</v>
      </c>
      <c r="AM187" s="54"/>
      <c r="AO187" s="38">
        <f t="shared" si="68"/>
        <v>46206</v>
      </c>
      <c r="AP187" s="17">
        <f t="shared" si="93"/>
        <v>2297951.1379310344</v>
      </c>
      <c r="AQ187" s="17">
        <f t="shared" si="90"/>
        <v>565681</v>
      </c>
      <c r="AR187" s="17">
        <f t="shared" si="69"/>
        <v>2852736</v>
      </c>
      <c r="AS187" s="17">
        <f t="shared" si="70"/>
        <v>520935</v>
      </c>
      <c r="AT187" s="18">
        <f t="shared" si="71"/>
        <v>0.24142587408036342</v>
      </c>
      <c r="AU187" s="18">
        <f t="shared" si="72"/>
        <v>-7.9101118828456274E-2</v>
      </c>
      <c r="AV187" s="49">
        <f t="shared" si="73"/>
        <v>3730074.2704468002</v>
      </c>
      <c r="AW187" s="49">
        <f t="shared" si="74"/>
        <v>929027.87893085298</v>
      </c>
      <c r="AX187" s="39">
        <f t="shared" si="75"/>
        <v>0.7647933507925273</v>
      </c>
      <c r="AY187" s="39">
        <f t="shared" si="76"/>
        <v>0.56073128892483204</v>
      </c>
      <c r="AZ187" s="39">
        <f t="shared" si="77"/>
        <v>0.72410324818713045</v>
      </c>
      <c r="BA187" s="18">
        <v>2.94929485374874E-2</v>
      </c>
      <c r="BB187" s="20">
        <v>3.1287819339775903E-2</v>
      </c>
      <c r="BC187" s="17">
        <f t="shared" si="78"/>
        <v>-877338.27044680016</v>
      </c>
      <c r="BD187" s="17">
        <f t="shared" si="79"/>
        <v>-408092.87893085298</v>
      </c>
      <c r="BE187" s="17">
        <f t="shared" si="91"/>
        <v>554784.86206896557</v>
      </c>
      <c r="BF187" s="17">
        <f t="shared" si="92"/>
        <v>-44746</v>
      </c>
      <c r="BG187" s="27"/>
      <c r="BH187" s="54">
        <f>SUM(BR185:BR194)</f>
        <v>0</v>
      </c>
      <c r="BI187" t="s">
        <v>263</v>
      </c>
    </row>
    <row r="188" spans="1:64" ht="14.25" hidden="1" customHeight="1" x14ac:dyDescent="0.35">
      <c r="A188" s="16">
        <v>45842</v>
      </c>
      <c r="B188" s="17">
        <f>+'BD MD'!B187</f>
        <v>42164351</v>
      </c>
      <c r="C188" s="17">
        <f t="shared" si="59"/>
        <v>2863632.1379310344</v>
      </c>
      <c r="D188" s="18">
        <f t="shared" si="88"/>
        <v>2.4851997847022678E-2</v>
      </c>
      <c r="E188" s="17">
        <v>51574094</v>
      </c>
      <c r="F188" s="19">
        <v>46207</v>
      </c>
      <c r="G188" s="17">
        <f t="shared" si="60"/>
        <v>3778369.2535806466</v>
      </c>
      <c r="H188" s="17">
        <v>3022320.2831639699</v>
      </c>
      <c r="I188" s="17">
        <v>756048.97041667695</v>
      </c>
      <c r="J188" s="17">
        <v>2146336</v>
      </c>
      <c r="K188" s="17">
        <v>2175054</v>
      </c>
      <c r="L188" s="17">
        <v>32924.1379310345</v>
      </c>
      <c r="M188" s="17">
        <v>41461</v>
      </c>
      <c r="N188" s="17">
        <v>12896</v>
      </c>
      <c r="O188" s="17">
        <v>4234</v>
      </c>
      <c r="P188" s="17">
        <v>-1764</v>
      </c>
      <c r="Q188" s="17">
        <v>345</v>
      </c>
      <c r="R188" s="17">
        <v>107559</v>
      </c>
      <c r="S188" s="17">
        <v>73695</v>
      </c>
      <c r="T188" s="17">
        <v>416715</v>
      </c>
      <c r="U188" s="17">
        <v>476598</v>
      </c>
      <c r="V188" s="17">
        <v>115888</v>
      </c>
      <c r="W188" s="17">
        <v>108307</v>
      </c>
      <c r="X188" s="17">
        <v>27713</v>
      </c>
      <c r="Y188" s="17">
        <v>37222</v>
      </c>
      <c r="Z188" s="17">
        <v>5365</v>
      </c>
      <c r="AA188" s="17">
        <v>7925</v>
      </c>
      <c r="AB188" s="17">
        <v>0</v>
      </c>
      <c r="AC188" s="17">
        <v>56771</v>
      </c>
      <c r="AD188" s="17">
        <v>0</v>
      </c>
      <c r="AE188" s="17">
        <v>2583</v>
      </c>
      <c r="AF188" s="17">
        <f t="shared" si="61"/>
        <v>2984195</v>
      </c>
      <c r="AG188" s="18">
        <f t="shared" si="62"/>
        <v>0.7898103122589113</v>
      </c>
      <c r="AH188" s="17">
        <f t="shared" si="63"/>
        <v>-794174.25358064659</v>
      </c>
      <c r="AI188" s="20">
        <f t="shared" si="64"/>
        <v>0.28018131718937322</v>
      </c>
      <c r="AJ188" s="20">
        <f t="shared" si="65"/>
        <v>4.4727414758700464E-2</v>
      </c>
      <c r="AK188" s="21">
        <f t="shared" si="89"/>
        <v>5.786228644171626E-2</v>
      </c>
      <c r="AL188" s="21">
        <f t="shared" si="67"/>
        <v>-1.042277688171156E-2</v>
      </c>
      <c r="AM188" s="31"/>
      <c r="AO188" s="38">
        <f t="shared" si="68"/>
        <v>46207</v>
      </c>
      <c r="AP188" s="17">
        <f t="shared" si="93"/>
        <v>1797272.1379310344</v>
      </c>
      <c r="AQ188" s="17">
        <f t="shared" si="90"/>
        <v>533800</v>
      </c>
      <c r="AR188" s="17">
        <f t="shared" si="69"/>
        <v>2294789</v>
      </c>
      <c r="AS188" s="17">
        <f t="shared" si="70"/>
        <v>689406</v>
      </c>
      <c r="AT188" s="18">
        <f t="shared" si="71"/>
        <v>0.27681776819936244</v>
      </c>
      <c r="AU188" s="18">
        <f t="shared" si="72"/>
        <v>0.29150618209067058</v>
      </c>
      <c r="AV188" s="49">
        <f t="shared" si="73"/>
        <v>3022320.2831639699</v>
      </c>
      <c r="AW188" s="49">
        <f t="shared" si="74"/>
        <v>756048.97041667695</v>
      </c>
      <c r="AX188" s="39">
        <f t="shared" si="75"/>
        <v>0.75928054772463072</v>
      </c>
      <c r="AY188" s="39">
        <f t="shared" si="76"/>
        <v>0.91185363247046236</v>
      </c>
      <c r="AZ188" s="39">
        <f t="shared" si="77"/>
        <v>0.7898103122589113</v>
      </c>
      <c r="BA188" s="18">
        <v>2.4001554616402399E-2</v>
      </c>
      <c r="BB188" s="20">
        <v>2.53511871749534E-2</v>
      </c>
      <c r="BC188" s="17">
        <f t="shared" si="78"/>
        <v>-727531.28316396987</v>
      </c>
      <c r="BD188" s="17">
        <f t="shared" si="79"/>
        <v>-66642.970416676952</v>
      </c>
      <c r="BE188" s="17">
        <f t="shared" si="91"/>
        <v>497516.86206896557</v>
      </c>
      <c r="BF188" s="17">
        <f t="shared" si="92"/>
        <v>155606</v>
      </c>
      <c r="BG188" s="27"/>
      <c r="BH188" s="31"/>
    </row>
    <row r="189" spans="1:64" ht="14.25" hidden="1" customHeight="1" x14ac:dyDescent="0.35">
      <c r="A189" s="19">
        <v>45843</v>
      </c>
      <c r="B189" s="17">
        <f>+'BD MD'!B188</f>
        <v>52117301</v>
      </c>
      <c r="C189" s="17">
        <f t="shared" si="59"/>
        <v>2331072.1379310344</v>
      </c>
      <c r="D189" s="18">
        <f t="shared" si="88"/>
        <v>2.0230182147268461E-2</v>
      </c>
      <c r="E189" s="17">
        <v>39756355</v>
      </c>
      <c r="F189" s="19">
        <v>46208</v>
      </c>
      <c r="G189" s="17">
        <f t="shared" si="60"/>
        <v>3089334.7146261511</v>
      </c>
      <c r="H189" s="17">
        <v>2375895.6201392901</v>
      </c>
      <c r="I189" s="17">
        <v>713439.09448686102</v>
      </c>
      <c r="J189" s="17">
        <v>1678670</v>
      </c>
      <c r="K189" s="17">
        <v>2221020</v>
      </c>
      <c r="L189" s="17">
        <v>35299.1379310345</v>
      </c>
      <c r="M189" s="17">
        <v>34456</v>
      </c>
      <c r="N189" s="17">
        <v>11072</v>
      </c>
      <c r="O189" s="17">
        <v>-5691</v>
      </c>
      <c r="P189" s="17">
        <v>8150</v>
      </c>
      <c r="Q189" s="17">
        <v>2342</v>
      </c>
      <c r="R189" s="17">
        <v>64081</v>
      </c>
      <c r="S189" s="17">
        <v>40115</v>
      </c>
      <c r="T189" s="17">
        <v>404189</v>
      </c>
      <c r="U189" s="17">
        <v>421919</v>
      </c>
      <c r="V189" s="17">
        <v>108332</v>
      </c>
      <c r="W189" s="17">
        <v>88467</v>
      </c>
      <c r="X189" s="17">
        <v>16902</v>
      </c>
      <c r="Y189" s="17">
        <v>39269</v>
      </c>
      <c r="Z189" s="17">
        <v>4377</v>
      </c>
      <c r="AA189" s="17">
        <v>5114</v>
      </c>
      <c r="AB189" s="17">
        <v>0</v>
      </c>
      <c r="AC189" s="17">
        <v>13798</v>
      </c>
      <c r="AD189" s="17">
        <v>0</v>
      </c>
      <c r="AE189" s="17">
        <v>3488</v>
      </c>
      <c r="AF189" s="17">
        <f t="shared" si="61"/>
        <v>2864297</v>
      </c>
      <c r="AG189" s="18">
        <f t="shared" si="62"/>
        <v>0.92715657725246403</v>
      </c>
      <c r="AH189" s="17">
        <f t="shared" si="63"/>
        <v>-225037.71462615114</v>
      </c>
      <c r="AI189" s="20">
        <f t="shared" si="64"/>
        <v>4.5669739513661156E-2</v>
      </c>
      <c r="AJ189" s="20">
        <f t="shared" si="65"/>
        <v>5.1724214114067121E-2</v>
      </c>
      <c r="AK189" s="21">
        <f t="shared" si="89"/>
        <v>7.2046267823093937E-2</v>
      </c>
      <c r="AL189" s="21">
        <f t="shared" si="67"/>
        <v>-0.24928178608762908</v>
      </c>
      <c r="AM189" s="55"/>
      <c r="AO189" s="38">
        <f t="shared" si="68"/>
        <v>46208</v>
      </c>
      <c r="AP189" s="17">
        <f t="shared" si="93"/>
        <v>2365590.5172413792</v>
      </c>
      <c r="AQ189" s="17">
        <f t="shared" si="90"/>
        <v>373608</v>
      </c>
      <c r="AR189" s="17">
        <f t="shared" si="69"/>
        <v>2292242</v>
      </c>
      <c r="AS189" s="17">
        <f t="shared" si="70"/>
        <v>572055</v>
      </c>
      <c r="AT189" s="18">
        <f t="shared" si="71"/>
        <v>-3.100643019439997E-2</v>
      </c>
      <c r="AU189" s="18">
        <f t="shared" si="72"/>
        <v>0.53116367957859567</v>
      </c>
      <c r="AV189" s="49">
        <f t="shared" si="73"/>
        <v>2375895.6201392901</v>
      </c>
      <c r="AW189" s="49">
        <f t="shared" si="74"/>
        <v>713439.09448686102</v>
      </c>
      <c r="AX189" s="39">
        <f t="shared" si="75"/>
        <v>0.9647907006392874</v>
      </c>
      <c r="AY189" s="39">
        <f t="shared" si="76"/>
        <v>0.80182738010936849</v>
      </c>
      <c r="AZ189" s="39">
        <f t="shared" si="77"/>
        <v>0.92715657725246403</v>
      </c>
      <c r="BA189" s="18">
        <v>2.2648860142440001E-2</v>
      </c>
      <c r="BB189" s="20">
        <v>1.99289846644739E-2</v>
      </c>
      <c r="BC189" s="17">
        <f t="shared" si="78"/>
        <v>-83653.620139290113</v>
      </c>
      <c r="BD189" s="17">
        <f t="shared" si="79"/>
        <v>-141384.09448686102</v>
      </c>
      <c r="BE189" s="17">
        <f t="shared" si="91"/>
        <v>-73348.517241379246</v>
      </c>
      <c r="BF189" s="17">
        <f t="shared" si="92"/>
        <v>198447</v>
      </c>
      <c r="BG189" s="27"/>
      <c r="BH189" s="55">
        <f>BH185/BH186-1</f>
        <v>-2.7442668193338404E-2</v>
      </c>
      <c r="BJ189" s="55">
        <f>BJ185/BJ186-1</f>
        <v>-8.4602684660110561E-2</v>
      </c>
    </row>
    <row r="190" spans="1:64" ht="14.25" hidden="1" customHeight="1" x14ac:dyDescent="0.35">
      <c r="A190" s="16">
        <v>45844</v>
      </c>
      <c r="B190" s="17">
        <f>+'BD MD'!B189</f>
        <v>52957760</v>
      </c>
      <c r="C190" s="17">
        <f t="shared" si="59"/>
        <v>2739198.5172413792</v>
      </c>
      <c r="D190" s="18">
        <f t="shared" si="88"/>
        <v>2.3772102132585415E-2</v>
      </c>
      <c r="E190" s="17">
        <v>28541400</v>
      </c>
      <c r="F190" s="19">
        <v>46209</v>
      </c>
      <c r="G190" s="17">
        <f t="shared" si="60"/>
        <v>3617125.0987107223</v>
      </c>
      <c r="H190" s="17">
        <v>3117787.2320695701</v>
      </c>
      <c r="I190" s="17">
        <v>499337.86664115201</v>
      </c>
      <c r="J190" s="17">
        <v>2223373</v>
      </c>
      <c r="K190" s="17">
        <v>3592240</v>
      </c>
      <c r="L190" s="17">
        <v>39215.517241379297</v>
      </c>
      <c r="M190" s="17">
        <v>37084</v>
      </c>
      <c r="N190" s="17">
        <v>24461</v>
      </c>
      <c r="O190" s="17">
        <v>13165</v>
      </c>
      <c r="P190" s="17">
        <v>3632</v>
      </c>
      <c r="Q190" s="17">
        <v>3678</v>
      </c>
      <c r="R190" s="17">
        <v>74909</v>
      </c>
      <c r="S190" s="17">
        <v>43263</v>
      </c>
      <c r="T190" s="17">
        <v>230319</v>
      </c>
      <c r="U190" s="17">
        <v>516899</v>
      </c>
      <c r="V190" s="17">
        <v>105857</v>
      </c>
      <c r="W190" s="17">
        <v>122255</v>
      </c>
      <c r="X190" s="17">
        <v>29115</v>
      </c>
      <c r="Y190" s="17">
        <v>22297</v>
      </c>
      <c r="Z190" s="17">
        <v>8317</v>
      </c>
      <c r="AA190" s="17">
        <v>3480</v>
      </c>
      <c r="AB190" s="17">
        <v>0</v>
      </c>
      <c r="AC190" s="17">
        <v>17060</v>
      </c>
      <c r="AD190" s="17">
        <v>0</v>
      </c>
      <c r="AE190" s="17">
        <v>3660</v>
      </c>
      <c r="AF190" s="17">
        <f t="shared" si="61"/>
        <v>4375081</v>
      </c>
      <c r="AG190" s="18">
        <f t="shared" si="62"/>
        <v>1.2095464991131883</v>
      </c>
      <c r="AH190" s="17">
        <f t="shared" si="63"/>
        <v>757955.90128927771</v>
      </c>
      <c r="AI190" s="20">
        <f t="shared" si="64"/>
        <v>-7.1951478491254495E-2</v>
      </c>
      <c r="AJ190" s="20">
        <f t="shared" si="65"/>
        <v>0.14815759976954479</v>
      </c>
      <c r="AK190" s="21">
        <f t="shared" si="89"/>
        <v>0.15328894167770327</v>
      </c>
      <c r="AL190" s="21">
        <f t="shared" si="67"/>
        <v>-0.1030178699680443</v>
      </c>
      <c r="AM190" s="55"/>
      <c r="AO190" s="38">
        <f t="shared" si="68"/>
        <v>46209</v>
      </c>
      <c r="AP190" s="17">
        <f t="shared" si="93"/>
        <v>3634203.4482758623</v>
      </c>
      <c r="AQ190" s="17">
        <f t="shared" si="90"/>
        <v>1080077</v>
      </c>
      <c r="AR190" s="17">
        <f t="shared" si="69"/>
        <v>3689430</v>
      </c>
      <c r="AS190" s="17">
        <f t="shared" si="70"/>
        <v>685651</v>
      </c>
      <c r="AT190" s="18">
        <f t="shared" si="71"/>
        <v>1.5196329129657959E-2</v>
      </c>
      <c r="AU190" s="18">
        <f t="shared" si="72"/>
        <v>-0.36518322304798634</v>
      </c>
      <c r="AV190" s="49">
        <f t="shared" si="73"/>
        <v>3117787.2320695701</v>
      </c>
      <c r="AW190" s="49">
        <f t="shared" si="74"/>
        <v>499337.86664115201</v>
      </c>
      <c r="AX190" s="39">
        <f t="shared" si="75"/>
        <v>1.1833488706511177</v>
      </c>
      <c r="AY190" s="39">
        <f t="shared" si="76"/>
        <v>1.3731203776154663</v>
      </c>
      <c r="AZ190" s="39">
        <f t="shared" si="77"/>
        <v>1.2095464991131883</v>
      </c>
      <c r="BA190" s="18">
        <v>1.5851995766385799E-2</v>
      </c>
      <c r="BB190" s="20">
        <v>2.6151962825439402E-2</v>
      </c>
      <c r="BC190" s="17">
        <f t="shared" si="78"/>
        <v>571642.76793042989</v>
      </c>
      <c r="BD190" s="17">
        <f t="shared" si="79"/>
        <v>186313.13335884799</v>
      </c>
      <c r="BE190" s="17">
        <f t="shared" si="91"/>
        <v>55226.551724137738</v>
      </c>
      <c r="BF190" s="17">
        <f t="shared" si="92"/>
        <v>-394426</v>
      </c>
      <c r="BG190" s="27"/>
      <c r="BH190" s="55" t="e">
        <f>BH186/BH187-1</f>
        <v>#DIV/0!</v>
      </c>
      <c r="BJ190" s="55" t="e">
        <f>BJ186/BJ187-1</f>
        <v>#DIV/0!</v>
      </c>
    </row>
    <row r="191" spans="1:64" ht="14.25" hidden="1" customHeight="1" x14ac:dyDescent="0.35">
      <c r="A191" s="19">
        <v>45845</v>
      </c>
      <c r="B191" s="17">
        <f>+'BD MD'!B190</f>
        <v>31819363</v>
      </c>
      <c r="C191" s="17">
        <f t="shared" si="59"/>
        <v>4714280.4482758623</v>
      </c>
      <c r="D191" s="18">
        <f t="shared" si="88"/>
        <v>4.0912827453969028E-2</v>
      </c>
      <c r="E191" s="17">
        <v>33738698</v>
      </c>
      <c r="F191" s="19">
        <v>46210</v>
      </c>
      <c r="G191" s="17">
        <f t="shared" si="60"/>
        <v>6201328.78786078</v>
      </c>
      <c r="H191" s="17">
        <v>4757774.7285575103</v>
      </c>
      <c r="I191" s="17">
        <v>1443554.05930327</v>
      </c>
      <c r="J191" s="17">
        <v>3448338</v>
      </c>
      <c r="K191" s="17">
        <v>3881350</v>
      </c>
      <c r="L191" s="17">
        <v>35553.448275862102</v>
      </c>
      <c r="M191" s="17">
        <v>42546</v>
      </c>
      <c r="N191" s="17">
        <v>63151</v>
      </c>
      <c r="O191" s="17">
        <v>27712</v>
      </c>
      <c r="P191" s="17">
        <v>5117</v>
      </c>
      <c r="Q191" s="17">
        <v>2534</v>
      </c>
      <c r="R191" s="17">
        <v>82044</v>
      </c>
      <c r="S191" s="17">
        <v>61051</v>
      </c>
      <c r="T191" s="17">
        <v>867493</v>
      </c>
      <c r="U191" s="17">
        <v>691715</v>
      </c>
      <c r="V191" s="17">
        <v>163273</v>
      </c>
      <c r="W191" s="17">
        <v>150430</v>
      </c>
      <c r="X191" s="17">
        <v>43008</v>
      </c>
      <c r="Y191" s="17">
        <v>17456</v>
      </c>
      <c r="Z191" s="17">
        <v>6303</v>
      </c>
      <c r="AA191" s="17">
        <v>2549</v>
      </c>
      <c r="AB191" s="17">
        <v>0</v>
      </c>
      <c r="AC191" s="17">
        <v>8033</v>
      </c>
      <c r="AD191" s="17">
        <v>0</v>
      </c>
      <c r="AE191" s="17">
        <v>6201</v>
      </c>
      <c r="AF191" s="17">
        <f t="shared" si="61"/>
        <v>4891577</v>
      </c>
      <c r="AG191" s="18">
        <f t="shared" si="62"/>
        <v>0.78879497722735747</v>
      </c>
      <c r="AH191" s="17">
        <f t="shared" si="63"/>
        <v>-1309751.78786078</v>
      </c>
      <c r="AI191" s="20">
        <f t="shared" si="64"/>
        <v>8.0214450263693893E-2</v>
      </c>
      <c r="AJ191" s="20">
        <f t="shared" si="65"/>
        <v>0.12444077750824965</v>
      </c>
      <c r="AK191" s="21">
        <f t="shared" si="89"/>
        <v>0.14498416625324428</v>
      </c>
      <c r="AL191" s="21">
        <f t="shared" si="67"/>
        <v>-7.2845473127983174E-2</v>
      </c>
      <c r="AM191" s="31"/>
      <c r="AO191" s="38">
        <f t="shared" si="68"/>
        <v>46210</v>
      </c>
      <c r="AP191" s="17">
        <f t="shared" si="93"/>
        <v>3685374.7931034481</v>
      </c>
      <c r="AQ191" s="17">
        <f t="shared" si="90"/>
        <v>842964</v>
      </c>
      <c r="AR191" s="17">
        <f t="shared" si="69"/>
        <v>4015193</v>
      </c>
      <c r="AS191" s="17">
        <f t="shared" si="70"/>
        <v>876384</v>
      </c>
      <c r="AT191" s="18">
        <f t="shared" si="71"/>
        <v>8.9493803320560561E-2</v>
      </c>
      <c r="AU191" s="18">
        <f t="shared" si="72"/>
        <v>3.9645821173857954E-2</v>
      </c>
      <c r="AV191" s="49">
        <f t="shared" si="73"/>
        <v>4757774.7285575103</v>
      </c>
      <c r="AW191" s="49">
        <f t="shared" si="74"/>
        <v>1443554.05930327</v>
      </c>
      <c r="AX191" s="39">
        <f t="shared" si="75"/>
        <v>0.84392246986804054</v>
      </c>
      <c r="AY191" s="39">
        <f t="shared" si="76"/>
        <v>0.6071016144854221</v>
      </c>
      <c r="AZ191" s="39">
        <f t="shared" si="77"/>
        <v>0.78879497722735747</v>
      </c>
      <c r="BA191" s="18">
        <v>4.5827112993754603E-2</v>
      </c>
      <c r="BB191" s="20">
        <v>3.9908158758626501E-2</v>
      </c>
      <c r="BC191" s="17">
        <f t="shared" si="78"/>
        <v>-742581.7285575103</v>
      </c>
      <c r="BD191" s="17">
        <f t="shared" si="79"/>
        <v>-567170.05930326995</v>
      </c>
      <c r="BE191" s="17">
        <f t="shared" si="91"/>
        <v>329818.20689655188</v>
      </c>
      <c r="BF191" s="17">
        <f t="shared" si="92"/>
        <v>33420</v>
      </c>
      <c r="BG191" s="27"/>
      <c r="BH191" s="7"/>
    </row>
    <row r="192" spans="1:64" ht="14.25" hidden="1" customHeight="1" x14ac:dyDescent="0.35">
      <c r="A192" s="16">
        <v>45846</v>
      </c>
      <c r="B192" s="17">
        <f>+'BD MD'!B191</f>
        <v>36389509</v>
      </c>
      <c r="C192" s="17">
        <f t="shared" si="59"/>
        <v>4528338.7931034481</v>
      </c>
      <c r="D192" s="18">
        <f t="shared" si="88"/>
        <v>3.9299134985300424E-2</v>
      </c>
      <c r="E192" s="17">
        <v>35555231</v>
      </c>
      <c r="F192" s="19">
        <v>46211</v>
      </c>
      <c r="G192" s="17">
        <f t="shared" si="60"/>
        <v>5954114.5623109192</v>
      </c>
      <c r="H192" s="17">
        <v>4827468.8657110296</v>
      </c>
      <c r="I192" s="17">
        <v>1126645.69659989</v>
      </c>
      <c r="J192" s="17">
        <v>3506249</v>
      </c>
      <c r="K192" s="17">
        <v>3404528</v>
      </c>
      <c r="L192" s="17">
        <v>38138.793103448297</v>
      </c>
      <c r="M192" s="17">
        <v>36707</v>
      </c>
      <c r="N192" s="17">
        <v>75946</v>
      </c>
      <c r="O192" s="17">
        <v>48817</v>
      </c>
      <c r="P192" s="17">
        <v>5502</v>
      </c>
      <c r="Q192" s="17">
        <v>4184</v>
      </c>
      <c r="R192" s="17">
        <v>59539</v>
      </c>
      <c r="S192" s="17">
        <v>89941</v>
      </c>
      <c r="T192" s="17">
        <v>634734</v>
      </c>
      <c r="U192" s="17">
        <v>628785</v>
      </c>
      <c r="V192" s="17">
        <v>168311</v>
      </c>
      <c r="W192" s="17">
        <v>147851</v>
      </c>
      <c r="X192" s="17">
        <v>34428</v>
      </c>
      <c r="Y192" s="17">
        <v>25750</v>
      </c>
      <c r="Z192" s="17">
        <v>5491</v>
      </c>
      <c r="AA192" s="17">
        <v>5197</v>
      </c>
      <c r="AB192" s="17">
        <v>0</v>
      </c>
      <c r="AC192" s="17">
        <v>8617</v>
      </c>
      <c r="AD192" s="17">
        <v>0</v>
      </c>
      <c r="AE192" s="17">
        <v>1205</v>
      </c>
      <c r="AF192" s="17">
        <f t="shared" si="61"/>
        <v>4401582</v>
      </c>
      <c r="AG192" s="18">
        <f t="shared" si="62"/>
        <v>0.73925047191091531</v>
      </c>
      <c r="AH192" s="17">
        <f t="shared" si="63"/>
        <v>-1552532.5623109192</v>
      </c>
      <c r="AI192" s="20">
        <f t="shared" si="64"/>
        <v>3.8776893441169191E-2</v>
      </c>
      <c r="AJ192" s="20">
        <f t="shared" si="65"/>
        <v>0.11059995096160855</v>
      </c>
      <c r="AK192" s="21">
        <f t="shared" si="89"/>
        <v>0.12379562377192824</v>
      </c>
      <c r="AL192" s="21">
        <f t="shared" si="67"/>
        <v>-7.1948830062784408E-2</v>
      </c>
      <c r="AM192" s="31"/>
      <c r="AO192" s="38">
        <f t="shared" si="68"/>
        <v>46211</v>
      </c>
      <c r="AP192" s="17">
        <f t="shared" si="93"/>
        <v>3483690.6896551722</v>
      </c>
      <c r="AQ192" s="17">
        <f t="shared" si="90"/>
        <v>753583</v>
      </c>
      <c r="AR192" s="17">
        <f t="shared" si="69"/>
        <v>3584177</v>
      </c>
      <c r="AS192" s="17">
        <f t="shared" si="70"/>
        <v>817405</v>
      </c>
      <c r="AT192" s="18">
        <f t="shared" si="71"/>
        <v>2.8844785400501394E-2</v>
      </c>
      <c r="AU192" s="18">
        <f t="shared" si="72"/>
        <v>8.4691400947208173E-2</v>
      </c>
      <c r="AV192" s="49">
        <f t="shared" si="73"/>
        <v>4827468.8657110296</v>
      </c>
      <c r="AW192" s="49">
        <f t="shared" si="74"/>
        <v>1126645.69659989</v>
      </c>
      <c r="AX192" s="39">
        <f t="shared" si="75"/>
        <v>0.74245471067830338</v>
      </c>
      <c r="AY192" s="39">
        <f t="shared" si="76"/>
        <v>0.72552090019679727</v>
      </c>
      <c r="AZ192" s="39">
        <f t="shared" si="77"/>
        <v>0.73925047191091531</v>
      </c>
      <c r="BA192" s="18">
        <v>3.5766530050790203E-2</v>
      </c>
      <c r="BB192" s="20">
        <v>4.0492752365670098E-2</v>
      </c>
      <c r="BC192" s="17">
        <f t="shared" si="78"/>
        <v>-1243291.8657110296</v>
      </c>
      <c r="BD192" s="17">
        <f t="shared" si="79"/>
        <v>-309240.69659989001</v>
      </c>
      <c r="BE192" s="17">
        <f t="shared" si="91"/>
        <v>100486.31034482783</v>
      </c>
      <c r="BF192" s="17">
        <f t="shared" si="92"/>
        <v>63822</v>
      </c>
      <c r="BG192" s="27"/>
      <c r="BH192" s="7"/>
    </row>
    <row r="193" spans="1:60" ht="14.25" hidden="1" customHeight="1" x14ac:dyDescent="0.35">
      <c r="A193" s="19">
        <v>45847</v>
      </c>
      <c r="B193" s="17">
        <f>+'BD MD'!B192</f>
        <v>38311714</v>
      </c>
      <c r="C193" s="17">
        <f t="shared" si="59"/>
        <v>4237273.6896551717</v>
      </c>
      <c r="D193" s="18">
        <f t="shared" si="88"/>
        <v>3.6773129906496477E-2</v>
      </c>
      <c r="E193" s="17">
        <v>39454207</v>
      </c>
      <c r="F193" s="19">
        <v>46212</v>
      </c>
      <c r="G193" s="17">
        <f t="shared" si="60"/>
        <v>5523727.9248078503</v>
      </c>
      <c r="H193" s="17">
        <v>4516542.5124049</v>
      </c>
      <c r="I193" s="17">
        <v>1007185.41240295</v>
      </c>
      <c r="J193" s="17">
        <v>3310758</v>
      </c>
      <c r="K193" s="17">
        <v>3166533</v>
      </c>
      <c r="L193" s="17">
        <v>33820.689655172398</v>
      </c>
      <c r="M193" s="17">
        <v>41275</v>
      </c>
      <c r="N193" s="17">
        <v>39814</v>
      </c>
      <c r="O193" s="17">
        <v>14603</v>
      </c>
      <c r="P193" s="17">
        <v>5684</v>
      </c>
      <c r="Q193" s="17">
        <v>4141</v>
      </c>
      <c r="R193" s="17">
        <v>93614</v>
      </c>
      <c r="S193" s="17">
        <v>38529</v>
      </c>
      <c r="T193" s="17">
        <v>580420</v>
      </c>
      <c r="U193" s="17">
        <v>318377</v>
      </c>
      <c r="V193" s="17">
        <v>132668</v>
      </c>
      <c r="W193" s="17">
        <v>87484</v>
      </c>
      <c r="X193" s="17">
        <v>37975</v>
      </c>
      <c r="Y193" s="17">
        <v>14199</v>
      </c>
      <c r="Z193" s="17">
        <v>2520</v>
      </c>
      <c r="AA193" s="17">
        <v>6363</v>
      </c>
      <c r="AB193" s="17">
        <v>0</v>
      </c>
      <c r="AC193" s="17">
        <v>6495</v>
      </c>
      <c r="AD193" s="17">
        <v>0</v>
      </c>
      <c r="AE193" s="17">
        <v>1248</v>
      </c>
      <c r="AF193" s="17">
        <f t="shared" si="61"/>
        <v>3699247</v>
      </c>
      <c r="AG193" s="18">
        <f t="shared" si="62"/>
        <v>0.66970116022299975</v>
      </c>
      <c r="AH193" s="17">
        <f t="shared" si="63"/>
        <v>-1824480.9248078503</v>
      </c>
      <c r="AI193" s="20">
        <f t="shared" si="64"/>
        <v>5.0264063012771754E-2</v>
      </c>
      <c r="AJ193" s="20">
        <f t="shared" si="65"/>
        <v>8.8934982877154095E-2</v>
      </c>
      <c r="AK193" s="21">
        <f t="shared" si="89"/>
        <v>9.3760520899583658E-2</v>
      </c>
      <c r="AL193" s="21">
        <f t="shared" si="67"/>
        <v>-3.7894887490336204E-3</v>
      </c>
      <c r="AM193" s="31"/>
      <c r="AO193" s="38">
        <f t="shared" si="68"/>
        <v>46212</v>
      </c>
      <c r="AP193" s="17">
        <f t="shared" si="93"/>
        <v>2780629.5862068967</v>
      </c>
      <c r="AQ193" s="17">
        <f t="shared" si="90"/>
        <v>741577</v>
      </c>
      <c r="AR193" s="17">
        <f t="shared" si="69"/>
        <v>3265081</v>
      </c>
      <c r="AS193" s="17">
        <f t="shared" si="70"/>
        <v>434166</v>
      </c>
      <c r="AT193" s="18">
        <f t="shared" si="71"/>
        <v>0.17422364208314112</v>
      </c>
      <c r="AU193" s="18">
        <f t="shared" si="72"/>
        <v>-0.41453685861346834</v>
      </c>
      <c r="AV193" s="49">
        <f t="shared" si="73"/>
        <v>4516542.5124049</v>
      </c>
      <c r="AW193" s="49">
        <f t="shared" si="74"/>
        <v>1007185.41240295</v>
      </c>
      <c r="AX193" s="39">
        <f t="shared" si="75"/>
        <v>0.72291603389811987</v>
      </c>
      <c r="AY193" s="39">
        <f t="shared" si="76"/>
        <v>0.43106859437545242</v>
      </c>
      <c r="AZ193" s="39">
        <f t="shared" si="77"/>
        <v>0.66970116022299975</v>
      </c>
      <c r="BA193" s="18">
        <v>3.1974140076283998E-2</v>
      </c>
      <c r="BB193" s="20">
        <v>3.7884705751881798E-2</v>
      </c>
      <c r="BC193" s="17">
        <f t="shared" si="78"/>
        <v>-1251461.5124049</v>
      </c>
      <c r="BD193" s="17">
        <f t="shared" si="79"/>
        <v>-573019.41240294999</v>
      </c>
      <c r="BE193" s="17">
        <f t="shared" si="91"/>
        <v>484451.4137931033</v>
      </c>
      <c r="BF193" s="17">
        <f t="shared" si="92"/>
        <v>-307411</v>
      </c>
      <c r="BG193" s="27"/>
      <c r="BH193" s="7"/>
    </row>
    <row r="194" spans="1:60" ht="14.25" hidden="1" customHeight="1" x14ac:dyDescent="0.35">
      <c r="A194" s="16">
        <v>45848</v>
      </c>
      <c r="B194" s="17">
        <f>+'BD MD'!B193</f>
        <v>39604287</v>
      </c>
      <c r="C194" s="17">
        <f t="shared" si="59"/>
        <v>3522206.5862068967</v>
      </c>
      <c r="D194" s="18">
        <f t="shared" si="88"/>
        <v>3.0567428454838425E-2</v>
      </c>
      <c r="E194" s="17">
        <v>35709440</v>
      </c>
      <c r="F194" s="19">
        <v>46213</v>
      </c>
      <c r="G194" s="17">
        <f t="shared" si="60"/>
        <v>4596175.445665908</v>
      </c>
      <c r="H194" s="17">
        <v>3605036.3985091401</v>
      </c>
      <c r="I194" s="17">
        <v>991139.04715676804</v>
      </c>
      <c r="J194" s="17">
        <v>2584721</v>
      </c>
      <c r="K194" s="17">
        <v>2597860</v>
      </c>
      <c r="L194" s="17">
        <v>34077.5862068965</v>
      </c>
      <c r="M194" s="17">
        <v>41411</v>
      </c>
      <c r="N194" s="17">
        <v>28434</v>
      </c>
      <c r="O194" s="17">
        <v>28875</v>
      </c>
      <c r="P194" s="17">
        <v>4376</v>
      </c>
      <c r="Q194" s="17">
        <v>5451</v>
      </c>
      <c r="R194" s="17">
        <v>129021</v>
      </c>
      <c r="S194" s="17">
        <v>161497</v>
      </c>
      <c r="T194" s="17">
        <v>532963</v>
      </c>
      <c r="U194" s="17">
        <v>363067</v>
      </c>
      <c r="V194" s="17">
        <v>167845</v>
      </c>
      <c r="W194" s="17">
        <v>95870</v>
      </c>
      <c r="X194" s="17">
        <v>35189</v>
      </c>
      <c r="Y194" s="17">
        <v>14517</v>
      </c>
      <c r="Z194" s="17">
        <v>5580</v>
      </c>
      <c r="AA194" s="17">
        <v>6109</v>
      </c>
      <c r="AB194" s="17">
        <v>0</v>
      </c>
      <c r="AC194" s="17">
        <v>5021</v>
      </c>
      <c r="AD194" s="17">
        <v>0</v>
      </c>
      <c r="AE194" s="17">
        <v>2326</v>
      </c>
      <c r="AF194" s="17">
        <f t="shared" si="61"/>
        <v>3322004</v>
      </c>
      <c r="AG194" s="18">
        <f t="shared" si="62"/>
        <v>0.72277571630399284</v>
      </c>
      <c r="AH194" s="17">
        <f t="shared" si="63"/>
        <v>-1274171.445665908</v>
      </c>
      <c r="AI194" s="20">
        <f t="shared" si="64"/>
        <v>0.18727107628227802</v>
      </c>
      <c r="AJ194" s="20">
        <f t="shared" si="65"/>
        <v>7.0731738749229098E-2</v>
      </c>
      <c r="AK194" s="21">
        <f t="shared" si="89"/>
        <v>9.3028734138647928E-2</v>
      </c>
      <c r="AL194" s="21">
        <f t="shared" si="67"/>
        <v>-9.7292375633579953E-2</v>
      </c>
      <c r="AM194" s="31"/>
      <c r="AO194" s="38">
        <f t="shared" si="68"/>
        <v>46213</v>
      </c>
      <c r="AP194" s="17">
        <f t="shared" si="93"/>
        <v>2091674.448275862</v>
      </c>
      <c r="AQ194" s="17">
        <f t="shared" si="90"/>
        <v>706342</v>
      </c>
      <c r="AR194" s="17">
        <f t="shared" si="69"/>
        <v>2835094</v>
      </c>
      <c r="AS194" s="17">
        <f t="shared" si="70"/>
        <v>486910</v>
      </c>
      <c r="AT194" s="18">
        <f t="shared" si="71"/>
        <v>0.3554183837436693</v>
      </c>
      <c r="AU194" s="18">
        <f t="shared" si="72"/>
        <v>-0.31065970875298365</v>
      </c>
      <c r="AV194" s="49">
        <f t="shared" si="73"/>
        <v>3605036.3985091401</v>
      </c>
      <c r="AW194" s="49">
        <f t="shared" si="74"/>
        <v>991139.04715676804</v>
      </c>
      <c r="AX194" s="39">
        <f t="shared" si="75"/>
        <v>0.78642590160045289</v>
      </c>
      <c r="AY194" s="39">
        <f t="shared" si="76"/>
        <v>0.49126305879762766</v>
      </c>
      <c r="AZ194" s="39">
        <f t="shared" si="77"/>
        <v>0.72277571630399284</v>
      </c>
      <c r="BA194" s="18">
        <v>3.1464731655770399E-2</v>
      </c>
      <c r="BB194" s="20">
        <v>3.0239003132867801E-2</v>
      </c>
      <c r="BC194" s="17">
        <f t="shared" si="78"/>
        <v>-769942.39850914013</v>
      </c>
      <c r="BD194" s="17">
        <f t="shared" si="79"/>
        <v>-504229.04715676804</v>
      </c>
      <c r="BE194" s="17">
        <f t="shared" si="91"/>
        <v>743419.55172413797</v>
      </c>
      <c r="BF194" s="17">
        <f t="shared" si="92"/>
        <v>-219432</v>
      </c>
      <c r="BG194" s="27"/>
      <c r="BH194" s="7"/>
    </row>
    <row r="195" spans="1:60" ht="14.25" hidden="1" customHeight="1" x14ac:dyDescent="0.35">
      <c r="A195" s="19">
        <v>45849</v>
      </c>
      <c r="B195" s="17">
        <f>+'BD MD'!B194</f>
        <v>39558146</v>
      </c>
      <c r="C195" s="17">
        <f t="shared" si="59"/>
        <v>2798016.4482758623</v>
      </c>
      <c r="D195" s="18">
        <f t="shared" si="88"/>
        <v>2.4282552855663067E-2</v>
      </c>
      <c r="E195" s="17">
        <v>47590736</v>
      </c>
      <c r="F195" s="19">
        <v>46214</v>
      </c>
      <c r="G195" s="17">
        <f t="shared" si="60"/>
        <v>3655864.8694691798</v>
      </c>
      <c r="H195" s="17">
        <v>2711818.4159696698</v>
      </c>
      <c r="I195" s="17">
        <v>944046.45349950995</v>
      </c>
      <c r="J195" s="17">
        <v>1939583</v>
      </c>
      <c r="K195" s="17">
        <v>1964012</v>
      </c>
      <c r="L195" s="17">
        <v>35028.448275862102</v>
      </c>
      <c r="M195" s="17">
        <v>40374</v>
      </c>
      <c r="N195" s="17">
        <v>26271</v>
      </c>
      <c r="O195" s="17">
        <v>270</v>
      </c>
      <c r="P195" s="17">
        <v>5444</v>
      </c>
      <c r="Q195" s="17">
        <v>-18</v>
      </c>
      <c r="R195" s="17">
        <v>85348</v>
      </c>
      <c r="S195" s="17">
        <v>105814</v>
      </c>
      <c r="T195" s="17">
        <v>527863</v>
      </c>
      <c r="U195" s="17">
        <v>233528</v>
      </c>
      <c r="V195" s="17">
        <v>153400</v>
      </c>
      <c r="W195" s="17">
        <v>72542</v>
      </c>
      <c r="X195" s="17">
        <v>20782</v>
      </c>
      <c r="Y195" s="17">
        <v>18682</v>
      </c>
      <c r="Z195" s="17">
        <v>4297</v>
      </c>
      <c r="AA195" s="17">
        <v>9069</v>
      </c>
      <c r="AB195" s="17">
        <v>0</v>
      </c>
      <c r="AC195" s="17">
        <v>7197</v>
      </c>
      <c r="AD195" s="17">
        <v>0</v>
      </c>
      <c r="AE195" s="17">
        <v>0</v>
      </c>
      <c r="AF195" s="17">
        <f t="shared" si="61"/>
        <v>2451470</v>
      </c>
      <c r="AG195" s="18">
        <f t="shared" si="62"/>
        <v>0.67055815450748479</v>
      </c>
      <c r="AH195" s="17">
        <f t="shared" si="63"/>
        <v>-1204394.8694691798</v>
      </c>
      <c r="AI195" s="20">
        <f t="shared" si="64"/>
        <v>-6.0509661459535624E-2</v>
      </c>
      <c r="AJ195" s="20">
        <f t="shared" si="65"/>
        <v>5.1281934302046236E-2</v>
      </c>
      <c r="AK195" s="21">
        <f t="shared" si="89"/>
        <v>5.151149585078911E-2</v>
      </c>
      <c r="AL195" s="21">
        <f t="shared" si="67"/>
        <v>-6.4696510503272187E-2</v>
      </c>
      <c r="AM195" s="31"/>
      <c r="AO195" s="56">
        <f t="shared" si="68"/>
        <v>46214</v>
      </c>
      <c r="AP195" s="17">
        <f t="shared" si="93"/>
        <v>1965471.5862068965</v>
      </c>
      <c r="AQ195" s="17">
        <f t="shared" si="90"/>
        <v>643890</v>
      </c>
      <c r="AR195" s="17">
        <f t="shared" si="69"/>
        <v>2110452</v>
      </c>
      <c r="AS195" s="17">
        <f t="shared" si="70"/>
        <v>341018</v>
      </c>
      <c r="AT195" s="18">
        <f t="shared" si="71"/>
        <v>7.3763678300176716E-2</v>
      </c>
      <c r="AU195" s="18">
        <f t="shared" si="72"/>
        <v>-0.47037848079640932</v>
      </c>
      <c r="AV195" s="49">
        <f t="shared" si="73"/>
        <v>2711818.4159696698</v>
      </c>
      <c r="AW195" s="49">
        <f t="shared" si="74"/>
        <v>944046.45349950995</v>
      </c>
      <c r="AX195" s="39">
        <f t="shared" si="75"/>
        <v>0.77824237329893708</v>
      </c>
      <c r="AY195" s="39">
        <f t="shared" si="76"/>
        <v>0.36123010550579543</v>
      </c>
      <c r="AZ195" s="39">
        <f t="shared" si="77"/>
        <v>0.67055815450748479</v>
      </c>
      <c r="BA195" s="18">
        <v>2.9969728682524101E-2</v>
      </c>
      <c r="BB195" s="20">
        <v>2.2746701145704901E-2</v>
      </c>
      <c r="BC195" s="17">
        <f t="shared" si="78"/>
        <v>-601366.41596966982</v>
      </c>
      <c r="BD195" s="17">
        <f t="shared" si="79"/>
        <v>-603028.45349950995</v>
      </c>
      <c r="BE195" s="17">
        <f t="shared" si="91"/>
        <v>144980.41379310354</v>
      </c>
      <c r="BF195" s="17">
        <f t="shared" si="92"/>
        <v>-302872</v>
      </c>
      <c r="BG195" s="27"/>
      <c r="BH195" s="7"/>
    </row>
    <row r="196" spans="1:60" ht="14.25" hidden="1" customHeight="1" x14ac:dyDescent="0.35">
      <c r="A196" s="16">
        <v>45850</v>
      </c>
      <c r="B196" s="17">
        <f>+'BD MD'!B195</f>
        <v>50882667</v>
      </c>
      <c r="C196" s="17">
        <f t="shared" ref="C196:C259" si="94">+J196+L196+N196+P196+R196+T196+V196+X196+Z196+AB196+AD196</f>
        <v>2609361.5862068962</v>
      </c>
      <c r="D196" s="18">
        <f t="shared" si="88"/>
        <v>2.2645313852836503E-2</v>
      </c>
      <c r="E196" s="17">
        <v>39283967</v>
      </c>
      <c r="F196" s="19">
        <v>46215</v>
      </c>
      <c r="G196" s="17">
        <f t="shared" ref="G196:G259" si="95">+H196+I196</f>
        <v>3408776.2226847699</v>
      </c>
      <c r="H196" s="17">
        <v>2548198.6682652398</v>
      </c>
      <c r="I196" s="17">
        <v>860577.55441952997</v>
      </c>
      <c r="J196" s="17">
        <v>1839299</v>
      </c>
      <c r="K196" s="17">
        <v>20069</v>
      </c>
      <c r="L196" s="17">
        <v>37977.5862068965</v>
      </c>
      <c r="M196" s="17">
        <v>1278</v>
      </c>
      <c r="N196" s="17">
        <v>10430</v>
      </c>
      <c r="O196" s="17">
        <v>0</v>
      </c>
      <c r="P196" s="17">
        <v>6547</v>
      </c>
      <c r="Q196" s="17">
        <v>0</v>
      </c>
      <c r="R196" s="17">
        <v>71218</v>
      </c>
      <c r="S196" s="17">
        <v>33609</v>
      </c>
      <c r="T196" s="17">
        <v>483286</v>
      </c>
      <c r="U196" s="17">
        <v>38750</v>
      </c>
      <c r="V196" s="17">
        <v>135225</v>
      </c>
      <c r="W196" s="17">
        <v>6662</v>
      </c>
      <c r="X196" s="17">
        <v>12782</v>
      </c>
      <c r="Y196" s="17">
        <v>1861</v>
      </c>
      <c r="Z196" s="17">
        <v>12597</v>
      </c>
      <c r="AA196" s="17">
        <v>794</v>
      </c>
      <c r="AB196" s="17">
        <v>0</v>
      </c>
      <c r="AC196" s="17">
        <v>1636</v>
      </c>
      <c r="AD196" s="17">
        <v>0</v>
      </c>
      <c r="AE196" s="17">
        <v>861</v>
      </c>
      <c r="AF196" s="17">
        <f t="shared" ref="AF196:AF259" si="96">+AE196+AC196+AA196+Y196+W196+U196+S196+Q196+O196+M196+K196</f>
        <v>105520</v>
      </c>
      <c r="AG196" s="18">
        <f t="shared" ref="AG196:AG259" si="97">+AF196/G196</f>
        <v>3.0955390763929905E-2</v>
      </c>
      <c r="AH196" s="17">
        <f t="shared" ref="AH196:AH259" si="98">+AF196-G196</f>
        <v>-3303256.2226847699</v>
      </c>
      <c r="AI196" s="20">
        <f t="shared" ref="AI196:AI259" si="99">+AF196/C197-1</f>
        <v>-0.95999971817531693</v>
      </c>
      <c r="AJ196" s="20">
        <f t="shared" ref="AJ196:AJ259" si="100">+C197/B197</f>
        <v>4.9432865625291804E-2</v>
      </c>
      <c r="AK196" s="21">
        <f t="shared" si="89"/>
        <v>2.6860831035725083E-3</v>
      </c>
      <c r="AL196" s="21">
        <f t="shared" ref="AL196:AL259" si="101">+E196/B197-1</f>
        <v>-0.26386173466357021</v>
      </c>
      <c r="AM196" s="31"/>
      <c r="AO196" s="56">
        <f t="shared" ref="AO196:AO259" si="102">+F196</f>
        <v>46215</v>
      </c>
      <c r="AP196" s="17">
        <f t="shared" si="93"/>
        <v>2000144.4137931033</v>
      </c>
      <c r="AQ196" s="17">
        <f t="shared" si="90"/>
        <v>637837</v>
      </c>
      <c r="AR196" s="17">
        <f t="shared" ref="AR196:AR259" si="103">+K196+M196+O196+Q196+S196</f>
        <v>54956</v>
      </c>
      <c r="AS196" s="17">
        <f t="shared" ref="AS196:AS259" si="104">+U196+W196+Y196+AA196+AC196+AE196</f>
        <v>50564</v>
      </c>
      <c r="AT196" s="18">
        <f t="shared" ref="AT196:AT259" si="105">+AR196/AP196-1</f>
        <v>-0.972523983957848</v>
      </c>
      <c r="AU196" s="18">
        <f t="shared" ref="AU196:AU259" si="106">+AS196/AQ196-1</f>
        <v>-0.92072582807206227</v>
      </c>
      <c r="AV196" s="49">
        <f t="shared" ref="AV196:AV259" si="107">+H196</f>
        <v>2548198.6682652398</v>
      </c>
      <c r="AW196" s="49">
        <f t="shared" ref="AW196:AW259" si="108">+I196</f>
        <v>860577.55441952997</v>
      </c>
      <c r="AX196" s="39">
        <f t="shared" ref="AX196:AX259" si="109">+AR196/AV196</f>
        <v>2.1566607299662744E-2</v>
      </c>
      <c r="AY196" s="39">
        <f t="shared" ref="AY196:AY259" si="110">+AS196/AW196</f>
        <v>5.8755889855977052E-2</v>
      </c>
      <c r="AZ196" s="39">
        <f t="shared" ref="AZ196:AZ259" si="111">+(AR196+AS196)/(AV196+AW196)</f>
        <v>3.0955390763929905E-2</v>
      </c>
      <c r="BA196" s="18">
        <v>2.7319922362524798E-2</v>
      </c>
      <c r="BB196" s="20">
        <v>2.1374260616261301E-2</v>
      </c>
      <c r="BC196" s="17">
        <f t="shared" ref="BC196:BC214" si="112">+AR196-AV196</f>
        <v>-2493242.6682652398</v>
      </c>
      <c r="BD196" s="17">
        <f t="shared" ref="BD196:BD214" si="113">+AS196-AW196</f>
        <v>-810013.55441952997</v>
      </c>
      <c r="BE196" s="17">
        <f t="shared" si="91"/>
        <v>-1945188.4137931033</v>
      </c>
      <c r="BF196" s="17">
        <f t="shared" si="92"/>
        <v>-587273</v>
      </c>
      <c r="BG196" s="27"/>
      <c r="BH196" s="7"/>
    </row>
    <row r="197" spans="1:60" ht="14.25" hidden="1" customHeight="1" x14ac:dyDescent="0.35">
      <c r="A197" s="19">
        <v>45851</v>
      </c>
      <c r="B197" s="17">
        <f>+'BD MD'!B196</f>
        <v>53364930</v>
      </c>
      <c r="C197" s="17">
        <f t="shared" si="94"/>
        <v>2637981.4137931033</v>
      </c>
      <c r="D197" s="18">
        <f t="shared" si="88"/>
        <v>2.289369069011717E-2</v>
      </c>
      <c r="E197" s="17">
        <v>21016462</v>
      </c>
      <c r="F197" s="19">
        <v>46216</v>
      </c>
      <c r="G197" s="17">
        <f t="shared" si="95"/>
        <v>3445638.9128600401</v>
      </c>
      <c r="H197" s="17">
        <v>2593151.3675055699</v>
      </c>
      <c r="I197" s="17">
        <v>852487.54535447003</v>
      </c>
      <c r="J197" s="17">
        <v>1908062</v>
      </c>
      <c r="K197" s="17">
        <v>-4439</v>
      </c>
      <c r="L197" s="17">
        <v>38972.413793103398</v>
      </c>
      <c r="M197" s="17">
        <v>0</v>
      </c>
      <c r="N197" s="17">
        <v>978</v>
      </c>
      <c r="O197" s="17">
        <v>0</v>
      </c>
      <c r="P197" s="17">
        <v>654</v>
      </c>
      <c r="Q197" s="17">
        <v>0</v>
      </c>
      <c r="R197" s="17">
        <v>51478</v>
      </c>
      <c r="S197" s="17">
        <v>-9316</v>
      </c>
      <c r="T197" s="17">
        <v>452704</v>
      </c>
      <c r="U197" s="17">
        <v>0</v>
      </c>
      <c r="V197" s="17">
        <v>140269</v>
      </c>
      <c r="W197" s="17">
        <v>154243</v>
      </c>
      <c r="X197" s="17">
        <v>31653</v>
      </c>
      <c r="Y197" s="17">
        <v>0</v>
      </c>
      <c r="Z197" s="17">
        <v>13211</v>
      </c>
      <c r="AA197" s="17">
        <v>21040</v>
      </c>
      <c r="AB197" s="17">
        <v>0</v>
      </c>
      <c r="AC197" s="17">
        <v>0</v>
      </c>
      <c r="AD197" s="17">
        <v>0</v>
      </c>
      <c r="AE197" s="17">
        <v>0</v>
      </c>
      <c r="AF197" s="17">
        <f t="shared" si="96"/>
        <v>161528</v>
      </c>
      <c r="AG197" s="18">
        <f t="shared" si="97"/>
        <v>4.6878969063512306E-2</v>
      </c>
      <c r="AH197" s="17">
        <f t="shared" si="98"/>
        <v>-3284110.9128600401</v>
      </c>
      <c r="AI197" s="20">
        <f t="shared" si="99"/>
        <v>-0.9581349587017346</v>
      </c>
      <c r="AJ197" s="20">
        <f t="shared" si="100"/>
        <v>0.1241515058294153</v>
      </c>
      <c r="AK197" s="21">
        <f t="shared" si="89"/>
        <v>7.6857846006620906E-3</v>
      </c>
      <c r="AL197" s="21">
        <f t="shared" si="101"/>
        <v>-0.32373749866180779</v>
      </c>
      <c r="AM197" s="31"/>
      <c r="AO197" s="56">
        <f t="shared" si="102"/>
        <v>46216</v>
      </c>
      <c r="AP197" s="17">
        <f t="shared" si="93"/>
        <v>3003408.6551724137</v>
      </c>
      <c r="AQ197" s="17">
        <f t="shared" si="90"/>
        <v>854894</v>
      </c>
      <c r="AR197" s="17">
        <f t="shared" si="103"/>
        <v>-13755</v>
      </c>
      <c r="AS197" s="17">
        <f t="shared" si="104"/>
        <v>175283</v>
      </c>
      <c r="AT197" s="18">
        <f t="shared" si="105"/>
        <v>-1.0045797963511596</v>
      </c>
      <c r="AU197" s="18">
        <f t="shared" si="106"/>
        <v>-0.79496522375873502</v>
      </c>
      <c r="AV197" s="49">
        <f t="shared" si="107"/>
        <v>2593151.3675055699</v>
      </c>
      <c r="AW197" s="49">
        <f t="shared" si="108"/>
        <v>852487.54535447003</v>
      </c>
      <c r="AX197" s="39">
        <f t="shared" si="109"/>
        <v>-5.3043567654252853E-3</v>
      </c>
      <c r="AY197" s="39">
        <f t="shared" si="110"/>
        <v>0.20561356110735454</v>
      </c>
      <c r="AZ197" s="39">
        <f t="shared" si="111"/>
        <v>4.6878969063512306E-2</v>
      </c>
      <c r="BA197" s="18">
        <v>2.7063096677919701E-2</v>
      </c>
      <c r="BB197" s="20">
        <v>2.1751323331556199E-2</v>
      </c>
      <c r="BC197" s="17">
        <f t="shared" si="112"/>
        <v>-2606906.3675055699</v>
      </c>
      <c r="BD197" s="17">
        <f t="shared" si="113"/>
        <v>-677204.54535447003</v>
      </c>
      <c r="BE197" s="17">
        <f t="shared" si="91"/>
        <v>-3017163.6551724137</v>
      </c>
      <c r="BF197" s="17">
        <f t="shared" si="92"/>
        <v>-679611</v>
      </c>
      <c r="BG197" s="27"/>
      <c r="BH197" s="7"/>
    </row>
    <row r="198" spans="1:60" ht="14.25" hidden="1" customHeight="1" x14ac:dyDescent="0.35">
      <c r="A198" s="16">
        <v>45852</v>
      </c>
      <c r="B198" s="17">
        <f>+'BD MD'!B197</f>
        <v>31077373</v>
      </c>
      <c r="C198" s="17">
        <f t="shared" si="94"/>
        <v>3858302.6551724137</v>
      </c>
      <c r="D198" s="18">
        <f t="shared" si="88"/>
        <v>3.3484234238544491E-2</v>
      </c>
      <c r="E198" s="17">
        <v>21232389</v>
      </c>
      <c r="F198" s="19">
        <v>46217</v>
      </c>
      <c r="G198" s="17">
        <f t="shared" si="95"/>
        <v>5036455.9523825301</v>
      </c>
      <c r="H198" s="17">
        <v>3893865.4667282598</v>
      </c>
      <c r="I198" s="17">
        <v>1142590.48565427</v>
      </c>
      <c r="J198" s="17">
        <v>2840112</v>
      </c>
      <c r="K198" s="17">
        <v>0</v>
      </c>
      <c r="L198" s="17">
        <v>38589.655172413797</v>
      </c>
      <c r="M198" s="17">
        <v>0</v>
      </c>
      <c r="N198" s="17">
        <v>41758</v>
      </c>
      <c r="O198" s="17">
        <v>0</v>
      </c>
      <c r="P198" s="17">
        <v>3383</v>
      </c>
      <c r="Q198" s="17">
        <v>0</v>
      </c>
      <c r="R198" s="17">
        <v>79566</v>
      </c>
      <c r="S198" s="17">
        <v>284</v>
      </c>
      <c r="T198" s="17">
        <v>679280</v>
      </c>
      <c r="U198" s="17">
        <v>0</v>
      </c>
      <c r="V198" s="17">
        <v>124738</v>
      </c>
      <c r="W198" s="17">
        <v>70218</v>
      </c>
      <c r="X198" s="17">
        <v>35820</v>
      </c>
      <c r="Y198" s="17">
        <v>0</v>
      </c>
      <c r="Z198" s="17">
        <v>15056</v>
      </c>
      <c r="AA198" s="17">
        <v>7454</v>
      </c>
      <c r="AB198" s="17">
        <v>0</v>
      </c>
      <c r="AC198" s="17">
        <v>0</v>
      </c>
      <c r="AD198" s="17">
        <v>0</v>
      </c>
      <c r="AE198" s="17">
        <v>0</v>
      </c>
      <c r="AF198" s="17">
        <f t="shared" si="96"/>
        <v>77956</v>
      </c>
      <c r="AG198" s="18">
        <f t="shared" si="97"/>
        <v>1.5478344442409425E-2</v>
      </c>
      <c r="AH198" s="17">
        <f t="shared" si="98"/>
        <v>-4958499.9523825301</v>
      </c>
      <c r="AI198" s="20">
        <f t="shared" si="99"/>
        <v>-0.98111132807560353</v>
      </c>
      <c r="AJ198" s="20">
        <f t="shared" si="100"/>
        <v>0.12572486800585456</v>
      </c>
      <c r="AK198" s="21">
        <f t="shared" si="89"/>
        <v>3.6715604635917326E-3</v>
      </c>
      <c r="AL198" s="21">
        <f t="shared" si="101"/>
        <v>-0.35319714654038403</v>
      </c>
      <c r="AM198" s="31"/>
      <c r="AO198" s="56">
        <f t="shared" si="102"/>
        <v>46217</v>
      </c>
      <c r="AP198" s="17">
        <f t="shared" si="93"/>
        <v>3196033.7586206896</v>
      </c>
      <c r="AQ198" s="17">
        <f t="shared" si="90"/>
        <v>931096</v>
      </c>
      <c r="AR198" s="17">
        <f t="shared" si="103"/>
        <v>284</v>
      </c>
      <c r="AS198" s="17">
        <f t="shared" si="104"/>
        <v>77672</v>
      </c>
      <c r="AT198" s="18">
        <f t="shared" si="105"/>
        <v>-0.99991113986226399</v>
      </c>
      <c r="AU198" s="18">
        <f t="shared" si="106"/>
        <v>-0.91658003041576808</v>
      </c>
      <c r="AV198" s="49">
        <f t="shared" si="107"/>
        <v>3893865.4667282598</v>
      </c>
      <c r="AW198" s="49">
        <f t="shared" si="108"/>
        <v>1142590.48565427</v>
      </c>
      <c r="AX198" s="39">
        <f t="shared" si="109"/>
        <v>7.2935236830004086E-5</v>
      </c>
      <c r="AY198" s="39">
        <f t="shared" si="110"/>
        <v>6.7978861171352628E-2</v>
      </c>
      <c r="AZ198" s="39">
        <f t="shared" si="111"/>
        <v>1.5478344442409425E-2</v>
      </c>
      <c r="BA198" s="18">
        <v>3.6272713830294401E-2</v>
      </c>
      <c r="BB198" s="20">
        <v>3.2661697977877699E-2</v>
      </c>
      <c r="BC198" s="17">
        <f t="shared" si="112"/>
        <v>-3893581.4667282598</v>
      </c>
      <c r="BD198" s="17">
        <f t="shared" si="113"/>
        <v>-1064918.48565427</v>
      </c>
      <c r="BE198" s="17">
        <f t="shared" si="91"/>
        <v>-3195749.7586206896</v>
      </c>
      <c r="BF198" s="17">
        <f t="shared" si="92"/>
        <v>-853424</v>
      </c>
      <c r="BG198" s="27"/>
      <c r="BH198" s="7"/>
    </row>
    <row r="199" spans="1:60" ht="14.25" hidden="1" customHeight="1" x14ac:dyDescent="0.35">
      <c r="A199" s="19">
        <v>45853</v>
      </c>
      <c r="B199" s="17">
        <f>+'BD MD'!B198</f>
        <v>32826678</v>
      </c>
      <c r="C199" s="17">
        <f t="shared" si="94"/>
        <v>4127129.7586206896</v>
      </c>
      <c r="D199" s="18">
        <f t="shared" si="88"/>
        <v>3.5817247095756254E-2</v>
      </c>
      <c r="E199" s="17">
        <v>19955592</v>
      </c>
      <c r="F199" s="19">
        <v>46218</v>
      </c>
      <c r="G199" s="17">
        <f t="shared" si="95"/>
        <v>5388037.1156272702</v>
      </c>
      <c r="H199" s="17">
        <v>4143600.4593508798</v>
      </c>
      <c r="I199" s="17">
        <v>1244436.65627639</v>
      </c>
      <c r="J199" s="17">
        <v>3030753</v>
      </c>
      <c r="K199" s="17">
        <v>0</v>
      </c>
      <c r="L199" s="17">
        <v>41557.758620689601</v>
      </c>
      <c r="M199" s="17">
        <v>0</v>
      </c>
      <c r="N199" s="17">
        <v>41277</v>
      </c>
      <c r="O199" s="17">
        <v>0</v>
      </c>
      <c r="P199" s="17">
        <v>10445</v>
      </c>
      <c r="Q199" s="17">
        <v>0</v>
      </c>
      <c r="R199" s="17">
        <v>72001</v>
      </c>
      <c r="S199" s="17">
        <v>-2878</v>
      </c>
      <c r="T199" s="17">
        <v>731523</v>
      </c>
      <c r="U199" s="17">
        <v>821406</v>
      </c>
      <c r="V199" s="17">
        <v>137392</v>
      </c>
      <c r="W199" s="17">
        <v>136915</v>
      </c>
      <c r="X199" s="17">
        <v>41913</v>
      </c>
      <c r="Y199" s="17">
        <v>83688</v>
      </c>
      <c r="Z199" s="17">
        <v>20268</v>
      </c>
      <c r="AA199" s="17">
        <v>11645</v>
      </c>
      <c r="AB199" s="17">
        <v>0</v>
      </c>
      <c r="AC199" s="17">
        <v>11673</v>
      </c>
      <c r="AD199" s="17">
        <v>0</v>
      </c>
      <c r="AE199" s="17">
        <v>8697</v>
      </c>
      <c r="AF199" s="17">
        <f t="shared" si="96"/>
        <v>1071146</v>
      </c>
      <c r="AG199" s="18">
        <f t="shared" si="97"/>
        <v>0.19880078347888258</v>
      </c>
      <c r="AH199" s="17">
        <f t="shared" si="98"/>
        <v>-4316891.1156272702</v>
      </c>
      <c r="AI199" s="20">
        <f t="shared" si="99"/>
        <v>-0.74322958392164917</v>
      </c>
      <c r="AJ199" s="20">
        <f t="shared" si="100"/>
        <v>0.13400352913466343</v>
      </c>
      <c r="AK199" s="21">
        <f t="shared" si="89"/>
        <v>5.3676483263438136E-2</v>
      </c>
      <c r="AL199" s="21">
        <f t="shared" si="101"/>
        <v>-0.35897175373797041</v>
      </c>
      <c r="AM199" s="31"/>
      <c r="AO199" s="56">
        <f t="shared" si="102"/>
        <v>46218</v>
      </c>
      <c r="AP199" s="17">
        <f t="shared" si="93"/>
        <v>3190154.8620689656</v>
      </c>
      <c r="AQ199" s="17">
        <f t="shared" si="90"/>
        <v>981455</v>
      </c>
      <c r="AR199" s="17">
        <f t="shared" si="103"/>
        <v>-2878</v>
      </c>
      <c r="AS199" s="17">
        <f t="shared" si="104"/>
        <v>1074024</v>
      </c>
      <c r="AT199" s="18">
        <f t="shared" si="105"/>
        <v>-1.0009021505614726</v>
      </c>
      <c r="AU199" s="18">
        <f t="shared" si="106"/>
        <v>9.4318129715575294E-2</v>
      </c>
      <c r="AV199" s="49">
        <f t="shared" si="107"/>
        <v>4143600.4593508798</v>
      </c>
      <c r="AW199" s="49">
        <f t="shared" si="108"/>
        <v>1244436.65627639</v>
      </c>
      <c r="AX199" s="39">
        <f t="shared" si="109"/>
        <v>-6.9456503546455736E-4</v>
      </c>
      <c r="AY199" s="39">
        <f t="shared" si="110"/>
        <v>0.86306040133348405</v>
      </c>
      <c r="AZ199" s="39">
        <f t="shared" si="111"/>
        <v>0.19880078347888258</v>
      </c>
      <c r="BA199" s="18">
        <v>3.9505925596075998E-2</v>
      </c>
      <c r="BB199" s="20">
        <v>3.4756472174172999E-2</v>
      </c>
      <c r="BC199" s="17">
        <f t="shared" si="112"/>
        <v>-4146478.4593508798</v>
      </c>
      <c r="BD199" s="17">
        <f t="shared" si="113"/>
        <v>-170412.65627638996</v>
      </c>
      <c r="BE199" s="17">
        <f t="shared" si="91"/>
        <v>-3193032.8620689656</v>
      </c>
      <c r="BF199" s="17">
        <f t="shared" si="92"/>
        <v>92569</v>
      </c>
      <c r="BG199" s="27"/>
      <c r="BH199" s="7"/>
    </row>
    <row r="200" spans="1:60" ht="14.25" hidden="1" customHeight="1" x14ac:dyDescent="0.35">
      <c r="A200" s="16">
        <v>45854</v>
      </c>
      <c r="B200" s="17">
        <f>+'BD MD'!B199</f>
        <v>31130597</v>
      </c>
      <c r="C200" s="17">
        <f t="shared" si="94"/>
        <v>4171609.8620689656</v>
      </c>
      <c r="D200" s="18">
        <f t="shared" si="88"/>
        <v>3.6203267150668253E-2</v>
      </c>
      <c r="E200" s="17">
        <v>28580201</v>
      </c>
      <c r="F200" s="19">
        <v>46219</v>
      </c>
      <c r="G200" s="17">
        <f t="shared" si="95"/>
        <v>5447721.4874883704</v>
      </c>
      <c r="H200" s="17">
        <v>4135978.5753871999</v>
      </c>
      <c r="I200" s="17">
        <v>1311742.91210117</v>
      </c>
      <c r="J200" s="17">
        <v>3000776</v>
      </c>
      <c r="K200" s="17">
        <v>-239835</v>
      </c>
      <c r="L200" s="17">
        <v>43500.8620689655</v>
      </c>
      <c r="M200" s="17">
        <v>0</v>
      </c>
      <c r="N200" s="17">
        <v>50474</v>
      </c>
      <c r="O200" s="17">
        <v>0</v>
      </c>
      <c r="P200" s="17">
        <v>7851</v>
      </c>
      <c r="Q200" s="17">
        <v>0</v>
      </c>
      <c r="R200" s="17">
        <v>87553</v>
      </c>
      <c r="S200" s="17">
        <v>8753</v>
      </c>
      <c r="T200" s="17">
        <v>786889</v>
      </c>
      <c r="U200" s="17">
        <v>87233</v>
      </c>
      <c r="V200" s="17">
        <v>104771</v>
      </c>
      <c r="W200" s="17">
        <v>97345</v>
      </c>
      <c r="X200" s="17">
        <v>62833</v>
      </c>
      <c r="Y200" s="17">
        <v>0</v>
      </c>
      <c r="Z200" s="17">
        <v>26962</v>
      </c>
      <c r="AA200" s="17">
        <v>10653</v>
      </c>
      <c r="AB200" s="17">
        <v>0</v>
      </c>
      <c r="AC200" s="17">
        <v>0</v>
      </c>
      <c r="AD200" s="17">
        <v>0</v>
      </c>
      <c r="AE200" s="17">
        <v>0</v>
      </c>
      <c r="AF200" s="17">
        <f t="shared" si="96"/>
        <v>-35851</v>
      </c>
      <c r="AG200" s="18">
        <f t="shared" si="97"/>
        <v>-6.5809164588053904E-3</v>
      </c>
      <c r="AH200" s="17">
        <f t="shared" si="98"/>
        <v>-5483572.4874883704</v>
      </c>
      <c r="AI200" s="20">
        <f t="shared" si="99"/>
        <v>-1.0096190867408144</v>
      </c>
      <c r="AJ200" s="20">
        <f t="shared" si="100"/>
        <v>9.5506447193651256E-2</v>
      </c>
      <c r="AK200" s="21">
        <f t="shared" si="89"/>
        <v>-1.2543998553404155E-3</v>
      </c>
      <c r="AL200" s="21">
        <f t="shared" si="101"/>
        <v>-0.26763001769206884</v>
      </c>
      <c r="AM200" s="31"/>
      <c r="AO200" s="56">
        <f t="shared" si="102"/>
        <v>46219</v>
      </c>
      <c r="AP200" s="17">
        <f t="shared" si="93"/>
        <v>2907085</v>
      </c>
      <c r="AQ200" s="17">
        <f t="shared" si="90"/>
        <v>819984</v>
      </c>
      <c r="AR200" s="17">
        <f t="shared" si="103"/>
        <v>-231082</v>
      </c>
      <c r="AS200" s="17">
        <f t="shared" si="104"/>
        <v>195231</v>
      </c>
      <c r="AT200" s="18">
        <f t="shared" si="105"/>
        <v>-1.0794892478204112</v>
      </c>
      <c r="AU200" s="18">
        <f t="shared" si="106"/>
        <v>-0.76190876895158932</v>
      </c>
      <c r="AV200" s="49">
        <f t="shared" si="107"/>
        <v>4135978.5753871999</v>
      </c>
      <c r="AW200" s="49">
        <f t="shared" si="108"/>
        <v>1311742.91210117</v>
      </c>
      <c r="AX200" s="39">
        <f t="shared" si="109"/>
        <v>-5.5871179163051315E-2</v>
      </c>
      <c r="AY200" s="39">
        <f t="shared" si="110"/>
        <v>0.14883327990488318</v>
      </c>
      <c r="AZ200" s="39">
        <f t="shared" si="111"/>
        <v>-6.5809164588053904E-3</v>
      </c>
      <c r="BA200" s="18">
        <v>4.16426321301957E-2</v>
      </c>
      <c r="BB200" s="20">
        <v>3.4692539900659403E-2</v>
      </c>
      <c r="BC200" s="17">
        <f t="shared" si="112"/>
        <v>-4367060.5753872003</v>
      </c>
      <c r="BD200" s="17">
        <f t="shared" si="113"/>
        <v>-1116511.91210117</v>
      </c>
      <c r="BE200" s="17">
        <f t="shared" si="91"/>
        <v>-3138167</v>
      </c>
      <c r="BF200" s="17">
        <f t="shared" si="92"/>
        <v>-624753</v>
      </c>
      <c r="BG200" s="27"/>
      <c r="BH200" s="7"/>
    </row>
    <row r="201" spans="1:60" ht="14.25" hidden="1" customHeight="1" x14ac:dyDescent="0.35">
      <c r="A201" s="19">
        <v>45855</v>
      </c>
      <c r="B201" s="17">
        <f>+'BD MD'!B200</f>
        <v>39024266</v>
      </c>
      <c r="C201" s="17">
        <f t="shared" si="94"/>
        <v>3727069</v>
      </c>
      <c r="D201" s="18">
        <f t="shared" si="88"/>
        <v>3.234532450478305E-2</v>
      </c>
      <c r="E201" s="17">
        <v>38646290</v>
      </c>
      <c r="F201" s="19">
        <v>46220</v>
      </c>
      <c r="G201" s="17">
        <f t="shared" si="95"/>
        <v>4864915.8388651898</v>
      </c>
      <c r="H201" s="17">
        <v>3768983.5749953599</v>
      </c>
      <c r="I201" s="17">
        <v>1095932.2638698299</v>
      </c>
      <c r="J201" s="17">
        <v>2683648</v>
      </c>
      <c r="K201" s="17">
        <v>4729379</v>
      </c>
      <c r="L201" s="17">
        <v>39650</v>
      </c>
      <c r="M201" s="17">
        <v>83907</v>
      </c>
      <c r="N201" s="17">
        <v>18997</v>
      </c>
      <c r="O201" s="17">
        <v>0</v>
      </c>
      <c r="P201" s="17">
        <v>6904</v>
      </c>
      <c r="Q201" s="17">
        <v>4938</v>
      </c>
      <c r="R201" s="17">
        <v>157886</v>
      </c>
      <c r="S201" s="17">
        <v>-929</v>
      </c>
      <c r="T201" s="17">
        <v>648054</v>
      </c>
      <c r="U201" s="17">
        <v>148708</v>
      </c>
      <c r="V201" s="17">
        <v>111421</v>
      </c>
      <c r="W201" s="17">
        <v>89719</v>
      </c>
      <c r="X201" s="17">
        <v>44791</v>
      </c>
      <c r="Y201" s="17">
        <v>5039</v>
      </c>
      <c r="Z201" s="17">
        <v>15718</v>
      </c>
      <c r="AA201" s="17">
        <v>9778</v>
      </c>
      <c r="AB201" s="17">
        <v>0</v>
      </c>
      <c r="AC201" s="17">
        <v>1649</v>
      </c>
      <c r="AD201" s="17">
        <v>0</v>
      </c>
      <c r="AE201" s="17">
        <v>0</v>
      </c>
      <c r="AF201" s="17">
        <f t="shared" si="96"/>
        <v>5072188</v>
      </c>
      <c r="AG201" s="18">
        <f t="shared" si="97"/>
        <v>1.042605497813331</v>
      </c>
      <c r="AH201" s="17">
        <f t="shared" si="98"/>
        <v>207272.16113481019</v>
      </c>
      <c r="AI201" s="20">
        <f t="shared" si="99"/>
        <v>0.61036070970606193</v>
      </c>
      <c r="AJ201" s="20">
        <f t="shared" si="100"/>
        <v>7.459774890927065E-2</v>
      </c>
      <c r="AK201" s="21">
        <f t="shared" si="89"/>
        <v>0.13124644047332876</v>
      </c>
      <c r="AL201" s="21">
        <f t="shared" si="101"/>
        <v>-8.4704442705097471E-2</v>
      </c>
      <c r="AM201" s="31"/>
      <c r="AO201" s="56">
        <f t="shared" si="102"/>
        <v>46220</v>
      </c>
      <c r="AP201" s="17">
        <f t="shared" si="93"/>
        <v>2418058.6551724137</v>
      </c>
      <c r="AQ201" s="17">
        <f t="shared" si="90"/>
        <v>731663</v>
      </c>
      <c r="AR201" s="17">
        <f t="shared" si="103"/>
        <v>4817295</v>
      </c>
      <c r="AS201" s="17">
        <f t="shared" si="104"/>
        <v>254893</v>
      </c>
      <c r="AT201" s="18">
        <f t="shared" si="105"/>
        <v>0.99221594136909586</v>
      </c>
      <c r="AU201" s="18">
        <f t="shared" si="106"/>
        <v>-0.6516251334289147</v>
      </c>
      <c r="AV201" s="49">
        <f t="shared" si="107"/>
        <v>3768983.5749953599</v>
      </c>
      <c r="AW201" s="49">
        <f t="shared" si="108"/>
        <v>1095932.2638698299</v>
      </c>
      <c r="AX201" s="39">
        <f t="shared" si="109"/>
        <v>1.2781416804147072</v>
      </c>
      <c r="AY201" s="39">
        <f t="shared" si="110"/>
        <v>0.23258098005067498</v>
      </c>
      <c r="AZ201" s="39">
        <f t="shared" si="111"/>
        <v>1.042605497813331</v>
      </c>
      <c r="BA201" s="18">
        <v>3.4791500440311998E-2</v>
      </c>
      <c r="BB201" s="20">
        <v>3.1614190131102199E-2</v>
      </c>
      <c r="BC201" s="17">
        <f t="shared" si="112"/>
        <v>1048311.4250046401</v>
      </c>
      <c r="BD201" s="17">
        <f t="shared" si="113"/>
        <v>-841039.26386982994</v>
      </c>
      <c r="BE201" s="17">
        <f t="shared" si="91"/>
        <v>2399236.3448275863</v>
      </c>
      <c r="BF201" s="17">
        <f t="shared" si="92"/>
        <v>-476770</v>
      </c>
      <c r="BG201" s="27"/>
      <c r="BH201" s="7"/>
    </row>
    <row r="202" spans="1:60" ht="14.25" hidden="1" customHeight="1" x14ac:dyDescent="0.35">
      <c r="A202" s="16">
        <v>45856</v>
      </c>
      <c r="B202" s="17">
        <f>+'BD MD'!B201</f>
        <v>42222744</v>
      </c>
      <c r="C202" s="17">
        <f t="shared" si="94"/>
        <v>3149721.6551724137</v>
      </c>
      <c r="D202" s="18">
        <f t="shared" si="88"/>
        <v>2.7334822359418115E-2</v>
      </c>
      <c r="E202" s="17">
        <v>44716609</v>
      </c>
      <c r="F202" s="19">
        <v>46221</v>
      </c>
      <c r="G202" s="17">
        <f t="shared" si="95"/>
        <v>4112858.3879952449</v>
      </c>
      <c r="H202" s="17">
        <v>3134969.68775257</v>
      </c>
      <c r="I202" s="17">
        <v>977888.70024267503</v>
      </c>
      <c r="J202" s="17">
        <v>2251369</v>
      </c>
      <c r="K202" s="17">
        <v>4211778</v>
      </c>
      <c r="L202" s="17">
        <v>44689.655172413797</v>
      </c>
      <c r="M202" s="17">
        <v>61308</v>
      </c>
      <c r="N202" s="17">
        <v>10825</v>
      </c>
      <c r="O202" s="17">
        <v>0</v>
      </c>
      <c r="P202" s="17">
        <v>8554</v>
      </c>
      <c r="Q202" s="17">
        <v>7997</v>
      </c>
      <c r="R202" s="17">
        <v>102621</v>
      </c>
      <c r="S202" s="17">
        <v>-3153</v>
      </c>
      <c r="T202" s="17">
        <v>610477</v>
      </c>
      <c r="U202" s="17">
        <v>7881</v>
      </c>
      <c r="V202" s="17">
        <v>69555</v>
      </c>
      <c r="W202" s="17">
        <v>89442</v>
      </c>
      <c r="X202" s="17">
        <v>31664</v>
      </c>
      <c r="Y202" s="17">
        <v>12372</v>
      </c>
      <c r="Z202" s="17">
        <v>19967</v>
      </c>
      <c r="AA202" s="17">
        <v>5327</v>
      </c>
      <c r="AB202" s="17">
        <v>0</v>
      </c>
      <c r="AC202" s="17">
        <v>7154</v>
      </c>
      <c r="AD202" s="17">
        <v>0</v>
      </c>
      <c r="AE202" s="17">
        <v>0</v>
      </c>
      <c r="AF202" s="17">
        <f t="shared" si="96"/>
        <v>4400106</v>
      </c>
      <c r="AG202" s="18">
        <f t="shared" si="97"/>
        <v>1.0698413572524605</v>
      </c>
      <c r="AH202" s="17">
        <f t="shared" si="98"/>
        <v>287247.61200475506</v>
      </c>
      <c r="AI202" s="20">
        <f t="shared" si="99"/>
        <v>0.56381820203279709</v>
      </c>
      <c r="AJ202" s="20">
        <f t="shared" si="100"/>
        <v>5.8381523259163591E-2</v>
      </c>
      <c r="AK202" s="21">
        <f t="shared" si="89"/>
        <v>9.839981381414678E-2</v>
      </c>
      <c r="AL202" s="21">
        <f t="shared" si="101"/>
        <v>-7.2172139395294654E-2</v>
      </c>
      <c r="AM202" s="31"/>
      <c r="AO202" s="38">
        <f t="shared" si="102"/>
        <v>46221</v>
      </c>
      <c r="AP202" s="17">
        <f t="shared" si="93"/>
        <v>2202823.068965517</v>
      </c>
      <c r="AQ202" s="17">
        <f t="shared" si="90"/>
        <v>610871</v>
      </c>
      <c r="AR202" s="17">
        <f t="shared" si="103"/>
        <v>4277930</v>
      </c>
      <c r="AS202" s="17">
        <f t="shared" si="104"/>
        <v>122176</v>
      </c>
      <c r="AT202" s="18">
        <f t="shared" si="105"/>
        <v>0.94202160866645923</v>
      </c>
      <c r="AU202" s="18">
        <f t="shared" si="106"/>
        <v>-0.79999705338770377</v>
      </c>
      <c r="AV202" s="49">
        <f t="shared" si="107"/>
        <v>3134969.68775257</v>
      </c>
      <c r="AW202" s="49">
        <f t="shared" si="108"/>
        <v>977888.70024267503</v>
      </c>
      <c r="AX202" s="39">
        <f t="shared" si="109"/>
        <v>1.3645841670216619</v>
      </c>
      <c r="AY202" s="39">
        <f t="shared" si="110"/>
        <v>0.12493855381464224</v>
      </c>
      <c r="AZ202" s="39">
        <f t="shared" si="111"/>
        <v>1.0698413572524605</v>
      </c>
      <c r="BA202" s="18">
        <v>3.10440857219897E-2</v>
      </c>
      <c r="BB202" s="20">
        <v>2.6296089062678898E-2</v>
      </c>
      <c r="BC202" s="17">
        <f t="shared" si="112"/>
        <v>1142960.31224743</v>
      </c>
      <c r="BD202" s="17">
        <f t="shared" si="113"/>
        <v>-855712.70024267503</v>
      </c>
      <c r="BE202" s="17">
        <f t="shared" si="91"/>
        <v>2075106.931034483</v>
      </c>
      <c r="BF202" s="17">
        <f t="shared" si="92"/>
        <v>-488695</v>
      </c>
      <c r="BG202" s="27"/>
      <c r="BH202" s="7"/>
    </row>
    <row r="203" spans="1:60" ht="14.25" hidden="1" customHeight="1" x14ac:dyDescent="0.35">
      <c r="A203" s="19">
        <v>45857</v>
      </c>
      <c r="B203" s="17">
        <f>+'BD MD'!B202</f>
        <v>48194941</v>
      </c>
      <c r="C203" s="17">
        <f t="shared" si="94"/>
        <v>2813694.068965517</v>
      </c>
      <c r="D203" s="18">
        <f t="shared" si="88"/>
        <v>2.4418610902527716E-2</v>
      </c>
      <c r="E203" s="17">
        <v>40711839</v>
      </c>
      <c r="F203" s="19">
        <v>46222</v>
      </c>
      <c r="G203" s="17">
        <f t="shared" si="95"/>
        <v>3672367.3183367951</v>
      </c>
      <c r="H203" s="17">
        <v>2855920.6096663498</v>
      </c>
      <c r="I203" s="17">
        <v>816446.70867044502</v>
      </c>
      <c r="J203" s="17">
        <v>1984365</v>
      </c>
      <c r="K203" s="17">
        <v>3287464</v>
      </c>
      <c r="L203" s="17">
        <v>43837.068965517203</v>
      </c>
      <c r="M203" s="17">
        <v>42596</v>
      </c>
      <c r="N203" s="17">
        <v>7363</v>
      </c>
      <c r="O203" s="17">
        <v>0</v>
      </c>
      <c r="P203" s="17">
        <v>4630</v>
      </c>
      <c r="Q203" s="17">
        <v>7508</v>
      </c>
      <c r="R203" s="17">
        <v>162628</v>
      </c>
      <c r="S203" s="17">
        <v>-7157</v>
      </c>
      <c r="T203" s="17">
        <v>508767</v>
      </c>
      <c r="U203" s="17">
        <v>91612</v>
      </c>
      <c r="V203" s="17">
        <v>55690</v>
      </c>
      <c r="W203" s="17">
        <v>75633</v>
      </c>
      <c r="X203" s="17">
        <v>34679</v>
      </c>
      <c r="Y203" s="17">
        <v>32156</v>
      </c>
      <c r="Z203" s="17">
        <v>11735</v>
      </c>
      <c r="AA203" s="17">
        <v>2714</v>
      </c>
      <c r="AB203" s="17">
        <v>0</v>
      </c>
      <c r="AC203" s="17">
        <v>8746</v>
      </c>
      <c r="AD203" s="17">
        <v>0</v>
      </c>
      <c r="AE203" s="17">
        <v>0</v>
      </c>
      <c r="AF203" s="17">
        <f t="shared" si="96"/>
        <v>3541272</v>
      </c>
      <c r="AG203" s="18">
        <f t="shared" si="97"/>
        <v>0.96430223151093508</v>
      </c>
      <c r="AH203" s="17">
        <f t="shared" si="98"/>
        <v>-131095.31833679508</v>
      </c>
      <c r="AI203" s="20">
        <f t="shared" si="99"/>
        <v>0.23096690693903033</v>
      </c>
      <c r="AJ203" s="20">
        <f t="shared" si="100"/>
        <v>5.8213661084564189E-2</v>
      </c>
      <c r="AK203" s="21">
        <f t="shared" si="89"/>
        <v>8.6983837797157723E-2</v>
      </c>
      <c r="AL203" s="21">
        <f t="shared" si="101"/>
        <v>-0.17617925189770711</v>
      </c>
      <c r="AM203" s="31"/>
      <c r="AO203" s="38">
        <f t="shared" si="102"/>
        <v>46222</v>
      </c>
      <c r="AP203" s="17">
        <f t="shared" si="93"/>
        <v>2524660.4482758623</v>
      </c>
      <c r="AQ203" s="17">
        <f t="shared" si="90"/>
        <v>352161</v>
      </c>
      <c r="AR203" s="17">
        <f t="shared" si="103"/>
        <v>3330411</v>
      </c>
      <c r="AS203" s="17">
        <f t="shared" si="104"/>
        <v>210861</v>
      </c>
      <c r="AT203" s="18">
        <f t="shared" si="105"/>
        <v>0.31915204766423133</v>
      </c>
      <c r="AU203" s="18">
        <f t="shared" si="106"/>
        <v>-0.40123693424314444</v>
      </c>
      <c r="AV203" s="49">
        <f t="shared" si="107"/>
        <v>2855920.6096663498</v>
      </c>
      <c r="AW203" s="49">
        <f t="shared" si="108"/>
        <v>816446.70867044502</v>
      </c>
      <c r="AX203" s="39">
        <f t="shared" si="109"/>
        <v>1.1661427102446953</v>
      </c>
      <c r="AY203" s="39">
        <f t="shared" si="110"/>
        <v>0.25826670346112335</v>
      </c>
      <c r="AZ203" s="39">
        <f t="shared" si="111"/>
        <v>0.96430223151093508</v>
      </c>
      <c r="BA203" s="18">
        <v>2.5918943132395102E-2</v>
      </c>
      <c r="BB203" s="20">
        <v>2.3955428660480799E-2</v>
      </c>
      <c r="BC203" s="17">
        <f t="shared" si="112"/>
        <v>474490.39033365017</v>
      </c>
      <c r="BD203" s="17">
        <f t="shared" si="113"/>
        <v>-605585.70867044502</v>
      </c>
      <c r="BE203" s="17">
        <f t="shared" si="91"/>
        <v>805750.55172413774</v>
      </c>
      <c r="BF203" s="17">
        <f t="shared" si="92"/>
        <v>-141300</v>
      </c>
      <c r="BG203" s="27"/>
      <c r="BH203" s="7"/>
    </row>
    <row r="204" spans="1:60" ht="14.25" hidden="1" customHeight="1" x14ac:dyDescent="0.35">
      <c r="A204" s="16">
        <v>45858</v>
      </c>
      <c r="B204" s="17">
        <f>+'BD MD'!B203</f>
        <v>49418322</v>
      </c>
      <c r="C204" s="17">
        <f t="shared" si="94"/>
        <v>2876821.4482758623</v>
      </c>
      <c r="D204" s="18">
        <f t="shared" si="88"/>
        <v>2.4966461121809849E-2</v>
      </c>
      <c r="E204" s="17">
        <v>29142685</v>
      </c>
      <c r="F204" s="19">
        <v>46223</v>
      </c>
      <c r="G204" s="17">
        <f t="shared" si="95"/>
        <v>3743850.333635712</v>
      </c>
      <c r="H204" s="17">
        <v>3273177.00101378</v>
      </c>
      <c r="I204" s="17">
        <v>470673.33262193197</v>
      </c>
      <c r="J204" s="17">
        <v>2341728</v>
      </c>
      <c r="K204" s="17">
        <v>4166837</v>
      </c>
      <c r="L204" s="17">
        <v>48778.448275862102</v>
      </c>
      <c r="M204" s="17">
        <v>43873</v>
      </c>
      <c r="N204" s="17">
        <v>7001</v>
      </c>
      <c r="O204" s="17">
        <v>0</v>
      </c>
      <c r="P204" s="17">
        <v>5776</v>
      </c>
      <c r="Q204" s="17">
        <v>13564</v>
      </c>
      <c r="R204" s="17">
        <v>121377</v>
      </c>
      <c r="S204" s="17">
        <v>4700</v>
      </c>
      <c r="T204" s="17">
        <v>238970</v>
      </c>
      <c r="U204" s="17">
        <v>382320</v>
      </c>
      <c r="V204" s="17">
        <v>55955</v>
      </c>
      <c r="W204" s="17">
        <v>67710</v>
      </c>
      <c r="X204" s="17">
        <v>41650</v>
      </c>
      <c r="Y204" s="17">
        <v>22398</v>
      </c>
      <c r="Z204" s="17">
        <v>15586</v>
      </c>
      <c r="AA204" s="17">
        <v>5837</v>
      </c>
      <c r="AB204" s="17">
        <v>0</v>
      </c>
      <c r="AC204" s="17">
        <v>4939</v>
      </c>
      <c r="AD204" s="17">
        <v>0</v>
      </c>
      <c r="AE204" s="17">
        <v>0</v>
      </c>
      <c r="AF204" s="17">
        <f t="shared" si="96"/>
        <v>4712178</v>
      </c>
      <c r="AG204" s="18">
        <f t="shared" si="97"/>
        <v>1.258644865598548</v>
      </c>
      <c r="AH204" s="17">
        <f t="shared" si="98"/>
        <v>968327.66636428796</v>
      </c>
      <c r="AI204" s="20">
        <f t="shared" si="99"/>
        <v>-6.3164017270344819E-2</v>
      </c>
      <c r="AJ204" s="20">
        <f t="shared" si="100"/>
        <v>0.14908975063249572</v>
      </c>
      <c r="AK204" s="21">
        <f t="shared" si="89"/>
        <v>0.16169333745329231</v>
      </c>
      <c r="AL204" s="21">
        <f t="shared" si="101"/>
        <v>-0.13618801338020492</v>
      </c>
      <c r="AM204" s="31"/>
      <c r="AO204" s="38">
        <f t="shared" si="102"/>
        <v>46223</v>
      </c>
      <c r="AP204" s="17">
        <f t="shared" si="93"/>
        <v>3797744.7931034481</v>
      </c>
      <c r="AQ204" s="17">
        <f t="shared" si="90"/>
        <v>1232141</v>
      </c>
      <c r="AR204" s="17">
        <f t="shared" si="103"/>
        <v>4228974</v>
      </c>
      <c r="AS204" s="17">
        <f t="shared" si="104"/>
        <v>483204</v>
      </c>
      <c r="AT204" s="18">
        <f t="shared" si="105"/>
        <v>0.11354875864214109</v>
      </c>
      <c r="AU204" s="18">
        <f t="shared" si="106"/>
        <v>-0.60783384369159044</v>
      </c>
      <c r="AV204" s="49">
        <f t="shared" si="107"/>
        <v>3273177.00101378</v>
      </c>
      <c r="AW204" s="49">
        <f t="shared" si="108"/>
        <v>470673.33262193197</v>
      </c>
      <c r="AX204" s="39">
        <f t="shared" si="109"/>
        <v>1.2920089560357375</v>
      </c>
      <c r="AY204" s="39">
        <f t="shared" si="110"/>
        <v>1.0266228539192239</v>
      </c>
      <c r="AZ204" s="39">
        <f t="shared" si="111"/>
        <v>1.258644865598548</v>
      </c>
      <c r="BA204" s="18">
        <v>1.49420105594264E-2</v>
      </c>
      <c r="BB204" s="20">
        <v>2.7455370389330502E-2</v>
      </c>
      <c r="BC204" s="17">
        <f t="shared" si="112"/>
        <v>955796.99898621999</v>
      </c>
      <c r="BD204" s="17">
        <f t="shared" si="113"/>
        <v>12530.667378068028</v>
      </c>
      <c r="BE204" s="17">
        <f t="shared" si="91"/>
        <v>431229.20689655188</v>
      </c>
      <c r="BF204" s="17">
        <f t="shared" si="92"/>
        <v>-748937</v>
      </c>
      <c r="BG204" s="27"/>
      <c r="BH204" s="7"/>
    </row>
    <row r="205" spans="1:60" ht="14.25" hidden="1" customHeight="1" x14ac:dyDescent="0.35">
      <c r="A205" s="19">
        <v>45859</v>
      </c>
      <c r="B205" s="17">
        <f>+'BD MD'!B204</f>
        <v>33737301</v>
      </c>
      <c r="C205" s="17">
        <f t="shared" si="94"/>
        <v>5029885.7931034481</v>
      </c>
      <c r="D205" s="18">
        <f t="shared" si="88"/>
        <v>4.3651804729112634E-2</v>
      </c>
      <c r="E205" s="17">
        <v>34240943</v>
      </c>
      <c r="F205" s="19">
        <v>46224</v>
      </c>
      <c r="G205" s="17">
        <f t="shared" si="95"/>
        <v>6570500.00690269</v>
      </c>
      <c r="H205" s="17">
        <v>4923708.0261605801</v>
      </c>
      <c r="I205" s="17">
        <v>1646791.9807421099</v>
      </c>
      <c r="J205" s="17">
        <v>3558327</v>
      </c>
      <c r="K205" s="17">
        <v>4405412</v>
      </c>
      <c r="L205" s="17">
        <v>45088.793103448297</v>
      </c>
      <c r="M205" s="17">
        <v>48043</v>
      </c>
      <c r="N205" s="17">
        <v>41407</v>
      </c>
      <c r="O205" s="17">
        <v>-5352</v>
      </c>
      <c r="P205" s="17">
        <v>3984</v>
      </c>
      <c r="Q205" s="17">
        <v>29247</v>
      </c>
      <c r="R205" s="17">
        <v>148938</v>
      </c>
      <c r="S205" s="17">
        <v>3125</v>
      </c>
      <c r="T205" s="17">
        <v>1077744</v>
      </c>
      <c r="U205" s="17">
        <v>384714</v>
      </c>
      <c r="V205" s="17">
        <v>70738</v>
      </c>
      <c r="W205" s="17">
        <v>72953</v>
      </c>
      <c r="X205" s="17">
        <v>68483</v>
      </c>
      <c r="Y205" s="17">
        <v>26680</v>
      </c>
      <c r="Z205" s="17">
        <v>15176</v>
      </c>
      <c r="AA205" s="17">
        <v>6091</v>
      </c>
      <c r="AB205" s="17">
        <v>0</v>
      </c>
      <c r="AC205" s="17">
        <v>5410</v>
      </c>
      <c r="AD205" s="17">
        <v>0</v>
      </c>
      <c r="AE205" s="17">
        <v>861</v>
      </c>
      <c r="AF205" s="17">
        <f t="shared" si="96"/>
        <v>4977184</v>
      </c>
      <c r="AG205" s="18">
        <f t="shared" si="97"/>
        <v>0.75750460311561985</v>
      </c>
      <c r="AH205" s="17">
        <f t="shared" si="98"/>
        <v>-1593316.00690269</v>
      </c>
      <c r="AI205" s="20">
        <f t="shared" si="99"/>
        <v>0.120162846268977</v>
      </c>
      <c r="AJ205" s="20">
        <f t="shared" si="100"/>
        <v>0.12625097893666129</v>
      </c>
      <c r="AK205" s="21">
        <f t="shared" si="89"/>
        <v>0.14535767896345611</v>
      </c>
      <c r="AL205" s="21">
        <f t="shared" si="101"/>
        <v>-2.7078191407490126E-2</v>
      </c>
      <c r="AM205" s="31"/>
      <c r="AO205" s="38">
        <f t="shared" si="102"/>
        <v>46224</v>
      </c>
      <c r="AP205" s="17">
        <f t="shared" si="93"/>
        <v>3511852.2413793104</v>
      </c>
      <c r="AQ205" s="17">
        <f t="shared" si="90"/>
        <v>931416</v>
      </c>
      <c r="AR205" s="17">
        <f t="shared" si="103"/>
        <v>4480475</v>
      </c>
      <c r="AS205" s="17">
        <f t="shared" si="104"/>
        <v>496709</v>
      </c>
      <c r="AT205" s="18">
        <f t="shared" si="105"/>
        <v>0.27581535100128662</v>
      </c>
      <c r="AU205" s="18">
        <f t="shared" si="106"/>
        <v>-0.46671626856313397</v>
      </c>
      <c r="AV205" s="49">
        <f t="shared" si="107"/>
        <v>4923708.0261605801</v>
      </c>
      <c r="AW205" s="49">
        <f t="shared" si="108"/>
        <v>1646791.9807421099</v>
      </c>
      <c r="AX205" s="39">
        <f t="shared" si="109"/>
        <v>0.90997983149983708</v>
      </c>
      <c r="AY205" s="39">
        <f t="shared" si="110"/>
        <v>0.30162218774964106</v>
      </c>
      <c r="AZ205" s="39">
        <f t="shared" si="111"/>
        <v>0.75750460311561985</v>
      </c>
      <c r="BA205" s="18">
        <v>5.2279110499749398E-2</v>
      </c>
      <c r="BB205" s="20">
        <v>4.1300005317552103E-2</v>
      </c>
      <c r="BC205" s="17">
        <f t="shared" si="112"/>
        <v>-443233.02616058011</v>
      </c>
      <c r="BD205" s="17">
        <f t="shared" si="113"/>
        <v>-1150082.9807421099</v>
      </c>
      <c r="BE205" s="17">
        <f t="shared" si="91"/>
        <v>968622.75862068962</v>
      </c>
      <c r="BF205" s="17">
        <f t="shared" si="92"/>
        <v>-434707</v>
      </c>
      <c r="BG205" s="27"/>
      <c r="BH205" s="7"/>
    </row>
    <row r="206" spans="1:60" ht="14.25" hidden="1" customHeight="1" x14ac:dyDescent="0.35">
      <c r="A206" s="16">
        <v>45860</v>
      </c>
      <c r="B206" s="17">
        <f>+'BD MD'!B205</f>
        <v>35193931</v>
      </c>
      <c r="C206" s="17">
        <f t="shared" si="94"/>
        <v>4443268.2413793104</v>
      </c>
      <c r="D206" s="18">
        <f t="shared" si="88"/>
        <v>3.8560851202167311E-2</v>
      </c>
      <c r="E206" s="17">
        <v>33913656</v>
      </c>
      <c r="F206" s="19">
        <v>46225</v>
      </c>
      <c r="G206" s="17">
        <f t="shared" si="95"/>
        <v>5797917.8047500104</v>
      </c>
      <c r="H206" s="17">
        <v>4553053.459245</v>
      </c>
      <c r="I206" s="17">
        <v>1244864.3455050101</v>
      </c>
      <c r="J206" s="17">
        <v>3287363</v>
      </c>
      <c r="K206" s="17">
        <v>2355041</v>
      </c>
      <c r="L206" s="17">
        <v>43017.241379310297</v>
      </c>
      <c r="M206" s="17">
        <v>44422</v>
      </c>
      <c r="N206" s="17">
        <v>45721</v>
      </c>
      <c r="O206" s="17">
        <v>-4595</v>
      </c>
      <c r="P206" s="17">
        <v>7885</v>
      </c>
      <c r="Q206" s="17">
        <v>8901</v>
      </c>
      <c r="R206" s="17">
        <v>127866</v>
      </c>
      <c r="S206" s="17">
        <v>87466</v>
      </c>
      <c r="T206" s="17">
        <v>797541</v>
      </c>
      <c r="U206" s="17">
        <v>-140136</v>
      </c>
      <c r="V206" s="17">
        <v>74451</v>
      </c>
      <c r="W206" s="17">
        <v>59192</v>
      </c>
      <c r="X206" s="17">
        <v>41790</v>
      </c>
      <c r="Y206" s="17">
        <v>24678</v>
      </c>
      <c r="Z206" s="17">
        <v>17634</v>
      </c>
      <c r="AA206" s="17">
        <v>2622</v>
      </c>
      <c r="AB206" s="17">
        <v>0</v>
      </c>
      <c r="AC206" s="17">
        <v>4318</v>
      </c>
      <c r="AD206" s="17">
        <v>0</v>
      </c>
      <c r="AE206" s="17">
        <v>-44</v>
      </c>
      <c r="AF206" s="17">
        <f t="shared" si="96"/>
        <v>2441865</v>
      </c>
      <c r="AG206" s="18">
        <f t="shared" si="97"/>
        <v>0.42116240385461728</v>
      </c>
      <c r="AH206" s="17">
        <f t="shared" si="98"/>
        <v>-3356052.8047500104</v>
      </c>
      <c r="AI206" s="20">
        <f t="shared" si="99"/>
        <v>-0.43325897777518141</v>
      </c>
      <c r="AJ206" s="20">
        <f t="shared" si="100"/>
        <v>0.11379613401342702</v>
      </c>
      <c r="AK206" s="21">
        <f t="shared" si="89"/>
        <v>7.2002411064144775E-2</v>
      </c>
      <c r="AL206" s="21">
        <f t="shared" si="101"/>
        <v>-0.10429475398334576</v>
      </c>
      <c r="AM206" s="31"/>
      <c r="AO206" s="38">
        <f t="shared" si="102"/>
        <v>46225</v>
      </c>
      <c r="AP206" s="17">
        <f t="shared" si="93"/>
        <v>3512431.1724137929</v>
      </c>
      <c r="AQ206" s="17">
        <f t="shared" si="90"/>
        <v>796177</v>
      </c>
      <c r="AR206" s="17">
        <f t="shared" si="103"/>
        <v>2491235</v>
      </c>
      <c r="AS206" s="17">
        <f t="shared" si="104"/>
        <v>-49370</v>
      </c>
      <c r="AT206" s="18">
        <f t="shared" si="105"/>
        <v>-0.29073770339875793</v>
      </c>
      <c r="AU206" s="18">
        <f t="shared" si="106"/>
        <v>-1.0620088246708961</v>
      </c>
      <c r="AV206" s="49">
        <f t="shared" si="107"/>
        <v>4553053.459245</v>
      </c>
      <c r="AW206" s="49">
        <f t="shared" si="108"/>
        <v>1244864.3455050101</v>
      </c>
      <c r="AX206" s="39">
        <f t="shared" si="109"/>
        <v>0.54715698427426407</v>
      </c>
      <c r="AY206" s="39">
        <f t="shared" si="110"/>
        <v>-3.9658939689506359E-2</v>
      </c>
      <c r="AZ206" s="39">
        <f t="shared" si="111"/>
        <v>0.42116240385461728</v>
      </c>
      <c r="BA206" s="18">
        <v>3.9519503031905101E-2</v>
      </c>
      <c r="BB206" s="20">
        <v>3.8190959146809603E-2</v>
      </c>
      <c r="BC206" s="17">
        <f t="shared" si="112"/>
        <v>-2061818.459245</v>
      </c>
      <c r="BD206" s="17">
        <f t="shared" si="113"/>
        <v>-1294234.3455050101</v>
      </c>
      <c r="BE206" s="17">
        <f t="shared" si="91"/>
        <v>-1021196.1724137929</v>
      </c>
      <c r="BF206" s="17">
        <f t="shared" si="92"/>
        <v>-845547</v>
      </c>
      <c r="BG206" s="27"/>
      <c r="BH206" s="7"/>
    </row>
    <row r="207" spans="1:60" ht="14.25" hidden="1" customHeight="1" x14ac:dyDescent="0.35">
      <c r="A207" s="19">
        <v>45861</v>
      </c>
      <c r="B207" s="17">
        <f>+'BD MD'!B206</f>
        <v>37862518</v>
      </c>
      <c r="C207" s="17">
        <f t="shared" si="94"/>
        <v>4308608.1724137925</v>
      </c>
      <c r="D207" s="18">
        <f t="shared" si="88"/>
        <v>3.7392205376579925E-2</v>
      </c>
      <c r="E207" s="17">
        <v>40007982</v>
      </c>
      <c r="F207" s="19">
        <v>46226</v>
      </c>
      <c r="G207" s="17">
        <f t="shared" si="95"/>
        <v>5617917.5547398403</v>
      </c>
      <c r="H207" s="17">
        <v>4553804.0329502802</v>
      </c>
      <c r="I207" s="17">
        <v>1064113.5217895601</v>
      </c>
      <c r="J207" s="17">
        <v>3324693</v>
      </c>
      <c r="K207" s="17">
        <v>3083278</v>
      </c>
      <c r="L207" s="17">
        <v>47655.172413793101</v>
      </c>
      <c r="M207" s="17">
        <v>42541</v>
      </c>
      <c r="N207" s="17">
        <v>29991</v>
      </c>
      <c r="O207" s="17">
        <v>32416</v>
      </c>
      <c r="P207" s="17">
        <v>3101</v>
      </c>
      <c r="Q207" s="17">
        <v>5616</v>
      </c>
      <c r="R207" s="17">
        <v>106991</v>
      </c>
      <c r="S207" s="17">
        <v>120117</v>
      </c>
      <c r="T207" s="17">
        <v>677329</v>
      </c>
      <c r="U207" s="17">
        <v>231502</v>
      </c>
      <c r="V207" s="17">
        <v>77441</v>
      </c>
      <c r="W207" s="17">
        <v>72242</v>
      </c>
      <c r="X207" s="17">
        <v>28165</v>
      </c>
      <c r="Y207" s="17">
        <v>8011</v>
      </c>
      <c r="Z207" s="17">
        <v>13242</v>
      </c>
      <c r="AA207" s="17">
        <v>4728</v>
      </c>
      <c r="AB207" s="17">
        <v>0</v>
      </c>
      <c r="AC207" s="17">
        <v>2732</v>
      </c>
      <c r="AD207" s="17">
        <v>0</v>
      </c>
      <c r="AE207" s="17">
        <v>2454</v>
      </c>
      <c r="AF207" s="17">
        <f t="shared" si="96"/>
        <v>3605637</v>
      </c>
      <c r="AG207" s="18">
        <f t="shared" si="97"/>
        <v>0.64181023748878652</v>
      </c>
      <c r="AH207" s="17">
        <f t="shared" si="98"/>
        <v>-2012280.5547398403</v>
      </c>
      <c r="AI207" s="20">
        <f t="shared" si="99"/>
        <v>-1.5145060753905537E-2</v>
      </c>
      <c r="AJ207" s="20">
        <f t="shared" si="100"/>
        <v>8.9659448512505069E-2</v>
      </c>
      <c r="AK207" s="21">
        <f t="shared" si="89"/>
        <v>9.0122940967130014E-2</v>
      </c>
      <c r="AL207" s="21">
        <f t="shared" si="101"/>
        <v>-2.0210062276738161E-2</v>
      </c>
      <c r="AM207" s="31"/>
      <c r="AO207" s="38">
        <f t="shared" si="102"/>
        <v>46226</v>
      </c>
      <c r="AP207" s="17">
        <f t="shared" si="93"/>
        <v>2897925.3448275863</v>
      </c>
      <c r="AQ207" s="17">
        <f t="shared" si="90"/>
        <v>763159</v>
      </c>
      <c r="AR207" s="17">
        <f t="shared" si="103"/>
        <v>3283968</v>
      </c>
      <c r="AS207" s="17">
        <f t="shared" si="104"/>
        <v>321669</v>
      </c>
      <c r="AT207" s="18">
        <f t="shared" si="105"/>
        <v>0.13321345764184334</v>
      </c>
      <c r="AU207" s="18">
        <f t="shared" si="106"/>
        <v>-0.57850330009866879</v>
      </c>
      <c r="AV207" s="49">
        <f t="shared" si="107"/>
        <v>4553804.0329502802</v>
      </c>
      <c r="AW207" s="49">
        <f t="shared" si="108"/>
        <v>1064113.5217895601</v>
      </c>
      <c r="AX207" s="39">
        <f t="shared" si="109"/>
        <v>0.72114829189793006</v>
      </c>
      <c r="AY207" s="39">
        <f t="shared" si="110"/>
        <v>0.30228823655866816</v>
      </c>
      <c r="AZ207" s="39">
        <f t="shared" si="111"/>
        <v>0.64181023748878652</v>
      </c>
      <c r="BA207" s="18">
        <v>3.3781381644112901E-2</v>
      </c>
      <c r="BB207" s="20">
        <v>3.8197254950268003E-2</v>
      </c>
      <c r="BC207" s="17">
        <f t="shared" si="112"/>
        <v>-1269836.0329502802</v>
      </c>
      <c r="BD207" s="17">
        <f t="shared" si="113"/>
        <v>-742444.52178956009</v>
      </c>
      <c r="BE207" s="17">
        <f t="shared" si="91"/>
        <v>386042.65517241368</v>
      </c>
      <c r="BF207" s="17">
        <f t="shared" si="92"/>
        <v>-441490</v>
      </c>
      <c r="BG207" s="27"/>
      <c r="BH207" s="7"/>
    </row>
    <row r="208" spans="1:60" ht="14.25" hidden="1" customHeight="1" x14ac:dyDescent="0.35">
      <c r="A208" s="16">
        <v>45862</v>
      </c>
      <c r="B208" s="17">
        <f>+'BD MD'!B207</f>
        <v>40833224</v>
      </c>
      <c r="C208" s="17">
        <f t="shared" si="94"/>
        <v>3661084.3448275863</v>
      </c>
      <c r="D208" s="18">
        <f t="shared" si="88"/>
        <v>3.1772677450519253E-2</v>
      </c>
      <c r="E208" s="17">
        <v>38494412</v>
      </c>
      <c r="F208" s="19">
        <v>46227</v>
      </c>
      <c r="G208" s="17">
        <f t="shared" si="95"/>
        <v>4777092.2588771898</v>
      </c>
      <c r="H208" s="17">
        <v>3757108.2463078802</v>
      </c>
      <c r="I208" s="17">
        <v>1019984.01256931</v>
      </c>
      <c r="J208" s="17">
        <v>2646867</v>
      </c>
      <c r="K208" s="17">
        <v>2278603</v>
      </c>
      <c r="L208" s="17">
        <v>44960.344827586203</v>
      </c>
      <c r="M208" s="17">
        <v>42639</v>
      </c>
      <c r="N208" s="17">
        <v>35095</v>
      </c>
      <c r="O208" s="17">
        <v>39758</v>
      </c>
      <c r="P208" s="17">
        <v>7885</v>
      </c>
      <c r="Q208" s="17">
        <v>9405</v>
      </c>
      <c r="R208" s="17">
        <v>163118</v>
      </c>
      <c r="S208" s="17">
        <v>125561</v>
      </c>
      <c r="T208" s="17">
        <v>660447</v>
      </c>
      <c r="U208" s="17">
        <v>-79945</v>
      </c>
      <c r="V208" s="17">
        <v>62295</v>
      </c>
      <c r="W208" s="17">
        <v>65983</v>
      </c>
      <c r="X208" s="17">
        <v>26946</v>
      </c>
      <c r="Y208" s="17">
        <v>21720</v>
      </c>
      <c r="Z208" s="17">
        <v>13471</v>
      </c>
      <c r="AA208" s="17">
        <v>1719</v>
      </c>
      <c r="AB208" s="17">
        <v>0</v>
      </c>
      <c r="AC208" s="17">
        <v>4659</v>
      </c>
      <c r="AD208" s="17">
        <v>0</v>
      </c>
      <c r="AE208" s="17">
        <v>689</v>
      </c>
      <c r="AF208" s="17">
        <f t="shared" si="96"/>
        <v>2510791</v>
      </c>
      <c r="AG208" s="18">
        <f t="shared" si="97"/>
        <v>0.52558980734237226</v>
      </c>
      <c r="AH208" s="17">
        <f t="shared" si="98"/>
        <v>-2266301.2588771898</v>
      </c>
      <c r="AI208" s="20">
        <f t="shared" si="99"/>
        <v>-0.18720969747281757</v>
      </c>
      <c r="AJ208" s="20">
        <f t="shared" si="100"/>
        <v>7.4697056623310581E-2</v>
      </c>
      <c r="AK208" s="21">
        <f t="shared" si="89"/>
        <v>6.522481756572876E-2</v>
      </c>
      <c r="AL208" s="21">
        <f t="shared" si="101"/>
        <v>-6.9172662850784494E-2</v>
      </c>
      <c r="AM208" s="31"/>
      <c r="AO208" s="38">
        <f t="shared" si="102"/>
        <v>46227</v>
      </c>
      <c r="AP208" s="17">
        <f t="shared" si="93"/>
        <v>2415654.5862068967</v>
      </c>
      <c r="AQ208" s="17">
        <f t="shared" si="90"/>
        <v>673446</v>
      </c>
      <c r="AR208" s="17">
        <f t="shared" si="103"/>
        <v>2495966</v>
      </c>
      <c r="AS208" s="17">
        <f t="shared" si="104"/>
        <v>14825</v>
      </c>
      <c r="AT208" s="18">
        <f t="shared" si="105"/>
        <v>3.3246232409083643E-2</v>
      </c>
      <c r="AU208" s="18">
        <f t="shared" si="106"/>
        <v>-0.9779863567383279</v>
      </c>
      <c r="AV208" s="49">
        <f t="shared" si="107"/>
        <v>3757108.2463078802</v>
      </c>
      <c r="AW208" s="49">
        <f t="shared" si="108"/>
        <v>1019984.01256931</v>
      </c>
      <c r="AX208" s="39">
        <f t="shared" si="109"/>
        <v>0.66433167116033776</v>
      </c>
      <c r="AY208" s="39">
        <f t="shared" si="110"/>
        <v>1.4534541539191636E-2</v>
      </c>
      <c r="AZ208" s="39">
        <f t="shared" si="111"/>
        <v>0.52558980734237226</v>
      </c>
      <c r="BA208" s="18">
        <v>3.2380444843470198E-2</v>
      </c>
      <c r="BB208" s="20">
        <v>3.1514580013009302E-2</v>
      </c>
      <c r="BC208" s="17">
        <f t="shared" si="112"/>
        <v>-1261142.2463078802</v>
      </c>
      <c r="BD208" s="17">
        <f t="shared" si="113"/>
        <v>-1005159.01256931</v>
      </c>
      <c r="BE208" s="17">
        <f t="shared" si="91"/>
        <v>80311.413793103304</v>
      </c>
      <c r="BF208" s="17">
        <f t="shared" si="92"/>
        <v>-658621</v>
      </c>
      <c r="BG208" s="27"/>
      <c r="BH208" s="7"/>
    </row>
    <row r="209" spans="1:63" ht="14.25" hidden="1" customHeight="1" x14ac:dyDescent="0.35">
      <c r="A209" s="19">
        <v>45863</v>
      </c>
      <c r="B209" s="17">
        <f>+'BD MD'!B208</f>
        <v>41355051</v>
      </c>
      <c r="C209" s="17">
        <f t="shared" si="94"/>
        <v>3089100.5862068967</v>
      </c>
      <c r="D209" s="18">
        <f t="shared" si="88"/>
        <v>2.680872312500188E-2</v>
      </c>
      <c r="E209" s="17">
        <v>43265279</v>
      </c>
      <c r="F209" s="19">
        <v>46228</v>
      </c>
      <c r="G209" s="17">
        <f t="shared" si="95"/>
        <v>4031932.8562442842</v>
      </c>
      <c r="H209" s="17">
        <v>3131852.8554466101</v>
      </c>
      <c r="I209" s="17">
        <v>900080.00079767394</v>
      </c>
      <c r="J209" s="17">
        <v>2242610</v>
      </c>
      <c r="K209" s="17">
        <v>2296703</v>
      </c>
      <c r="L209" s="17">
        <v>44752.5862068965</v>
      </c>
      <c r="M209" s="17">
        <v>40406</v>
      </c>
      <c r="N209" s="17">
        <v>-1659</v>
      </c>
      <c r="O209" s="17">
        <v>-1119</v>
      </c>
      <c r="P209" s="17">
        <v>4160</v>
      </c>
      <c r="Q209" s="17">
        <v>2696</v>
      </c>
      <c r="R209" s="17">
        <v>125791</v>
      </c>
      <c r="S209" s="17">
        <v>111534</v>
      </c>
      <c r="T209" s="17">
        <v>585838</v>
      </c>
      <c r="U209" s="17">
        <v>213421</v>
      </c>
      <c r="V209" s="17">
        <v>65896</v>
      </c>
      <c r="W209" s="17">
        <v>59424</v>
      </c>
      <c r="X209" s="17">
        <v>16520</v>
      </c>
      <c r="Y209" s="17">
        <v>16459</v>
      </c>
      <c r="Z209" s="17">
        <v>5192</v>
      </c>
      <c r="AA209" s="17">
        <v>2879</v>
      </c>
      <c r="AB209" s="17">
        <v>0</v>
      </c>
      <c r="AC209" s="17">
        <v>4612</v>
      </c>
      <c r="AD209" s="17">
        <v>0</v>
      </c>
      <c r="AE209" s="17">
        <v>689</v>
      </c>
      <c r="AF209" s="17">
        <f t="shared" si="96"/>
        <v>2747704</v>
      </c>
      <c r="AG209" s="18">
        <f t="shared" si="97"/>
        <v>0.68148555493542273</v>
      </c>
      <c r="AH209" s="17">
        <f t="shared" si="98"/>
        <v>-1284228.8562442842</v>
      </c>
      <c r="AI209" s="20">
        <f t="shared" si="99"/>
        <v>7.5895531889929035E-2</v>
      </c>
      <c r="AJ209" s="20">
        <f t="shared" si="100"/>
        <v>5.4414454656181284E-2</v>
      </c>
      <c r="AK209" s="21">
        <f t="shared" si="89"/>
        <v>6.3508292642698555E-2</v>
      </c>
      <c r="AL209" s="21">
        <f t="shared" si="101"/>
        <v>-7.816339884641299E-2</v>
      </c>
      <c r="AM209" s="31"/>
      <c r="AO209" s="38">
        <f t="shared" si="102"/>
        <v>46228</v>
      </c>
      <c r="AP209" s="17">
        <f t="shared" si="93"/>
        <v>2031150.2068965517</v>
      </c>
      <c r="AQ209" s="17">
        <f t="shared" si="90"/>
        <v>522726</v>
      </c>
      <c r="AR209" s="17">
        <f t="shared" si="103"/>
        <v>2450220</v>
      </c>
      <c r="AS209" s="17">
        <f t="shared" si="104"/>
        <v>297484</v>
      </c>
      <c r="AT209" s="18">
        <f t="shared" si="105"/>
        <v>0.20632141910556001</v>
      </c>
      <c r="AU209" s="18">
        <f t="shared" si="106"/>
        <v>-0.43089878827531058</v>
      </c>
      <c r="AV209" s="49">
        <f t="shared" si="107"/>
        <v>3131852.8554466101</v>
      </c>
      <c r="AW209" s="49">
        <f t="shared" si="108"/>
        <v>900080.00079767394</v>
      </c>
      <c r="AX209" s="39">
        <f t="shared" si="109"/>
        <v>0.78235476348731348</v>
      </c>
      <c r="AY209" s="39">
        <f t="shared" si="110"/>
        <v>0.33050839896049466</v>
      </c>
      <c r="AZ209" s="39">
        <f t="shared" si="111"/>
        <v>0.68148555493542273</v>
      </c>
      <c r="BA209" s="18">
        <v>2.85739682792913E-2</v>
      </c>
      <c r="BB209" s="20">
        <v>2.6269945109762501E-2</v>
      </c>
      <c r="BC209" s="17">
        <f t="shared" si="112"/>
        <v>-681632.85544661013</v>
      </c>
      <c r="BD209" s="17">
        <f t="shared" si="113"/>
        <v>-602596.00079767394</v>
      </c>
      <c r="BE209" s="17">
        <f t="shared" si="91"/>
        <v>419069.79310344835</v>
      </c>
      <c r="BF209" s="17">
        <f t="shared" si="92"/>
        <v>-225242</v>
      </c>
      <c r="BG209" s="27"/>
      <c r="BH209" s="7"/>
    </row>
    <row r="210" spans="1:63" ht="14.25" hidden="1" customHeight="1" x14ac:dyDescent="0.35">
      <c r="A210" s="16">
        <v>45864</v>
      </c>
      <c r="B210" s="17">
        <f>+'BD MD'!B209</f>
        <v>46933783</v>
      </c>
      <c r="C210" s="17">
        <f t="shared" si="94"/>
        <v>2553876.2068965519</v>
      </c>
      <c r="D210" s="18">
        <f t="shared" si="88"/>
        <v>2.2163784640722627E-2</v>
      </c>
      <c r="E210" s="17">
        <v>43046323</v>
      </c>
      <c r="F210" s="19">
        <v>46229</v>
      </c>
      <c r="G210" s="17">
        <f t="shared" si="95"/>
        <v>3331988.1964123314</v>
      </c>
      <c r="H210" s="17">
        <v>2633349.8222933002</v>
      </c>
      <c r="I210" s="17">
        <v>698638.37411903101</v>
      </c>
      <c r="J210" s="17">
        <v>1814470</v>
      </c>
      <c r="K210" s="17">
        <v>3026716</v>
      </c>
      <c r="L210" s="17">
        <v>48636.206896551703</v>
      </c>
      <c r="M210" s="17">
        <v>41577</v>
      </c>
      <c r="N210" s="17">
        <v>22502</v>
      </c>
      <c r="O210" s="17">
        <v>-2437</v>
      </c>
      <c r="P210" s="17">
        <v>8441</v>
      </c>
      <c r="Q210" s="17">
        <v>-2118</v>
      </c>
      <c r="R210" s="17">
        <v>137101</v>
      </c>
      <c r="S210" s="17">
        <v>77488</v>
      </c>
      <c r="T210" s="17">
        <v>418048</v>
      </c>
      <c r="U210" s="17">
        <v>286083</v>
      </c>
      <c r="V210" s="17">
        <v>74083</v>
      </c>
      <c r="W210" s="17">
        <v>100894</v>
      </c>
      <c r="X210" s="17">
        <v>22565</v>
      </c>
      <c r="Y210" s="17">
        <v>1340</v>
      </c>
      <c r="Z210" s="17">
        <v>8030</v>
      </c>
      <c r="AA210" s="17">
        <v>3747</v>
      </c>
      <c r="AB210" s="17">
        <v>0</v>
      </c>
      <c r="AC210" s="17">
        <v>7694</v>
      </c>
      <c r="AD210" s="17">
        <v>0</v>
      </c>
      <c r="AE210" s="17">
        <v>0</v>
      </c>
      <c r="AF210" s="17">
        <f t="shared" si="96"/>
        <v>3540984</v>
      </c>
      <c r="AG210" s="18">
        <f t="shared" si="97"/>
        <v>1.0627240528080806</v>
      </c>
      <c r="AH210" s="17">
        <f t="shared" si="98"/>
        <v>208995.80358766858</v>
      </c>
      <c r="AI210" s="20">
        <f t="shared" si="99"/>
        <v>9.4586719829227839E-2</v>
      </c>
      <c r="AJ210" s="20">
        <f t="shared" si="100"/>
        <v>6.8710806872346514E-2</v>
      </c>
      <c r="AK210" s="21">
        <f t="shared" si="89"/>
        <v>8.225984830341955E-2</v>
      </c>
      <c r="AL210" s="21">
        <f t="shared" si="101"/>
        <v>-8.5702949100930237E-2</v>
      </c>
      <c r="AM210" s="31"/>
      <c r="AO210" s="38">
        <f t="shared" si="102"/>
        <v>46229</v>
      </c>
      <c r="AP210" s="17">
        <f t="shared" si="93"/>
        <v>2641107.3103448278</v>
      </c>
      <c r="AQ210" s="17">
        <f t="shared" si="90"/>
        <v>593889</v>
      </c>
      <c r="AR210" s="17">
        <f t="shared" si="103"/>
        <v>3141226</v>
      </c>
      <c r="AS210" s="17">
        <f t="shared" si="104"/>
        <v>399758</v>
      </c>
      <c r="AT210" s="18">
        <f t="shared" si="105"/>
        <v>0.18935947346640591</v>
      </c>
      <c r="AU210" s="18">
        <f t="shared" si="106"/>
        <v>-0.32688094913359234</v>
      </c>
      <c r="AV210" s="49">
        <f t="shared" si="107"/>
        <v>2633349.8222933002</v>
      </c>
      <c r="AW210" s="49">
        <f t="shared" si="108"/>
        <v>698638.37411903101</v>
      </c>
      <c r="AX210" s="39">
        <f t="shared" si="109"/>
        <v>1.192863163643183</v>
      </c>
      <c r="AY210" s="39">
        <f t="shared" si="110"/>
        <v>0.57219588102941932</v>
      </c>
      <c r="AZ210" s="39">
        <f t="shared" si="111"/>
        <v>1.0627240528080806</v>
      </c>
      <c r="BA210" s="18">
        <v>2.21789960037788E-2</v>
      </c>
      <c r="BB210" s="20">
        <v>2.2088507500006099E-2</v>
      </c>
      <c r="BC210" s="17">
        <f t="shared" si="112"/>
        <v>507876.17770669982</v>
      </c>
      <c r="BD210" s="17">
        <f t="shared" si="113"/>
        <v>-298880.37411903101</v>
      </c>
      <c r="BE210" s="17">
        <f t="shared" si="91"/>
        <v>500118.68965517217</v>
      </c>
      <c r="BF210" s="17">
        <f t="shared" si="92"/>
        <v>-194131</v>
      </c>
      <c r="BG210" s="27"/>
      <c r="BH210" s="7"/>
    </row>
    <row r="211" spans="1:63" ht="14.25" hidden="1" customHeight="1" x14ac:dyDescent="0.35">
      <c r="A211" s="19">
        <v>45865</v>
      </c>
      <c r="B211" s="17">
        <f>+'BD MD'!B210</f>
        <v>47081332</v>
      </c>
      <c r="C211" s="17">
        <f t="shared" si="94"/>
        <v>3234996.3103448278</v>
      </c>
      <c r="D211" s="18">
        <f t="shared" si="88"/>
        <v>2.8074877451927861E-2</v>
      </c>
      <c r="E211" s="17">
        <v>29411304</v>
      </c>
      <c r="F211" s="19">
        <v>46230</v>
      </c>
      <c r="G211" s="17">
        <f t="shared" si="95"/>
        <v>4217898.0455742115</v>
      </c>
      <c r="H211" s="17">
        <v>3424148.2696549399</v>
      </c>
      <c r="I211" s="17">
        <v>793749.77591927198</v>
      </c>
      <c r="J211" s="17">
        <v>2492742</v>
      </c>
      <c r="K211" s="17">
        <v>4417927</v>
      </c>
      <c r="L211" s="17">
        <v>46004.310344827602</v>
      </c>
      <c r="M211" s="17">
        <v>45240</v>
      </c>
      <c r="N211" s="17">
        <v>188</v>
      </c>
      <c r="O211" s="17">
        <v>73371</v>
      </c>
      <c r="P211" s="17">
        <v>5260</v>
      </c>
      <c r="Q211" s="17">
        <v>3507</v>
      </c>
      <c r="R211" s="17">
        <v>96913</v>
      </c>
      <c r="S211" s="17">
        <v>87576</v>
      </c>
      <c r="T211" s="17">
        <v>456920</v>
      </c>
      <c r="U211" s="17">
        <v>340627</v>
      </c>
      <c r="V211" s="17">
        <v>102581</v>
      </c>
      <c r="W211" s="17">
        <v>129532</v>
      </c>
      <c r="X211" s="17">
        <v>25564</v>
      </c>
      <c r="Y211" s="17">
        <v>9756</v>
      </c>
      <c r="Z211" s="17">
        <v>8824</v>
      </c>
      <c r="AA211" s="17">
        <v>10295</v>
      </c>
      <c r="AB211" s="17">
        <v>0</v>
      </c>
      <c r="AC211" s="17">
        <v>6328</v>
      </c>
      <c r="AD211" s="17">
        <v>0</v>
      </c>
      <c r="AE211" s="17">
        <v>3358</v>
      </c>
      <c r="AF211" s="17">
        <f t="shared" si="96"/>
        <v>5127517</v>
      </c>
      <c r="AG211" s="18">
        <f t="shared" si="97"/>
        <v>1.2156569325757507</v>
      </c>
      <c r="AH211" s="17">
        <f t="shared" si="98"/>
        <v>909618.95442578848</v>
      </c>
      <c r="AI211" s="20">
        <f t="shared" si="99"/>
        <v>9.9398434623293674E-2</v>
      </c>
      <c r="AJ211" s="20">
        <f t="shared" si="100"/>
        <v>0.14756652797888589</v>
      </c>
      <c r="AK211" s="21">
        <f t="shared" si="89"/>
        <v>0.1743383088352696</v>
      </c>
      <c r="AL211" s="21">
        <f t="shared" si="101"/>
        <v>-6.9427649340827458E-2</v>
      </c>
      <c r="AM211" s="31"/>
      <c r="AO211" s="38">
        <f t="shared" si="102"/>
        <v>46230</v>
      </c>
      <c r="AP211" s="17">
        <f t="shared" si="93"/>
        <v>3679594.6896551722</v>
      </c>
      <c r="AQ211" s="17">
        <f t="shared" si="90"/>
        <v>984335</v>
      </c>
      <c r="AR211" s="17">
        <f t="shared" si="103"/>
        <v>4627621</v>
      </c>
      <c r="AS211" s="17">
        <f t="shared" si="104"/>
        <v>499896</v>
      </c>
      <c r="AT211" s="18">
        <f t="shared" si="105"/>
        <v>0.25764422179706714</v>
      </c>
      <c r="AU211" s="18">
        <f t="shared" si="106"/>
        <v>-0.49214850635200413</v>
      </c>
      <c r="AV211" s="49">
        <f t="shared" si="107"/>
        <v>3424148.2696549399</v>
      </c>
      <c r="AW211" s="49">
        <f t="shared" si="108"/>
        <v>793749.77591927198</v>
      </c>
      <c r="AX211" s="39">
        <f t="shared" si="109"/>
        <v>1.3514663021488662</v>
      </c>
      <c r="AY211" s="39">
        <f t="shared" si="110"/>
        <v>0.6297904140143552</v>
      </c>
      <c r="AZ211" s="39">
        <f t="shared" si="111"/>
        <v>1.2156569325757507</v>
      </c>
      <c r="BA211" s="18">
        <v>2.5198405584738799E-2</v>
      </c>
      <c r="BB211" s="20">
        <v>2.87217156243747E-2</v>
      </c>
      <c r="BC211" s="17">
        <f t="shared" si="112"/>
        <v>1203472.7303450601</v>
      </c>
      <c r="BD211" s="17">
        <f t="shared" si="113"/>
        <v>-293853.77591927198</v>
      </c>
      <c r="BE211" s="17">
        <f t="shared" si="91"/>
        <v>948026.31034482783</v>
      </c>
      <c r="BF211" s="17">
        <f t="shared" si="92"/>
        <v>-484439</v>
      </c>
      <c r="BG211" s="27"/>
      <c r="BH211" s="7"/>
    </row>
    <row r="212" spans="1:63" ht="14.25" hidden="1" customHeight="1" x14ac:dyDescent="0.35">
      <c r="A212" s="16">
        <v>45866</v>
      </c>
      <c r="B212" s="17">
        <f>+'BD MD'!B211</f>
        <v>31605607</v>
      </c>
      <c r="C212" s="17">
        <f t="shared" si="94"/>
        <v>4663929.6896551717</v>
      </c>
      <c r="D212" s="18">
        <f t="shared" si="88"/>
        <v>4.0475858987152814E-2</v>
      </c>
      <c r="E212" s="17">
        <v>31625771</v>
      </c>
      <c r="F212" s="19">
        <v>46231</v>
      </c>
      <c r="G212" s="17">
        <f t="shared" si="95"/>
        <v>6086120.65077102</v>
      </c>
      <c r="H212" s="17">
        <v>4770528.5356123</v>
      </c>
      <c r="I212" s="17">
        <v>1315592.1151587199</v>
      </c>
      <c r="J212" s="17">
        <v>3484387</v>
      </c>
      <c r="K212" s="17">
        <v>3634734</v>
      </c>
      <c r="L212" s="17">
        <v>44995.689655172398</v>
      </c>
      <c r="M212" s="17">
        <v>42976</v>
      </c>
      <c r="N212" s="17">
        <v>50334</v>
      </c>
      <c r="O212" s="17">
        <v>19778</v>
      </c>
      <c r="P212" s="17">
        <v>7472</v>
      </c>
      <c r="Q212" s="17">
        <v>1549</v>
      </c>
      <c r="R212" s="17">
        <v>92406</v>
      </c>
      <c r="S212" s="17">
        <v>119572</v>
      </c>
      <c r="T212" s="17">
        <v>769591</v>
      </c>
      <c r="U212" s="17">
        <v>359776</v>
      </c>
      <c r="V212" s="17">
        <v>185943</v>
      </c>
      <c r="W212" s="17">
        <v>124232</v>
      </c>
      <c r="X212" s="17">
        <v>24718</v>
      </c>
      <c r="Y212" s="17">
        <v>3776</v>
      </c>
      <c r="Z212" s="17">
        <v>4083</v>
      </c>
      <c r="AA212" s="17">
        <v>12332</v>
      </c>
      <c r="AB212" s="17">
        <v>0</v>
      </c>
      <c r="AC212" s="17">
        <v>4861</v>
      </c>
      <c r="AD212" s="17">
        <v>0</v>
      </c>
      <c r="AE212" s="17">
        <v>1636</v>
      </c>
      <c r="AF212" s="17">
        <f t="shared" si="96"/>
        <v>4325222</v>
      </c>
      <c r="AG212" s="18">
        <f t="shared" si="97"/>
        <v>0.71066977606696957</v>
      </c>
      <c r="AH212" s="17">
        <f t="shared" si="98"/>
        <v>-1760898.65077102</v>
      </c>
      <c r="AI212" s="20">
        <f t="shared" si="99"/>
        <v>-0.11936896513482476</v>
      </c>
      <c r="AJ212" s="20">
        <f t="shared" si="100"/>
        <v>0.14039380085167399</v>
      </c>
      <c r="AK212" s="21">
        <f t="shared" si="89"/>
        <v>0.13676257884748486</v>
      </c>
      <c r="AL212" s="21">
        <f t="shared" si="101"/>
        <v>-9.5987080862663166E-2</v>
      </c>
      <c r="AM212" s="31"/>
      <c r="AO212" s="38">
        <f t="shared" si="102"/>
        <v>46231</v>
      </c>
      <c r="AP212" s="17">
        <f t="shared" si="93"/>
        <v>3976106.0344827585</v>
      </c>
      <c r="AQ212" s="17">
        <f t="shared" si="90"/>
        <v>935397</v>
      </c>
      <c r="AR212" s="17">
        <f t="shared" si="103"/>
        <v>3818609</v>
      </c>
      <c r="AS212" s="17">
        <f t="shared" si="104"/>
        <v>506613</v>
      </c>
      <c r="AT212" s="18">
        <f t="shared" si="105"/>
        <v>-3.9610873834064364E-2</v>
      </c>
      <c r="AU212" s="18">
        <f t="shared" si="106"/>
        <v>-0.45839787812019928</v>
      </c>
      <c r="AV212" s="49">
        <f t="shared" si="107"/>
        <v>4770528.5356123</v>
      </c>
      <c r="AW212" s="49">
        <f t="shared" si="108"/>
        <v>1315592.1151587199</v>
      </c>
      <c r="AX212" s="39">
        <f t="shared" si="109"/>
        <v>0.80045826610067206</v>
      </c>
      <c r="AY212" s="39">
        <f t="shared" si="110"/>
        <v>0.38508363964987702</v>
      </c>
      <c r="AZ212" s="39">
        <f t="shared" si="111"/>
        <v>0.71066977606696957</v>
      </c>
      <c r="BA212" s="18">
        <v>4.1764829052657798E-2</v>
      </c>
      <c r="BB212" s="20">
        <v>4.0015137542986398E-2</v>
      </c>
      <c r="BC212" s="17">
        <f t="shared" si="112"/>
        <v>-951919.53561230004</v>
      </c>
      <c r="BD212" s="17">
        <f t="shared" si="113"/>
        <v>-808979.11515871994</v>
      </c>
      <c r="BE212" s="17">
        <f t="shared" si="91"/>
        <v>-157497.03448275849</v>
      </c>
      <c r="BF212" s="17">
        <f t="shared" si="92"/>
        <v>-428784</v>
      </c>
      <c r="BG212" s="27"/>
      <c r="BH212" s="7"/>
    </row>
    <row r="213" spans="1:63" ht="14.25" hidden="1" customHeight="1" x14ac:dyDescent="0.35">
      <c r="A213" s="19">
        <v>45867</v>
      </c>
      <c r="B213" s="17">
        <f>+'BD MD'!B212</f>
        <v>34983760</v>
      </c>
      <c r="C213" s="17">
        <f t="shared" si="94"/>
        <v>4911503.0344827585</v>
      </c>
      <c r="D213" s="18">
        <f t="shared" si="88"/>
        <v>4.2624421350012973E-2</v>
      </c>
      <c r="E213" s="17">
        <v>34751018</v>
      </c>
      <c r="F213" s="19">
        <v>46232</v>
      </c>
      <c r="G213" s="17">
        <f t="shared" si="95"/>
        <v>6405135.2441936303</v>
      </c>
      <c r="H213" s="17">
        <v>5154950.1773788603</v>
      </c>
      <c r="I213" s="17">
        <v>1250185.06681477</v>
      </c>
      <c r="J213" s="17">
        <v>3757033</v>
      </c>
      <c r="K213" s="17">
        <v>3823589</v>
      </c>
      <c r="L213" s="17">
        <v>48606.034482758601</v>
      </c>
      <c r="M213" s="17">
        <v>45162</v>
      </c>
      <c r="N213" s="17">
        <v>41706</v>
      </c>
      <c r="O213" s="17">
        <v>9832</v>
      </c>
      <c r="P213" s="17">
        <v>2828</v>
      </c>
      <c r="Q213" s="17">
        <v>6476</v>
      </c>
      <c r="R213" s="17">
        <v>125933</v>
      </c>
      <c r="S213" s="17">
        <v>73400</v>
      </c>
      <c r="T213" s="17">
        <v>723558</v>
      </c>
      <c r="U213" s="17">
        <v>422769</v>
      </c>
      <c r="V213" s="17">
        <v>178272</v>
      </c>
      <c r="W213" s="17">
        <v>119136</v>
      </c>
      <c r="X213" s="17">
        <v>20718</v>
      </c>
      <c r="Y213" s="17">
        <v>13325</v>
      </c>
      <c r="Z213" s="17">
        <v>12849</v>
      </c>
      <c r="AA213" s="17">
        <v>8955</v>
      </c>
      <c r="AB213" s="17">
        <v>0</v>
      </c>
      <c r="AC213" s="17">
        <v>9537</v>
      </c>
      <c r="AD213" s="17">
        <v>0</v>
      </c>
      <c r="AE213" s="17">
        <v>689</v>
      </c>
      <c r="AF213" s="17">
        <f t="shared" si="96"/>
        <v>4532870</v>
      </c>
      <c r="AG213" s="18">
        <f t="shared" si="97"/>
        <v>0.70769309736420127</v>
      </c>
      <c r="AH213" s="17">
        <f t="shared" si="98"/>
        <v>-1872265.2441936303</v>
      </c>
      <c r="AI213" s="20">
        <f t="shared" si="99"/>
        <v>-5.4965750204157837E-3</v>
      </c>
      <c r="AJ213" s="20">
        <f t="shared" si="100"/>
        <v>0.11902965545548119</v>
      </c>
      <c r="AK213" s="21">
        <f t="shared" si="89"/>
        <v>0.13043848096766547</v>
      </c>
      <c r="AL213" s="21">
        <f t="shared" si="101"/>
        <v>-9.248099834925172E-2</v>
      </c>
      <c r="AM213" s="31"/>
      <c r="AO213" s="38">
        <f t="shared" si="102"/>
        <v>46232</v>
      </c>
      <c r="AP213" s="17">
        <f t="shared" si="93"/>
        <v>3656323.9655172415</v>
      </c>
      <c r="AQ213" s="17">
        <f t="shared" si="90"/>
        <v>901599</v>
      </c>
      <c r="AR213" s="17">
        <f t="shared" si="103"/>
        <v>3958459</v>
      </c>
      <c r="AS213" s="17">
        <f t="shared" si="104"/>
        <v>574411</v>
      </c>
      <c r="AT213" s="18">
        <f t="shared" si="105"/>
        <v>8.2633551439148079E-2</v>
      </c>
      <c r="AU213" s="18">
        <f t="shared" si="106"/>
        <v>-0.36289747437608066</v>
      </c>
      <c r="AV213" s="49">
        <f t="shared" si="107"/>
        <v>5154950.1773788603</v>
      </c>
      <c r="AW213" s="49">
        <f t="shared" si="108"/>
        <v>1250185.06681477</v>
      </c>
      <c r="AX213" s="39">
        <f t="shared" si="109"/>
        <v>0.76789471552424571</v>
      </c>
      <c r="AY213" s="39">
        <f t="shared" si="110"/>
        <v>0.45946077524625073</v>
      </c>
      <c r="AZ213" s="39">
        <f t="shared" si="111"/>
        <v>0.70769309736420127</v>
      </c>
      <c r="BA213" s="18">
        <v>3.9688414819516599E-2</v>
      </c>
      <c r="BB213" s="20">
        <v>4.3239661776508301E-2</v>
      </c>
      <c r="BC213" s="17">
        <f t="shared" si="112"/>
        <v>-1196491.1773788603</v>
      </c>
      <c r="BD213" s="17">
        <f t="shared" si="113"/>
        <v>-675774.06681476999</v>
      </c>
      <c r="BE213" s="17">
        <f t="shared" si="91"/>
        <v>302135.03448275849</v>
      </c>
      <c r="BF213" s="17">
        <f t="shared" si="92"/>
        <v>-327188</v>
      </c>
      <c r="BG213" s="27"/>
      <c r="BH213" s="7"/>
    </row>
    <row r="214" spans="1:63" ht="14.25" hidden="1" customHeight="1" x14ac:dyDescent="0.35">
      <c r="A214" s="16">
        <v>45868</v>
      </c>
      <c r="B214" s="17">
        <f>+'BD MD'!B213</f>
        <v>38292331</v>
      </c>
      <c r="C214" s="17">
        <f t="shared" si="94"/>
        <v>4557922.9655172415</v>
      </c>
      <c r="D214" s="18">
        <f t="shared" si="88"/>
        <v>3.955588087783142E-2</v>
      </c>
      <c r="E214" s="17">
        <v>39086770</v>
      </c>
      <c r="F214" s="19">
        <v>46233</v>
      </c>
      <c r="G214" s="17">
        <f t="shared" si="95"/>
        <v>5945371.52413911</v>
      </c>
      <c r="H214" s="17">
        <v>4740358.4590393398</v>
      </c>
      <c r="I214" s="17">
        <v>1205013.06509977</v>
      </c>
      <c r="J214" s="17">
        <v>3422418</v>
      </c>
      <c r="K214" s="17">
        <v>3050571</v>
      </c>
      <c r="L214" s="17">
        <v>44943.965517241399</v>
      </c>
      <c r="M214" s="17">
        <v>48847</v>
      </c>
      <c r="N214" s="17">
        <v>35371</v>
      </c>
      <c r="O214" s="17">
        <v>5466</v>
      </c>
      <c r="P214" s="17">
        <v>6861</v>
      </c>
      <c r="Q214" s="17">
        <v>0</v>
      </c>
      <c r="R214" s="17">
        <v>146730</v>
      </c>
      <c r="S214" s="17">
        <v>119208</v>
      </c>
      <c r="T214" s="17">
        <v>716501</v>
      </c>
      <c r="U214" s="17">
        <v>525363</v>
      </c>
      <c r="V214" s="17">
        <v>157888</v>
      </c>
      <c r="W214" s="17">
        <v>148304</v>
      </c>
      <c r="X214" s="17">
        <v>21031</v>
      </c>
      <c r="Y214" s="17">
        <v>15409</v>
      </c>
      <c r="Z214" s="17">
        <v>6179</v>
      </c>
      <c r="AA214" s="17">
        <v>8317</v>
      </c>
      <c r="AB214" s="17">
        <v>0</v>
      </c>
      <c r="AC214" s="17">
        <v>9625</v>
      </c>
      <c r="AD214" s="17">
        <v>0</v>
      </c>
      <c r="AE214" s="17">
        <v>3832</v>
      </c>
      <c r="AF214" s="17">
        <f t="shared" si="96"/>
        <v>3934942</v>
      </c>
      <c r="AG214" s="18">
        <f t="shared" si="97"/>
        <v>0.66184963950924491</v>
      </c>
      <c r="AH214" s="17">
        <f t="shared" si="98"/>
        <v>-2010429.52413911</v>
      </c>
      <c r="AI214" s="20">
        <f t="shared" si="99"/>
        <v>-0.10694752010074637</v>
      </c>
      <c r="AJ214" s="20">
        <f t="shared" si="100"/>
        <v>0.10427042440616778</v>
      </c>
      <c r="AK214" s="21">
        <f t="shared" si="89"/>
        <v>0.10067196649915049</v>
      </c>
      <c r="AL214" s="21">
        <f t="shared" si="101"/>
        <v>-7.5025905082905409E-2</v>
      </c>
      <c r="AM214" s="31"/>
      <c r="AO214" s="38">
        <f t="shared" si="102"/>
        <v>46233</v>
      </c>
      <c r="AP214" s="17">
        <f t="shared" si="93"/>
        <v>3484019.068965517</v>
      </c>
      <c r="AQ214" s="17">
        <f t="shared" si="90"/>
        <v>922152</v>
      </c>
      <c r="AR214" s="17">
        <f t="shared" si="103"/>
        <v>3224092</v>
      </c>
      <c r="AS214" s="17">
        <f t="shared" si="104"/>
        <v>710850</v>
      </c>
      <c r="AT214" s="18">
        <f t="shared" si="105"/>
        <v>-7.4605524200731521E-2</v>
      </c>
      <c r="AU214" s="18">
        <f t="shared" si="106"/>
        <v>-0.2291400983785753</v>
      </c>
      <c r="AV214" s="49">
        <f t="shared" si="107"/>
        <v>4740358.4590393398</v>
      </c>
      <c r="AW214" s="49">
        <f t="shared" si="108"/>
        <v>1205013.06509977</v>
      </c>
      <c r="AX214" s="39">
        <f t="shared" si="109"/>
        <v>0.68013675080879443</v>
      </c>
      <c r="AY214" s="39">
        <f t="shared" si="110"/>
        <v>0.58991061639746178</v>
      </c>
      <c r="AZ214" s="39">
        <f t="shared" si="111"/>
        <v>0.66184963950924491</v>
      </c>
      <c r="BA214" s="18">
        <v>3.8254383019040501E-2</v>
      </c>
      <c r="BB214" s="20">
        <v>3.9762071293673103E-2</v>
      </c>
      <c r="BC214" s="17">
        <f t="shared" si="112"/>
        <v>-1516266.4590393398</v>
      </c>
      <c r="BD214" s="17">
        <f t="shared" si="113"/>
        <v>-494163.06509976997</v>
      </c>
      <c r="BE214" s="17">
        <f t="shared" si="91"/>
        <v>-259927.06896551698</v>
      </c>
      <c r="BF214" s="17">
        <f t="shared" si="92"/>
        <v>-211302</v>
      </c>
      <c r="BG214" s="27"/>
      <c r="BH214" s="7"/>
    </row>
    <row r="215" spans="1:63" ht="14.25" hidden="1" customHeight="1" x14ac:dyDescent="0.35">
      <c r="A215" s="19">
        <v>45869</v>
      </c>
      <c r="B215" s="17">
        <f>+'BD MD'!B214</f>
        <v>42257151</v>
      </c>
      <c r="C215" s="17">
        <f t="shared" si="94"/>
        <v>4406171.068965517</v>
      </c>
      <c r="D215" s="18">
        <f t="shared" si="88"/>
        <v>3.8238903827451674E-2</v>
      </c>
      <c r="E215" s="17">
        <v>38926840</v>
      </c>
      <c r="F215" s="19">
        <v>46234</v>
      </c>
      <c r="G215" s="17">
        <f t="shared" si="95"/>
        <v>5749450.9926290801</v>
      </c>
      <c r="H215" s="17">
        <v>4516968.2502925303</v>
      </c>
      <c r="I215" s="17">
        <v>1232482.74233655</v>
      </c>
      <c r="J215" s="17">
        <v>3229434</v>
      </c>
      <c r="K215" s="17">
        <v>2903566</v>
      </c>
      <c r="L215" s="17">
        <v>53487.068965517203</v>
      </c>
      <c r="M215" s="17">
        <v>49697</v>
      </c>
      <c r="N215" s="17">
        <v>38487</v>
      </c>
      <c r="O215" s="17">
        <v>28578</v>
      </c>
      <c r="P215" s="17">
        <v>4745</v>
      </c>
      <c r="Q215" s="17">
        <v>11071</v>
      </c>
      <c r="R215" s="17">
        <v>157866</v>
      </c>
      <c r="S215" s="17">
        <v>72428</v>
      </c>
      <c r="T215" s="17">
        <v>760045</v>
      </c>
      <c r="U215" s="17">
        <v>381868</v>
      </c>
      <c r="V215" s="17">
        <v>130193</v>
      </c>
      <c r="W215" s="17">
        <v>115054</v>
      </c>
      <c r="X215" s="17">
        <v>26548</v>
      </c>
      <c r="Y215" s="17">
        <v>16287</v>
      </c>
      <c r="Z215" s="17">
        <v>5366</v>
      </c>
      <c r="AA215" s="17">
        <v>8524</v>
      </c>
      <c r="AB215" s="17">
        <v>0</v>
      </c>
      <c r="AC215" s="17">
        <v>12321</v>
      </c>
      <c r="AD215" s="17">
        <v>0</v>
      </c>
      <c r="AE215" s="17">
        <v>3617</v>
      </c>
      <c r="AF215" s="17">
        <f t="shared" si="96"/>
        <v>3603011</v>
      </c>
      <c r="AG215" s="18">
        <f t="shared" si="97"/>
        <v>0.62667044290300722</v>
      </c>
      <c r="AH215" s="17">
        <f t="shared" si="98"/>
        <v>-2146439.9926290801</v>
      </c>
      <c r="AI215" s="20">
        <f t="shared" si="99"/>
        <v>-3.1272573450989993E-2</v>
      </c>
      <c r="AJ215" s="20">
        <f t="shared" si="100"/>
        <v>8.8205863895906289E-2</v>
      </c>
      <c r="AK215" s="21">
        <f t="shared" si="89"/>
        <v>9.2558527740756763E-2</v>
      </c>
      <c r="AL215" s="21">
        <f t="shared" si="101"/>
        <v>-7.682801764371594E-2</v>
      </c>
      <c r="AM215" s="31"/>
      <c r="AO215" s="38">
        <f t="shared" si="102"/>
        <v>46234</v>
      </c>
      <c r="AP215" s="17">
        <f>J185+L185+N185+P185+R185</f>
        <v>3850711.4137931033</v>
      </c>
      <c r="AQ215" s="17">
        <f>T185+V185+X185+Z185+AB185+AD185</f>
        <v>786811</v>
      </c>
      <c r="AR215" s="17">
        <f t="shared" si="103"/>
        <v>3065340</v>
      </c>
      <c r="AS215" s="17">
        <f t="shared" si="104"/>
        <v>537671</v>
      </c>
      <c r="AT215" s="18">
        <f t="shared" si="105"/>
        <v>-0.20395488765528691</v>
      </c>
      <c r="AU215" s="18">
        <f t="shared" si="106"/>
        <v>-0.31664529346946091</v>
      </c>
      <c r="AV215" s="49">
        <f t="shared" si="107"/>
        <v>4516968.2502925303</v>
      </c>
      <c r="AW215" s="49">
        <f t="shared" si="108"/>
        <v>1232482.74233655</v>
      </c>
      <c r="AX215" s="39">
        <f t="shared" si="109"/>
        <v>0.67862774988544161</v>
      </c>
      <c r="AY215" s="39">
        <f t="shared" si="110"/>
        <v>0.43625032751426546</v>
      </c>
      <c r="AZ215" s="39">
        <f t="shared" si="111"/>
        <v>0.62667044290300722</v>
      </c>
      <c r="BA215" s="18">
        <v>3.9126436264652197E-2</v>
      </c>
      <c r="BB215" s="20">
        <v>3.78882768363022E-2</v>
      </c>
      <c r="BC215" s="17">
        <f t="shared" ref="BC215:BC216" si="114">+AR215-AV215</f>
        <v>-1451628.2502925303</v>
      </c>
      <c r="BD215" s="17">
        <f t="shared" ref="BD215:BD216" si="115">+AS215-AW215</f>
        <v>-694811.74233655003</v>
      </c>
      <c r="BE215" s="17">
        <f t="shared" ref="BE215:BE216" si="116">AR215-AP215</f>
        <v>-785371.4137931033</v>
      </c>
      <c r="BF215" s="17">
        <f t="shared" ref="BF215:BF216" si="117">AS215-AQ215</f>
        <v>-249140</v>
      </c>
      <c r="BG215" s="27"/>
      <c r="BH215" s="7"/>
    </row>
    <row r="216" spans="1:63" ht="14.25" hidden="1" customHeight="1" x14ac:dyDescent="0.35">
      <c r="A216" s="16">
        <v>45870</v>
      </c>
      <c r="B216" s="17">
        <f>+'BD MD'!B215</f>
        <v>42166401</v>
      </c>
      <c r="C216" s="17">
        <f>+J216+L216+N216+P216+R216+T216+V216+X216+Z216+AB216+AD216</f>
        <v>3719323.8275862071</v>
      </c>
      <c r="D216" s="18">
        <f t="shared" ref="D216:D246" si="118">+C216/(SUM($C$216:$C$246))</f>
        <v>2.5617418980320671E-2</v>
      </c>
      <c r="E216" s="17">
        <v>47869700</v>
      </c>
      <c r="F216" s="19">
        <v>46235</v>
      </c>
      <c r="G216" s="17">
        <f t="shared" si="95"/>
        <v>4918875.4135660902</v>
      </c>
      <c r="H216" s="17">
        <v>3866025.8284156998</v>
      </c>
      <c r="I216" s="17">
        <v>1052849.5851503899</v>
      </c>
      <c r="J216" s="17">
        <v>2745483</v>
      </c>
      <c r="K216" s="17">
        <v>2446126</v>
      </c>
      <c r="L216" s="17">
        <v>43694.827586206899</v>
      </c>
      <c r="M216" s="17">
        <v>48403</v>
      </c>
      <c r="N216" s="17">
        <v>12201</v>
      </c>
      <c r="O216" s="17">
        <v>6004</v>
      </c>
      <c r="P216" s="17">
        <v>2825</v>
      </c>
      <c r="Q216" s="17">
        <v>1786</v>
      </c>
      <c r="R216" s="17">
        <v>168709</v>
      </c>
      <c r="S216" s="17">
        <v>85521</v>
      </c>
      <c r="T216" s="17">
        <v>619607</v>
      </c>
      <c r="U216" s="17">
        <v>329279</v>
      </c>
      <c r="V216" s="17">
        <v>90655</v>
      </c>
      <c r="W216" s="17">
        <v>108433</v>
      </c>
      <c r="X216" s="17">
        <v>24972</v>
      </c>
      <c r="Y216" s="17">
        <v>26082</v>
      </c>
      <c r="Z216" s="17">
        <v>11177</v>
      </c>
      <c r="AA216" s="17">
        <v>12102</v>
      </c>
      <c r="AB216" s="17">
        <v>0</v>
      </c>
      <c r="AC216" s="17">
        <v>5795</v>
      </c>
      <c r="AD216" s="17">
        <v>0</v>
      </c>
      <c r="AE216" s="17">
        <v>2041</v>
      </c>
      <c r="AF216" s="17">
        <f t="shared" si="96"/>
        <v>3071572</v>
      </c>
      <c r="AG216" s="18">
        <f t="shared" si="97"/>
        <v>0.62444598444772748</v>
      </c>
      <c r="AH216" s="17">
        <f t="shared" si="98"/>
        <v>-1847303.4135660902</v>
      </c>
      <c r="AI216" s="20">
        <f t="shared" si="99"/>
        <v>2.0871625016340989E-3</v>
      </c>
      <c r="AJ216" s="20">
        <f t="shared" si="100"/>
        <v>5.7847091245027286E-2</v>
      </c>
      <c r="AK216" s="21">
        <f t="shared" ref="AK216:AK247" si="119">+AF216/E216</f>
        <v>6.4165265293076826E-2</v>
      </c>
      <c r="AL216" s="21">
        <f t="shared" si="101"/>
        <v>-9.6585555129669154E-2</v>
      </c>
      <c r="AM216" s="31"/>
      <c r="AO216" s="38">
        <f t="shared" si="102"/>
        <v>46235</v>
      </c>
      <c r="AP216" s="17">
        <f>+Tabla22[[#This Row],[Web + APP 2025]]+Tabla22[[#This Row],[Afiliados 2025]]+Tabla22[[#This Row],[TMK 2025]]+Tabla22[[#This Row],[WA 2025]]+Tabla22[[#This Row],[Ent. en Tienda 2025]]</f>
        <v>2972912.8275862071</v>
      </c>
      <c r="AQ216" s="17">
        <f>+Tabla22[[#This Row],[Meli Drop 2025]]+Tabla22[[#This Row],[Meli Full 2025]]+Tabla22[[#This Row],[Amazon Drop 2025]]+Tabla22[[#This Row],[Amazon Full 2025]]+Tabla22[[#This Row],[TikTok 2025]]+Tabla22[[#This Row],[Shein 2025]]</f>
        <v>746411</v>
      </c>
      <c r="AR216" s="17">
        <f t="shared" si="103"/>
        <v>2587840</v>
      </c>
      <c r="AS216" s="17">
        <f t="shared" si="104"/>
        <v>483732</v>
      </c>
      <c r="AT216" s="18">
        <f t="shared" si="105"/>
        <v>-0.12952711697869013</v>
      </c>
      <c r="AU216" s="18">
        <f t="shared" si="106"/>
        <v>-0.35192273425766774</v>
      </c>
      <c r="AV216" s="49">
        <f>+H216</f>
        <v>3866025.8284156998</v>
      </c>
      <c r="AW216" s="49">
        <f t="shared" si="108"/>
        <v>1052849.5851503899</v>
      </c>
      <c r="AX216" s="39">
        <f t="shared" si="109"/>
        <v>0.66937990454670571</v>
      </c>
      <c r="AY216" s="39">
        <f t="shared" si="110"/>
        <v>0.45945024514674937</v>
      </c>
      <c r="AZ216" s="39">
        <f t="shared" si="111"/>
        <v>0.62444598444772748</v>
      </c>
      <c r="BA216" s="18">
        <v>2.53698695216962E-2</v>
      </c>
      <c r="BB216" s="20">
        <v>2.56795879631725E-2</v>
      </c>
      <c r="BC216" s="17">
        <f t="shared" si="114"/>
        <v>-1278185.8284156998</v>
      </c>
      <c r="BD216" s="17">
        <f t="shared" si="115"/>
        <v>-569117.58515038993</v>
      </c>
      <c r="BE216" s="17">
        <f t="shared" si="116"/>
        <v>-385072.82758620707</v>
      </c>
      <c r="BF216" s="17">
        <f t="shared" si="117"/>
        <v>-262679</v>
      </c>
      <c r="BH216" s="6">
        <f>SUM(W216:W246)</f>
        <v>6169475</v>
      </c>
      <c r="BI216" s="6">
        <f>SUM(V216:V219)</f>
        <v>320980</v>
      </c>
      <c r="BJ216" s="6">
        <f>SUM(U216:U246)</f>
        <v>14766251</v>
      </c>
      <c r="BK216" s="6">
        <f>SUM(T216:T219)</f>
        <v>2687688</v>
      </c>
    </row>
    <row r="217" spans="1:63" ht="14.25" hidden="1" customHeight="1" x14ac:dyDescent="0.35">
      <c r="A217" s="19">
        <v>45871</v>
      </c>
      <c r="B217" s="17">
        <f>+'BD MD'!B216</f>
        <v>52987530</v>
      </c>
      <c r="C217" s="17">
        <f t="shared" si="94"/>
        <v>3065174.4827586208</v>
      </c>
      <c r="D217" s="18">
        <f t="shared" si="118"/>
        <v>2.1111864041043975E-2</v>
      </c>
      <c r="E217" s="17">
        <v>49204889</v>
      </c>
      <c r="F217" s="19">
        <v>46236</v>
      </c>
      <c r="G217" s="17">
        <f t="shared" si="95"/>
        <v>4071434.6100753602</v>
      </c>
      <c r="H217" s="17">
        <v>2977267.21201998</v>
      </c>
      <c r="I217" s="17">
        <v>1094167.39805538</v>
      </c>
      <c r="J217" s="17">
        <v>2144459</v>
      </c>
      <c r="K217" s="17">
        <v>2980176</v>
      </c>
      <c r="L217" s="17">
        <v>42634.482758620703</v>
      </c>
      <c r="M217" s="17">
        <v>54927</v>
      </c>
      <c r="N217" s="17">
        <v>10464</v>
      </c>
      <c r="O217" s="17">
        <v>0</v>
      </c>
      <c r="P217" s="17">
        <v>4246</v>
      </c>
      <c r="Q217" s="17">
        <v>2470</v>
      </c>
      <c r="R217" s="17">
        <v>87668</v>
      </c>
      <c r="S217" s="17">
        <v>72324</v>
      </c>
      <c r="T217" s="17">
        <v>684341</v>
      </c>
      <c r="U217" s="17">
        <v>378023</v>
      </c>
      <c r="V217" s="17">
        <v>63880</v>
      </c>
      <c r="W217" s="17">
        <v>109603</v>
      </c>
      <c r="X217" s="17">
        <v>21198</v>
      </c>
      <c r="Y217" s="17">
        <v>27620</v>
      </c>
      <c r="Z217" s="17">
        <v>6284</v>
      </c>
      <c r="AA217" s="17">
        <v>16588</v>
      </c>
      <c r="AB217" s="17">
        <v>0</v>
      </c>
      <c r="AC217" s="17">
        <v>6225</v>
      </c>
      <c r="AD217" s="17">
        <v>0</v>
      </c>
      <c r="AE217" s="17">
        <v>861</v>
      </c>
      <c r="AF217" s="17">
        <f t="shared" si="96"/>
        <v>3648817</v>
      </c>
      <c r="AG217" s="18">
        <f t="shared" si="97"/>
        <v>0.89619933744495583</v>
      </c>
      <c r="AH217" s="17">
        <f t="shared" si="98"/>
        <v>-422617.61007536016</v>
      </c>
      <c r="AI217" s="20">
        <f t="shared" si="99"/>
        <v>1.7751738183356069E-2</v>
      </c>
      <c r="AJ217" s="20">
        <f t="shared" si="100"/>
        <v>6.6016287665956533E-2</v>
      </c>
      <c r="AK217" s="21">
        <f t="shared" si="119"/>
        <v>7.415557832068273E-2</v>
      </c>
      <c r="AL217" s="21">
        <f t="shared" si="101"/>
        <v>-9.3956340952704109E-2</v>
      </c>
      <c r="AM217" s="31"/>
      <c r="AO217" s="38">
        <f t="shared" si="102"/>
        <v>46236</v>
      </c>
      <c r="AP217" s="17">
        <f>+Tabla22[[#This Row],[Web + APP 2025]]+Tabla22[[#This Row],[Afiliados 2025]]+Tabla22[[#This Row],[TMK 2025]]+Tabla22[[#This Row],[WA 2025]]+Tabla22[[#This Row],[Ent. en Tienda 2025]]</f>
        <v>2289471.4827586208</v>
      </c>
      <c r="AQ217" s="17">
        <f>+Tabla22[[#This Row],[Meli Drop 2025]]+Tabla22[[#This Row],[Meli Full 2025]]+Tabla22[[#This Row],[Amazon Drop 2025]]+Tabla22[[#This Row],[Amazon Full 2025]]+Tabla22[[#This Row],[TikTok 2025]]+Tabla22[[#This Row],[Shein 2025]]</f>
        <v>775703</v>
      </c>
      <c r="AR217" s="17">
        <f t="shared" si="103"/>
        <v>3109897</v>
      </c>
      <c r="AS217" s="17">
        <f t="shared" si="104"/>
        <v>538920</v>
      </c>
      <c r="AT217" s="18">
        <f t="shared" si="105"/>
        <v>0.35834712221566334</v>
      </c>
      <c r="AU217" s="18">
        <f t="shared" si="106"/>
        <v>-0.30524956072104914</v>
      </c>
      <c r="AV217" s="49">
        <f t="shared" si="107"/>
        <v>2977267.21201998</v>
      </c>
      <c r="AW217" s="49">
        <f t="shared" si="108"/>
        <v>1094167.39805538</v>
      </c>
      <c r="AX217" s="39">
        <f t="shared" si="109"/>
        <v>1.0445474922252729</v>
      </c>
      <c r="AY217" s="39">
        <f t="shared" si="110"/>
        <v>0.49253889391860972</v>
      </c>
      <c r="AZ217" s="39">
        <f t="shared" si="111"/>
        <v>0.89619933744495583</v>
      </c>
      <c r="BA217" s="18">
        <v>2.6365479471213999E-2</v>
      </c>
      <c r="BB217" s="20">
        <v>1.9776121178235299E-2</v>
      </c>
      <c r="BC217" s="17">
        <f t="shared" ref="BC217" si="120">+AR217-AV217</f>
        <v>132629.78798002005</v>
      </c>
      <c r="BD217" s="17">
        <f t="shared" ref="BD217" si="121">+AS217-AW217</f>
        <v>-555247.39805537998</v>
      </c>
      <c r="BE217" s="17">
        <f t="shared" ref="BE217" si="122">AR217-AP217</f>
        <v>820425.51724137925</v>
      </c>
      <c r="BF217" s="17">
        <f t="shared" ref="BF217" si="123">AS217-AQ217</f>
        <v>-236783</v>
      </c>
    </row>
    <row r="218" spans="1:63" ht="14.25" hidden="1" customHeight="1" x14ac:dyDescent="0.35">
      <c r="A218" s="16">
        <v>45872</v>
      </c>
      <c r="B218" s="17">
        <f>+'BD MD'!B217</f>
        <v>54307415</v>
      </c>
      <c r="C218" s="17">
        <f t="shared" si="94"/>
        <v>3585173.9310344825</v>
      </c>
      <c r="D218" s="18">
        <f t="shared" si="118"/>
        <v>2.4693440788197914E-2</v>
      </c>
      <c r="E218" s="17">
        <v>31269737</v>
      </c>
      <c r="F218" s="19">
        <v>46237</v>
      </c>
      <c r="G218" s="17">
        <f t="shared" si="95"/>
        <v>4751209.9008082803</v>
      </c>
      <c r="H218" s="17">
        <v>3611456.3673758898</v>
      </c>
      <c r="I218" s="17">
        <v>1139753.5334323901</v>
      </c>
      <c r="J218" s="17">
        <v>2587395</v>
      </c>
      <c r="K218" s="17">
        <v>4221939</v>
      </c>
      <c r="L218" s="17">
        <v>45812.931034482703</v>
      </c>
      <c r="M218" s="17">
        <v>46928</v>
      </c>
      <c r="N218" s="17">
        <v>9328</v>
      </c>
      <c r="O218" s="17">
        <v>52670</v>
      </c>
      <c r="P218" s="17">
        <v>2300</v>
      </c>
      <c r="Q218" s="17">
        <v>2247</v>
      </c>
      <c r="R218" s="17">
        <v>132317</v>
      </c>
      <c r="S218" s="17">
        <v>65922</v>
      </c>
      <c r="T218" s="17">
        <v>692254</v>
      </c>
      <c r="U218" s="17">
        <v>437544</v>
      </c>
      <c r="V218" s="17">
        <v>69290</v>
      </c>
      <c r="W218" s="17">
        <v>118991</v>
      </c>
      <c r="X218" s="17">
        <v>36198</v>
      </c>
      <c r="Y218" s="17">
        <v>35120</v>
      </c>
      <c r="Z218" s="17">
        <v>10279</v>
      </c>
      <c r="AA218" s="17">
        <v>9760</v>
      </c>
      <c r="AB218" s="17">
        <v>0</v>
      </c>
      <c r="AC218" s="17">
        <v>11524</v>
      </c>
      <c r="AD218" s="17">
        <v>0</v>
      </c>
      <c r="AE218" s="17">
        <v>1378</v>
      </c>
      <c r="AF218" s="17">
        <f t="shared" si="96"/>
        <v>5004023</v>
      </c>
      <c r="AG218" s="18">
        <f t="shared" si="97"/>
        <v>1.0532102568545143</v>
      </c>
      <c r="AH218" s="17">
        <f t="shared" si="98"/>
        <v>252813.09919171967</v>
      </c>
      <c r="AI218" s="20">
        <f t="shared" si="99"/>
        <v>2.9506670880419694E-2</v>
      </c>
      <c r="AJ218" s="20">
        <f t="shared" si="100"/>
        <v>0.14289962755166058</v>
      </c>
      <c r="AK218" s="21">
        <f t="shared" si="119"/>
        <v>0.16002766508717359</v>
      </c>
      <c r="AL218" s="21">
        <f t="shared" si="101"/>
        <v>-8.0683207177822514E-2</v>
      </c>
      <c r="AM218" s="31"/>
      <c r="AO218" s="38">
        <f t="shared" si="102"/>
        <v>46237</v>
      </c>
      <c r="AP218" s="17">
        <f>+Tabla22[[#This Row],[Web + APP 2025]]+Tabla22[[#This Row],[Afiliados 2025]]+Tabla22[[#This Row],[TMK 2025]]+Tabla22[[#This Row],[WA 2025]]+Tabla22[[#This Row],[Ent. en Tienda 2025]]</f>
        <v>2777152.9310344825</v>
      </c>
      <c r="AQ218" s="17">
        <f>+Tabla22[[#This Row],[Meli Drop 2025]]+Tabla22[[#This Row],[Meli Full 2025]]+Tabla22[[#This Row],[Amazon Drop 2025]]+Tabla22[[#This Row],[Amazon Full 2025]]+Tabla22[[#This Row],[TikTok 2025]]+Tabla22[[#This Row],[Shein 2025]]</f>
        <v>808021</v>
      </c>
      <c r="AR218" s="17">
        <f t="shared" si="103"/>
        <v>4389706</v>
      </c>
      <c r="AS218" s="17">
        <f t="shared" si="104"/>
        <v>614317</v>
      </c>
      <c r="AT218" s="18">
        <f t="shared" si="105"/>
        <v>0.58064971897851003</v>
      </c>
      <c r="AU218" s="18">
        <f t="shared" si="106"/>
        <v>-0.23972644275334432</v>
      </c>
      <c r="AV218" s="49">
        <f t="shared" si="107"/>
        <v>3611456.3673758898</v>
      </c>
      <c r="AW218" s="49">
        <f t="shared" si="108"/>
        <v>1139753.5334323901</v>
      </c>
      <c r="AX218" s="39">
        <f t="shared" si="109"/>
        <v>1.2154946795576522</v>
      </c>
      <c r="AY218" s="39">
        <f t="shared" si="110"/>
        <v>0.53899109060006367</v>
      </c>
      <c r="AZ218" s="39">
        <f t="shared" si="111"/>
        <v>1.0532102568545143</v>
      </c>
      <c r="BA218" s="18">
        <v>2.74639405646359E-2</v>
      </c>
      <c r="BB218" s="20">
        <v>2.3988642491608501E-2</v>
      </c>
      <c r="BC218" s="17">
        <f t="shared" ref="BC218" si="124">+AR218-AV218</f>
        <v>778249.63262411021</v>
      </c>
      <c r="BD218" s="17">
        <f t="shared" ref="BD218" si="125">+AS218-AW218</f>
        <v>-525436.53343239008</v>
      </c>
      <c r="BE218" s="17">
        <f t="shared" ref="BE218" si="126">AR218-AP218</f>
        <v>1612553.0689655175</v>
      </c>
      <c r="BF218" s="17">
        <f t="shared" ref="BF218" si="127">AS218-AQ218</f>
        <v>-193704</v>
      </c>
      <c r="BH218" s="472">
        <f>BH216/BI216-1</f>
        <v>18.22074584086236</v>
      </c>
      <c r="BJ218" s="472">
        <f>BJ216/BK216-1</f>
        <v>4.494034649855192</v>
      </c>
    </row>
    <row r="219" spans="1:63" ht="14.25" hidden="1" customHeight="1" x14ac:dyDescent="0.35">
      <c r="A219" s="19">
        <v>45873</v>
      </c>
      <c r="B219" s="17">
        <f>+'BD MD'!B218</f>
        <v>34014104</v>
      </c>
      <c r="C219" s="17">
        <f t="shared" si="94"/>
        <v>4860602.7931034481</v>
      </c>
      <c r="D219" s="18">
        <f t="shared" si="118"/>
        <v>3.3478154637763088E-2</v>
      </c>
      <c r="E219" s="17">
        <v>34390488</v>
      </c>
      <c r="F219" s="19">
        <v>46238</v>
      </c>
      <c r="G219" s="17">
        <f t="shared" si="95"/>
        <v>6413866.4549796497</v>
      </c>
      <c r="H219" s="17">
        <v>5222018.5112575199</v>
      </c>
      <c r="I219" s="17">
        <v>1191847.94372213</v>
      </c>
      <c r="J219" s="17">
        <v>3838217</v>
      </c>
      <c r="K219" s="17">
        <v>4338817</v>
      </c>
      <c r="L219" s="17">
        <v>45938.793103448297</v>
      </c>
      <c r="M219" s="17">
        <v>52837</v>
      </c>
      <c r="N219" s="17">
        <v>56057</v>
      </c>
      <c r="O219" s="17">
        <v>38712</v>
      </c>
      <c r="P219" s="17">
        <v>1839</v>
      </c>
      <c r="Q219" s="17">
        <v>7853</v>
      </c>
      <c r="R219" s="17">
        <v>73598</v>
      </c>
      <c r="S219" s="17">
        <v>80292</v>
      </c>
      <c r="T219" s="17">
        <v>691486</v>
      </c>
      <c r="U219" s="17">
        <v>401548</v>
      </c>
      <c r="V219" s="17">
        <v>97155</v>
      </c>
      <c r="W219" s="17">
        <v>100971</v>
      </c>
      <c r="X219" s="17">
        <v>44478</v>
      </c>
      <c r="Y219" s="17">
        <v>28918</v>
      </c>
      <c r="Z219" s="17">
        <v>11834</v>
      </c>
      <c r="AA219" s="17">
        <v>15532</v>
      </c>
      <c r="AB219" s="17">
        <v>0</v>
      </c>
      <c r="AC219" s="17">
        <v>6075</v>
      </c>
      <c r="AD219" s="17">
        <v>0</v>
      </c>
      <c r="AE219" s="17">
        <v>1809</v>
      </c>
      <c r="AF219" s="17">
        <f t="shared" si="96"/>
        <v>5073364</v>
      </c>
      <c r="AG219" s="18">
        <f t="shared" si="97"/>
        <v>0.79099931930467626</v>
      </c>
      <c r="AH219" s="17">
        <f t="shared" si="98"/>
        <v>-1340502.4549796497</v>
      </c>
      <c r="AI219" s="20">
        <f t="shared" si="99"/>
        <v>5.4377319473350338E-2</v>
      </c>
      <c r="AJ219" s="20">
        <f t="shared" si="100"/>
        <v>0.13301143125805226</v>
      </c>
      <c r="AK219" s="21">
        <f t="shared" si="119"/>
        <v>0.14752230326013402</v>
      </c>
      <c r="AL219" s="21">
        <f t="shared" si="101"/>
        <v>-4.9335366586035878E-2</v>
      </c>
      <c r="AM219" s="31"/>
      <c r="AO219" s="38">
        <f t="shared" si="102"/>
        <v>46238</v>
      </c>
      <c r="AP219" s="17">
        <f>+Tabla22[[#This Row],[Web + APP 2025]]+Tabla22[[#This Row],[Afiliados 2025]]+Tabla22[[#This Row],[TMK 2025]]+Tabla22[[#This Row],[WA 2025]]+Tabla22[[#This Row],[Ent. en Tienda 2025]]</f>
        <v>4015649.7931034481</v>
      </c>
      <c r="AQ219" s="17">
        <f>+Tabla22[[#This Row],[Meli Drop 2025]]+Tabla22[[#This Row],[Meli Full 2025]]+Tabla22[[#This Row],[Amazon Drop 2025]]+Tabla22[[#This Row],[Amazon Full 2025]]+Tabla22[[#This Row],[TikTok 2025]]+Tabla22[[#This Row],[Shein 2025]]</f>
        <v>844953</v>
      </c>
      <c r="AR219" s="17">
        <f t="shared" si="103"/>
        <v>4518511</v>
      </c>
      <c r="AS219" s="17">
        <f t="shared" si="104"/>
        <v>554853</v>
      </c>
      <c r="AT219" s="18">
        <f t="shared" si="105"/>
        <v>0.12522536396479977</v>
      </c>
      <c r="AU219" s="18">
        <f t="shared" si="106"/>
        <v>-0.34333270607950972</v>
      </c>
      <c r="AV219" s="49">
        <f t="shared" si="107"/>
        <v>5222018.5112575199</v>
      </c>
      <c r="AW219" s="49">
        <f t="shared" si="108"/>
        <v>1191847.94372213</v>
      </c>
      <c r="AX219" s="39">
        <f t="shared" si="109"/>
        <v>0.86528054051495362</v>
      </c>
      <c r="AY219" s="39">
        <f t="shared" si="110"/>
        <v>0.46554009085017944</v>
      </c>
      <c r="AZ219" s="39">
        <f t="shared" si="111"/>
        <v>0.79099931930467626</v>
      </c>
      <c r="BA219" s="18">
        <v>2.8719227559569401E-2</v>
      </c>
      <c r="BB219" s="20">
        <v>3.4686597983776699E-2</v>
      </c>
      <c r="BC219" s="17">
        <f t="shared" ref="BC219" si="128">+AR219-AV219</f>
        <v>-703507.51125751995</v>
      </c>
      <c r="BD219" s="17">
        <f t="shared" ref="BD219" si="129">+AS219-AW219</f>
        <v>-636994.94372213003</v>
      </c>
      <c r="BE219" s="17">
        <f t="shared" ref="BE219" si="130">AR219-AP219</f>
        <v>502861.20689655188</v>
      </c>
      <c r="BF219" s="17">
        <f t="shared" ref="BF219" si="131">AS219-AQ219</f>
        <v>-290100</v>
      </c>
    </row>
    <row r="220" spans="1:63" ht="14.25" hidden="1" customHeight="1" x14ac:dyDescent="0.35">
      <c r="A220" s="16">
        <v>45874</v>
      </c>
      <c r="B220" s="17">
        <f>+'BD MD'!B219</f>
        <v>36175205</v>
      </c>
      <c r="C220" s="17">
        <f t="shared" si="94"/>
        <v>4811715.7931034481</v>
      </c>
      <c r="D220" s="18">
        <f t="shared" si="118"/>
        <v>3.3141437852738292E-2</v>
      </c>
      <c r="E220" s="17">
        <v>37626260</v>
      </c>
      <c r="F220" s="19">
        <v>46239</v>
      </c>
      <c r="G220" s="17">
        <f t="shared" si="95"/>
        <v>6349963.68176034</v>
      </c>
      <c r="H220" s="17">
        <v>5162333.2807319798</v>
      </c>
      <c r="I220" s="17">
        <v>1187630.40102836</v>
      </c>
      <c r="J220" s="17">
        <v>3763555</v>
      </c>
      <c r="K220" s="17">
        <v>3961812</v>
      </c>
      <c r="L220" s="17">
        <v>44913.793103448297</v>
      </c>
      <c r="M220" s="17">
        <v>50879</v>
      </c>
      <c r="N220" s="17">
        <v>51008</v>
      </c>
      <c r="O220" s="17">
        <v>36417</v>
      </c>
      <c r="P220" s="17">
        <v>6626</v>
      </c>
      <c r="Q220" s="17">
        <v>15109</v>
      </c>
      <c r="R220" s="17">
        <v>103650</v>
      </c>
      <c r="S220" s="17">
        <v>79655</v>
      </c>
      <c r="T220" s="17">
        <v>708997</v>
      </c>
      <c r="U220" s="17">
        <v>395590</v>
      </c>
      <c r="V220" s="17">
        <v>83531</v>
      </c>
      <c r="W220" s="17">
        <v>91725</v>
      </c>
      <c r="X220" s="17">
        <v>38553</v>
      </c>
      <c r="Y220" s="17">
        <v>30739</v>
      </c>
      <c r="Z220" s="17">
        <v>10882</v>
      </c>
      <c r="AA220" s="17">
        <v>8694</v>
      </c>
      <c r="AB220" s="17">
        <v>0</v>
      </c>
      <c r="AC220" s="17">
        <v>8108</v>
      </c>
      <c r="AD220" s="17">
        <v>0</v>
      </c>
      <c r="AE220" s="17">
        <v>904</v>
      </c>
      <c r="AF220" s="17">
        <f t="shared" si="96"/>
        <v>4679632</v>
      </c>
      <c r="AG220" s="18">
        <f t="shared" si="97"/>
        <v>0.7369541362010924</v>
      </c>
      <c r="AH220" s="17">
        <f t="shared" si="98"/>
        <v>-1670331.68176034</v>
      </c>
      <c r="AI220" s="20">
        <f t="shared" si="99"/>
        <v>-3.5446373442002077E-2</v>
      </c>
      <c r="AJ220" s="20">
        <f t="shared" si="100"/>
        <v>0.12829368470147623</v>
      </c>
      <c r="AK220" s="21">
        <f t="shared" si="119"/>
        <v>0.12437143633196603</v>
      </c>
      <c r="AL220" s="21">
        <f t="shared" si="101"/>
        <v>-5.027661552446494E-3</v>
      </c>
      <c r="AM220" s="31"/>
      <c r="AO220" s="38">
        <f t="shared" si="102"/>
        <v>46239</v>
      </c>
      <c r="AP220" s="17">
        <f>+Tabla22[[#This Row],[Web + APP 2025]]+Tabla22[[#This Row],[Afiliados 2025]]+Tabla22[[#This Row],[TMK 2025]]+Tabla22[[#This Row],[WA 2025]]+Tabla22[[#This Row],[Ent. en Tienda 2025]]</f>
        <v>3969752.7931034481</v>
      </c>
      <c r="AQ220" s="17">
        <f>+Tabla22[[#This Row],[Meli Drop 2025]]+Tabla22[[#This Row],[Meli Full 2025]]+Tabla22[[#This Row],[Amazon Drop 2025]]+Tabla22[[#This Row],[Amazon Full 2025]]+Tabla22[[#This Row],[TikTok 2025]]+Tabla22[[#This Row],[Shein 2025]]</f>
        <v>841963</v>
      </c>
      <c r="AR220" s="17">
        <f t="shared" si="103"/>
        <v>4143872</v>
      </c>
      <c r="AS220" s="17">
        <f t="shared" si="104"/>
        <v>535760</v>
      </c>
      <c r="AT220" s="18">
        <f t="shared" si="105"/>
        <v>4.3861473489997804E-2</v>
      </c>
      <c r="AU220" s="18">
        <f t="shared" si="106"/>
        <v>-0.36367750126787046</v>
      </c>
      <c r="AV220" s="49">
        <f t="shared" si="107"/>
        <v>5162333.2807319798</v>
      </c>
      <c r="AW220" s="49">
        <f t="shared" si="108"/>
        <v>1187630.40102836</v>
      </c>
      <c r="AX220" s="39">
        <f t="shared" si="109"/>
        <v>0.80271299326347068</v>
      </c>
      <c r="AY220" s="39">
        <f t="shared" si="110"/>
        <v>0.45111677802798711</v>
      </c>
      <c r="AZ220" s="39">
        <f t="shared" si="111"/>
        <v>0.7369541362010924</v>
      </c>
      <c r="BA220" s="18">
        <v>2.8617600024779699E-2</v>
      </c>
      <c r="BB220" s="20">
        <v>3.42901463832423E-2</v>
      </c>
      <c r="BC220" s="17">
        <f t="shared" ref="BC220" si="132">+AR220-AV220</f>
        <v>-1018461.2807319798</v>
      </c>
      <c r="BD220" s="17">
        <f t="shared" ref="BD220" si="133">+AS220-AW220</f>
        <v>-651870.40102836001</v>
      </c>
      <c r="BE220" s="17">
        <f t="shared" ref="BE220" si="134">AR220-AP220</f>
        <v>174119.20689655188</v>
      </c>
      <c r="BF220" s="17">
        <f t="shared" ref="BF220" si="135">AS220-AQ220</f>
        <v>-306203</v>
      </c>
      <c r="BI220">
        <v>2026</v>
      </c>
      <c r="BJ220">
        <v>2025</v>
      </c>
    </row>
    <row r="221" spans="1:63" ht="14.25" hidden="1" customHeight="1" x14ac:dyDescent="0.35">
      <c r="A221" s="19">
        <v>45875</v>
      </c>
      <c r="B221" s="17">
        <f>+'BD MD'!B220</f>
        <v>37816388</v>
      </c>
      <c r="C221" s="17">
        <f t="shared" si="94"/>
        <v>4851603.7586206896</v>
      </c>
      <c r="D221" s="18">
        <f t="shared" si="118"/>
        <v>3.3416172393825813E-2</v>
      </c>
      <c r="E221" s="17">
        <v>42043061</v>
      </c>
      <c r="F221" s="19">
        <v>46240</v>
      </c>
      <c r="G221" s="17">
        <f t="shared" si="95"/>
        <v>6405096.0189463003</v>
      </c>
      <c r="H221" s="17">
        <v>5175695.0186568704</v>
      </c>
      <c r="I221" s="17">
        <v>1229401.0002894299</v>
      </c>
      <c r="J221" s="17">
        <v>3783964</v>
      </c>
      <c r="K221" s="17">
        <v>3534572</v>
      </c>
      <c r="L221" s="17">
        <v>41382.758620689601</v>
      </c>
      <c r="M221" s="17">
        <v>51525</v>
      </c>
      <c r="N221" s="17">
        <v>54972</v>
      </c>
      <c r="O221" s="17">
        <v>41165</v>
      </c>
      <c r="P221" s="17">
        <v>5869</v>
      </c>
      <c r="Q221" s="17">
        <v>14122</v>
      </c>
      <c r="R221" s="17">
        <v>93840</v>
      </c>
      <c r="S221" s="17">
        <v>85303</v>
      </c>
      <c r="T221" s="17">
        <v>761176</v>
      </c>
      <c r="U221" s="17">
        <v>451607</v>
      </c>
      <c r="V221" s="17">
        <v>70344</v>
      </c>
      <c r="W221" s="17">
        <v>155591</v>
      </c>
      <c r="X221" s="17">
        <v>37254</v>
      </c>
      <c r="Y221" s="17">
        <v>25766</v>
      </c>
      <c r="Z221" s="17">
        <v>2802</v>
      </c>
      <c r="AA221" s="17">
        <v>15513</v>
      </c>
      <c r="AB221" s="17">
        <v>0</v>
      </c>
      <c r="AC221" s="17">
        <v>6476</v>
      </c>
      <c r="AD221" s="17">
        <v>0</v>
      </c>
      <c r="AE221" s="17">
        <v>2153</v>
      </c>
      <c r="AF221" s="17">
        <f t="shared" si="96"/>
        <v>4383793</v>
      </c>
      <c r="AG221" s="18">
        <f t="shared" si="97"/>
        <v>0.6844226826627926</v>
      </c>
      <c r="AH221" s="17">
        <f t="shared" si="98"/>
        <v>-2021303.0189463003</v>
      </c>
      <c r="AI221" s="20">
        <f t="shared" si="99"/>
        <v>2.7160597585292656E-2</v>
      </c>
      <c r="AJ221" s="20">
        <f t="shared" si="100"/>
        <v>9.9665740213246132E-2</v>
      </c>
      <c r="AK221" s="21">
        <f t="shared" si="119"/>
        <v>0.104269120652276</v>
      </c>
      <c r="AL221" s="21">
        <f t="shared" si="101"/>
        <v>-1.8187545499513957E-2</v>
      </c>
      <c r="AM221" s="31"/>
      <c r="AO221" s="38">
        <f t="shared" si="102"/>
        <v>46240</v>
      </c>
      <c r="AP221" s="17">
        <f>+Tabla22[[#This Row],[Web + APP 2025]]+Tabla22[[#This Row],[Afiliados 2025]]+Tabla22[[#This Row],[TMK 2025]]+Tabla22[[#This Row],[WA 2025]]+Tabla22[[#This Row],[Ent. en Tienda 2025]]</f>
        <v>3980027.7586206896</v>
      </c>
      <c r="AQ221" s="17">
        <f>+Tabla22[[#This Row],[Meli Drop 2025]]+Tabla22[[#This Row],[Meli Full 2025]]+Tabla22[[#This Row],[Amazon Drop 2025]]+Tabla22[[#This Row],[Amazon Full 2025]]+Tabla22[[#This Row],[TikTok 2025]]+Tabla22[[#This Row],[Shein 2025]]</f>
        <v>871576</v>
      </c>
      <c r="AR221" s="17">
        <f t="shared" si="103"/>
        <v>3726687</v>
      </c>
      <c r="AS221" s="17">
        <f t="shared" si="104"/>
        <v>657106</v>
      </c>
      <c r="AT221" s="18">
        <f t="shared" si="105"/>
        <v>-6.365301299016235E-2</v>
      </c>
      <c r="AU221" s="18">
        <f t="shared" si="106"/>
        <v>-0.24607148429970538</v>
      </c>
      <c r="AV221" s="49">
        <f t="shared" si="107"/>
        <v>5175695.0186568704</v>
      </c>
      <c r="AW221" s="49">
        <f t="shared" si="108"/>
        <v>1229401.0002894299</v>
      </c>
      <c r="AX221" s="39">
        <f t="shared" si="109"/>
        <v>0.72003605053357678</v>
      </c>
      <c r="AY221" s="39">
        <f t="shared" si="110"/>
        <v>0.53449281385430936</v>
      </c>
      <c r="AZ221" s="39">
        <f t="shared" si="111"/>
        <v>0.6844226826627926</v>
      </c>
      <c r="BA221" s="18">
        <v>2.9624120488901999E-2</v>
      </c>
      <c r="BB221" s="20">
        <v>3.4378900038704398E-2</v>
      </c>
      <c r="BC221" s="17">
        <f t="shared" ref="BC221" si="136">+AR221-AV221</f>
        <v>-1449008.0186568704</v>
      </c>
      <c r="BD221" s="17">
        <f t="shared" ref="BD221" si="137">+AS221-AW221</f>
        <v>-572295.00028942991</v>
      </c>
      <c r="BE221" s="17">
        <f t="shared" ref="BE221" si="138">AR221-AP221</f>
        <v>-253340.75862068962</v>
      </c>
      <c r="BF221" s="17">
        <f t="shared" ref="BF221" si="139">AS221-AQ221</f>
        <v>-214470</v>
      </c>
      <c r="BI221" s="6">
        <f>BH216+BJ216</f>
        <v>20935726</v>
      </c>
      <c r="BJ221" s="6">
        <f>BI216+BK216</f>
        <v>3008668</v>
      </c>
    </row>
    <row r="222" spans="1:63" ht="14.25" hidden="1" customHeight="1" x14ac:dyDescent="0.35">
      <c r="A222" s="16">
        <v>45876</v>
      </c>
      <c r="B222" s="17">
        <f>+'BD MD'!B221</f>
        <v>42821886</v>
      </c>
      <c r="C222" s="17">
        <f t="shared" si="94"/>
        <v>4267874.9655172415</v>
      </c>
      <c r="D222" s="18">
        <f t="shared" si="118"/>
        <v>2.9395649912589576E-2</v>
      </c>
      <c r="E222" s="17">
        <v>42322930</v>
      </c>
      <c r="F222" s="19">
        <v>46241</v>
      </c>
      <c r="G222" s="17">
        <f t="shared" si="95"/>
        <v>5646066.1847261796</v>
      </c>
      <c r="H222" s="17">
        <v>4415885.1506208098</v>
      </c>
      <c r="I222" s="17">
        <v>1230181.0341053701</v>
      </c>
      <c r="J222" s="17">
        <v>3146416</v>
      </c>
      <c r="K222" s="17">
        <v>3007032</v>
      </c>
      <c r="L222" s="17">
        <v>39518.965517241399</v>
      </c>
      <c r="M222" s="17">
        <v>49458</v>
      </c>
      <c r="N222" s="17">
        <v>64553</v>
      </c>
      <c r="O222" s="17">
        <v>15410</v>
      </c>
      <c r="P222" s="17">
        <v>11511</v>
      </c>
      <c r="Q222" s="17">
        <v>753</v>
      </c>
      <c r="R222" s="17">
        <v>133747</v>
      </c>
      <c r="S222" s="17">
        <v>96092</v>
      </c>
      <c r="T222" s="17">
        <v>769223</v>
      </c>
      <c r="U222" s="17">
        <v>376897</v>
      </c>
      <c r="V222" s="17">
        <v>62096</v>
      </c>
      <c r="W222" s="17">
        <v>182901</v>
      </c>
      <c r="X222" s="17">
        <v>32591</v>
      </c>
      <c r="Y222" s="17">
        <v>15451</v>
      </c>
      <c r="Z222" s="17">
        <v>8219</v>
      </c>
      <c r="AA222" s="17">
        <v>10998</v>
      </c>
      <c r="AB222" s="17">
        <v>0</v>
      </c>
      <c r="AC222" s="17">
        <v>6179</v>
      </c>
      <c r="AD222" s="17">
        <v>0</v>
      </c>
      <c r="AE222" s="17">
        <v>4565</v>
      </c>
      <c r="AF222" s="17">
        <f t="shared" si="96"/>
        <v>3765736</v>
      </c>
      <c r="AG222" s="18">
        <f t="shared" si="97"/>
        <v>0.66696632253215948</v>
      </c>
      <c r="AH222" s="17">
        <f t="shared" si="98"/>
        <v>-1880330.1847261796</v>
      </c>
      <c r="AI222" s="20">
        <f t="shared" si="99"/>
        <v>-1.746296818933013E-4</v>
      </c>
      <c r="AJ222" s="20">
        <f t="shared" si="100"/>
        <v>8.5221204062357725E-2</v>
      </c>
      <c r="AK222" s="21">
        <f t="shared" si="119"/>
        <v>8.8976259441395006E-2</v>
      </c>
      <c r="AL222" s="21">
        <f t="shared" si="101"/>
        <v>-4.2370150807208851E-2</v>
      </c>
      <c r="AM222" s="31"/>
      <c r="AO222" s="38">
        <f t="shared" si="102"/>
        <v>46241</v>
      </c>
      <c r="AP222" s="17">
        <f>+Tabla22[[#This Row],[Web + APP 2025]]+Tabla22[[#This Row],[Afiliados 2025]]+Tabla22[[#This Row],[TMK 2025]]+Tabla22[[#This Row],[WA 2025]]+Tabla22[[#This Row],[Ent. en Tienda 2025]]</f>
        <v>3395745.9655172415</v>
      </c>
      <c r="AQ222" s="17">
        <f>+Tabla22[[#This Row],[Meli Drop 2025]]+Tabla22[[#This Row],[Meli Full 2025]]+Tabla22[[#This Row],[Amazon Drop 2025]]+Tabla22[[#This Row],[Amazon Full 2025]]+Tabla22[[#This Row],[TikTok 2025]]+Tabla22[[#This Row],[Shein 2025]]</f>
        <v>872129</v>
      </c>
      <c r="AR222" s="17">
        <f t="shared" si="103"/>
        <v>3168745</v>
      </c>
      <c r="AS222" s="17">
        <f t="shared" si="104"/>
        <v>596991</v>
      </c>
      <c r="AT222" s="18">
        <f t="shared" si="105"/>
        <v>-6.6848629968898288E-2</v>
      </c>
      <c r="AU222" s="18">
        <f t="shared" si="106"/>
        <v>-0.31547855879118802</v>
      </c>
      <c r="AV222" s="49">
        <f t="shared" si="107"/>
        <v>4415885.1506208098</v>
      </c>
      <c r="AW222" s="49">
        <f t="shared" si="108"/>
        <v>1230181.0341053701</v>
      </c>
      <c r="AX222" s="39">
        <f t="shared" si="109"/>
        <v>0.71757867152738797</v>
      </c>
      <c r="AY222" s="39">
        <f t="shared" si="110"/>
        <v>0.48528711096099153</v>
      </c>
      <c r="AZ222" s="39">
        <f t="shared" si="111"/>
        <v>0.66696632253215948</v>
      </c>
      <c r="BA222" s="18">
        <v>2.9642916484466798E-2</v>
      </c>
      <c r="BB222" s="20">
        <v>2.93319590177454E-2</v>
      </c>
      <c r="BC222" s="17">
        <f t="shared" ref="BC222:BC224" si="140">+AR222-AV222</f>
        <v>-1247140.1506208098</v>
      </c>
      <c r="BD222" s="17">
        <f t="shared" ref="BD222:BD224" si="141">+AS222-AW222</f>
        <v>-633190.03410537005</v>
      </c>
      <c r="BE222" s="17">
        <f t="shared" ref="BE222:BE224" si="142">AR222-AP222</f>
        <v>-227000.96551724151</v>
      </c>
      <c r="BF222" s="17">
        <f t="shared" ref="BF222:BF224" si="143">AS222-AQ222</f>
        <v>-275138</v>
      </c>
      <c r="BI222" s="472">
        <f>BI221/BJ221-1</f>
        <v>5.9584699940305814</v>
      </c>
    </row>
    <row r="223" spans="1:63" ht="14.25" hidden="1" customHeight="1" x14ac:dyDescent="0.35">
      <c r="A223" s="19">
        <v>45877</v>
      </c>
      <c r="B223" s="17">
        <f>+'BD MD'!B222</f>
        <v>44195500</v>
      </c>
      <c r="C223" s="17">
        <f t="shared" si="94"/>
        <v>3766393.7241379311</v>
      </c>
      <c r="D223" s="18">
        <f t="shared" si="118"/>
        <v>2.5941620183878796E-2</v>
      </c>
      <c r="E223" s="17">
        <v>54566301</v>
      </c>
      <c r="F223" s="19">
        <v>46242</v>
      </c>
      <c r="G223" s="17">
        <f t="shared" si="95"/>
        <v>4992670.0877949502</v>
      </c>
      <c r="H223" s="17">
        <v>3778645.48647033</v>
      </c>
      <c r="I223" s="17">
        <v>1214024.60132462</v>
      </c>
      <c r="J223" s="17">
        <v>2760929</v>
      </c>
      <c r="K223" s="17">
        <v>3117315</v>
      </c>
      <c r="L223" s="17">
        <v>36501.724137931</v>
      </c>
      <c r="M223" s="17">
        <v>49755</v>
      </c>
      <c r="N223" s="17">
        <v>22813</v>
      </c>
      <c r="O223" s="17">
        <v>-2143</v>
      </c>
      <c r="P223" s="17">
        <v>1010</v>
      </c>
      <c r="Q223" s="17">
        <v>16358</v>
      </c>
      <c r="R223" s="17">
        <v>84465</v>
      </c>
      <c r="S223" s="17">
        <v>107597</v>
      </c>
      <c r="T223" s="17">
        <v>765638</v>
      </c>
      <c r="U223" s="17">
        <v>405849</v>
      </c>
      <c r="V223" s="17">
        <v>51057</v>
      </c>
      <c r="W223" s="17">
        <v>220499</v>
      </c>
      <c r="X223" s="17">
        <v>38417</v>
      </c>
      <c r="Y223" s="17">
        <v>32535</v>
      </c>
      <c r="Z223" s="17">
        <v>5563</v>
      </c>
      <c r="AA223" s="17">
        <v>11591</v>
      </c>
      <c r="AB223" s="17">
        <v>0</v>
      </c>
      <c r="AC223" s="17">
        <v>10109</v>
      </c>
      <c r="AD223" s="17">
        <v>0</v>
      </c>
      <c r="AE223" s="17">
        <v>2067</v>
      </c>
      <c r="AF223" s="17">
        <f t="shared" si="96"/>
        <v>3971532</v>
      </c>
      <c r="AG223" s="18">
        <f t="shared" si="97"/>
        <v>0.79547254878882989</v>
      </c>
      <c r="AH223" s="17">
        <f t="shared" si="98"/>
        <v>-1021138.0877949502</v>
      </c>
      <c r="AI223" s="20">
        <f t="shared" si="99"/>
        <v>0.34240556518946685</v>
      </c>
      <c r="AJ223" s="20">
        <f t="shared" si="100"/>
        <v>5.6301615735539393E-2</v>
      </c>
      <c r="AK223" s="21">
        <f t="shared" si="119"/>
        <v>7.2783603198611532E-2</v>
      </c>
      <c r="AL223" s="21">
        <f t="shared" si="101"/>
        <v>3.8415233253919823E-2</v>
      </c>
      <c r="AM223" s="31"/>
      <c r="AO223" s="38">
        <f t="shared" si="102"/>
        <v>46242</v>
      </c>
      <c r="AP223" s="17">
        <f>+Tabla22[[#This Row],[Web + APP 2025]]+Tabla22[[#This Row],[Afiliados 2025]]+Tabla22[[#This Row],[TMK 2025]]+Tabla22[[#This Row],[WA 2025]]+Tabla22[[#This Row],[Ent. en Tienda 2025]]</f>
        <v>2905718.7241379311</v>
      </c>
      <c r="AQ223" s="17">
        <f>+Tabla22[[#This Row],[Meli Drop 2025]]+Tabla22[[#This Row],[Meli Full 2025]]+Tabla22[[#This Row],[Amazon Drop 2025]]+Tabla22[[#This Row],[Amazon Full 2025]]+Tabla22[[#This Row],[TikTok 2025]]+Tabla22[[#This Row],[Shein 2025]]</f>
        <v>860675</v>
      </c>
      <c r="AR223" s="17">
        <f t="shared" si="103"/>
        <v>3288882</v>
      </c>
      <c r="AS223" s="17">
        <f t="shared" si="104"/>
        <v>682650</v>
      </c>
      <c r="AT223" s="18">
        <f t="shared" si="105"/>
        <v>0.13186523274916984</v>
      </c>
      <c r="AU223" s="18">
        <f t="shared" si="106"/>
        <v>-0.206843465884335</v>
      </c>
      <c r="AV223" s="49">
        <f t="shared" si="107"/>
        <v>3778645.48647033</v>
      </c>
      <c r="AW223" s="49">
        <f t="shared" si="108"/>
        <v>1214024.60132462</v>
      </c>
      <c r="AX223" s="39">
        <f t="shared" si="109"/>
        <v>0.87038649478392249</v>
      </c>
      <c r="AY223" s="39">
        <f t="shared" si="110"/>
        <v>0.5623032673762639</v>
      </c>
      <c r="AZ223" s="39">
        <f t="shared" si="111"/>
        <v>0.79547254878882989</v>
      </c>
      <c r="BA223" s="18">
        <v>2.92536048511957E-2</v>
      </c>
      <c r="BB223" s="20">
        <v>2.5099175085238401E-2</v>
      </c>
      <c r="BC223" s="17">
        <f>+AR223-AV223</f>
        <v>-489763.48647033004</v>
      </c>
      <c r="BD223" s="17">
        <f t="shared" si="141"/>
        <v>-531374.60132461996</v>
      </c>
      <c r="BE223" s="17">
        <f t="shared" si="142"/>
        <v>383163.27586206887</v>
      </c>
      <c r="BF223" s="17">
        <f t="shared" si="143"/>
        <v>-178025</v>
      </c>
    </row>
    <row r="224" spans="1:63" ht="14.25" hidden="1" customHeight="1" x14ac:dyDescent="0.35">
      <c r="A224" s="16">
        <v>45878</v>
      </c>
      <c r="B224" s="17">
        <f>+'BD MD'!B223</f>
        <v>52547670</v>
      </c>
      <c r="C224" s="17">
        <f t="shared" si="94"/>
        <v>2958518.7241379311</v>
      </c>
      <c r="D224" s="18">
        <f t="shared" si="118"/>
        <v>2.0377255982722969E-2</v>
      </c>
      <c r="E224" s="17">
        <v>56796162</v>
      </c>
      <c r="F224" s="19">
        <v>46243</v>
      </c>
      <c r="G224" s="17">
        <f t="shared" si="95"/>
        <v>3917807.2143991757</v>
      </c>
      <c r="H224" s="17">
        <v>3014865.1768484898</v>
      </c>
      <c r="I224" s="17">
        <v>902942.03755068604</v>
      </c>
      <c r="J224" s="17">
        <v>2172261</v>
      </c>
      <c r="K224" s="17">
        <v>3596880</v>
      </c>
      <c r="L224" s="17">
        <v>36326.724137931</v>
      </c>
      <c r="M224" s="17">
        <v>57414</v>
      </c>
      <c r="N224" s="17">
        <v>7009</v>
      </c>
      <c r="O224" s="17">
        <v>14662</v>
      </c>
      <c r="P224" s="17">
        <v>11103</v>
      </c>
      <c r="Q224" s="17">
        <v>6852</v>
      </c>
      <c r="R224" s="17">
        <v>91684</v>
      </c>
      <c r="S224" s="17">
        <v>58728</v>
      </c>
      <c r="T224" s="17">
        <v>517547</v>
      </c>
      <c r="U224" s="17">
        <v>433070</v>
      </c>
      <c r="V224" s="17">
        <v>91885</v>
      </c>
      <c r="W224" s="17">
        <v>212540</v>
      </c>
      <c r="X224" s="17">
        <v>25396</v>
      </c>
      <c r="Y224" s="17">
        <v>26298</v>
      </c>
      <c r="Z224" s="17">
        <v>5307</v>
      </c>
      <c r="AA224" s="17">
        <v>11364</v>
      </c>
      <c r="AB224" s="17">
        <v>0</v>
      </c>
      <c r="AC224" s="17">
        <v>5631</v>
      </c>
      <c r="AD224" s="17">
        <v>0</v>
      </c>
      <c r="AE224" s="17">
        <v>2540</v>
      </c>
      <c r="AF224" s="17">
        <f t="shared" si="96"/>
        <v>4425979</v>
      </c>
      <c r="AG224" s="18">
        <f t="shared" si="97"/>
        <v>1.1297082163035315</v>
      </c>
      <c r="AH224" s="17">
        <f t="shared" si="98"/>
        <v>508171.78560082428</v>
      </c>
      <c r="AI224" s="20">
        <f t="shared" si="99"/>
        <v>0.26473254771359533</v>
      </c>
      <c r="AJ224" s="20">
        <f t="shared" si="100"/>
        <v>6.5421150986422968E-2</v>
      </c>
      <c r="AK224" s="21">
        <f t="shared" si="119"/>
        <v>7.7927431082403062E-2</v>
      </c>
      <c r="AL224" s="21">
        <f t="shared" si="101"/>
        <v>6.1760381577601331E-2</v>
      </c>
      <c r="AM224" s="31"/>
      <c r="AO224" s="38">
        <f t="shared" si="102"/>
        <v>46243</v>
      </c>
      <c r="AP224" s="17">
        <f>+Tabla22[[#This Row],[Web + APP 2025]]+Tabla22[[#This Row],[Afiliados 2025]]+Tabla22[[#This Row],[TMK 2025]]+Tabla22[[#This Row],[WA 2025]]+Tabla22[[#This Row],[Ent. en Tienda 2025]]</f>
        <v>2318383.7241379311</v>
      </c>
      <c r="AQ224" s="17">
        <f>+Tabla22[[#This Row],[Meli Drop 2025]]+Tabla22[[#This Row],[Meli Full 2025]]+Tabla22[[#This Row],[Amazon Drop 2025]]+Tabla22[[#This Row],[Amazon Full 2025]]+Tabla22[[#This Row],[TikTok 2025]]+Tabla22[[#This Row],[Shein 2025]]</f>
        <v>640135</v>
      </c>
      <c r="AR224" s="17">
        <f t="shared" si="103"/>
        <v>3734536</v>
      </c>
      <c r="AS224" s="17">
        <f t="shared" si="104"/>
        <v>691443</v>
      </c>
      <c r="AT224" s="18">
        <f t="shared" si="105"/>
        <v>0.61083601524534159</v>
      </c>
      <c r="AU224" s="18">
        <f t="shared" si="106"/>
        <v>8.0151842970623388E-2</v>
      </c>
      <c r="AV224" s="49">
        <f t="shared" si="107"/>
        <v>3014865.1768484898</v>
      </c>
      <c r="AW224" s="49">
        <f t="shared" si="108"/>
        <v>902942.03755068604</v>
      </c>
      <c r="AX224" s="39">
        <f t="shared" si="109"/>
        <v>1.2387074648239491</v>
      </c>
      <c r="AY224" s="39">
        <f t="shared" si="110"/>
        <v>0.7657667615914785</v>
      </c>
      <c r="AZ224" s="39">
        <f t="shared" si="111"/>
        <v>1.1297082163035315</v>
      </c>
      <c r="BA224" s="18">
        <v>2.1757639459052701E-2</v>
      </c>
      <c r="BB224" s="20">
        <v>2.0025860907844299E-2</v>
      </c>
      <c r="BC224" s="17">
        <f t="shared" si="140"/>
        <v>719670.82315151021</v>
      </c>
      <c r="BD224" s="17">
        <f t="shared" si="141"/>
        <v>-211499.03755068604</v>
      </c>
      <c r="BE224" s="17">
        <f t="shared" si="142"/>
        <v>1416152.2758620689</v>
      </c>
      <c r="BF224" s="17">
        <f t="shared" si="143"/>
        <v>51308</v>
      </c>
    </row>
    <row r="225" spans="1:63" ht="14.25" hidden="1" customHeight="1" x14ac:dyDescent="0.35">
      <c r="A225" s="19">
        <v>45879</v>
      </c>
      <c r="B225" s="17">
        <f>+'BD MD'!B224</f>
        <v>53492448</v>
      </c>
      <c r="C225" s="17">
        <f t="shared" si="94"/>
        <v>3499537.5172413792</v>
      </c>
      <c r="D225" s="18">
        <f t="shared" si="118"/>
        <v>2.4103606723242677E-2</v>
      </c>
      <c r="E225" s="17">
        <v>34686047</v>
      </c>
      <c r="F225" s="19">
        <v>46244</v>
      </c>
      <c r="G225" s="17">
        <f>+H225+I225</f>
        <v>6588484.2128836699</v>
      </c>
      <c r="H225" s="17">
        <v>5499826.4207687099</v>
      </c>
      <c r="I225" s="17">
        <v>1088657.79211496</v>
      </c>
      <c r="J225" s="17">
        <v>2525352</v>
      </c>
      <c r="K225" s="17">
        <v>4582140</v>
      </c>
      <c r="L225" s="17">
        <v>36340.517241379297</v>
      </c>
      <c r="M225" s="17">
        <v>47910</v>
      </c>
      <c r="N225" s="17">
        <v>7272</v>
      </c>
      <c r="O225" s="17">
        <v>22732</v>
      </c>
      <c r="P225" s="17">
        <v>5023</v>
      </c>
      <c r="Q225" s="17">
        <v>9417</v>
      </c>
      <c r="R225" s="17">
        <v>153753</v>
      </c>
      <c r="S225" s="17">
        <v>120697</v>
      </c>
      <c r="T225" s="17">
        <v>597616</v>
      </c>
      <c r="U225" s="17">
        <v>489155</v>
      </c>
      <c r="V225" s="17">
        <v>139394</v>
      </c>
      <c r="W225" s="17">
        <v>205946</v>
      </c>
      <c r="X225" s="17">
        <v>29128</v>
      </c>
      <c r="Y225" s="17">
        <v>44324</v>
      </c>
      <c r="Z225" s="17">
        <v>5659</v>
      </c>
      <c r="AA225" s="17">
        <v>9798</v>
      </c>
      <c r="AB225" s="17">
        <v>0</v>
      </c>
      <c r="AC225" s="17">
        <v>7778</v>
      </c>
      <c r="AD225" s="17">
        <v>0</v>
      </c>
      <c r="AE225" s="17">
        <v>1464</v>
      </c>
      <c r="AF225" s="17">
        <f t="shared" si="96"/>
        <v>5541361</v>
      </c>
      <c r="AG225" s="18">
        <f t="shared" si="97"/>
        <v>0.8410676600186674</v>
      </c>
      <c r="AH225" s="17">
        <f t="shared" si="98"/>
        <v>-1047123.2128836699</v>
      </c>
      <c r="AI225" s="20">
        <f t="shared" si="99"/>
        <v>3.9016027751272331E-2</v>
      </c>
      <c r="AJ225" s="20">
        <f t="shared" si="100"/>
        <v>0.160189569803774</v>
      </c>
      <c r="AK225" s="21">
        <f t="shared" si="119"/>
        <v>0.15975763972181667</v>
      </c>
      <c r="AL225" s="21">
        <f t="shared" si="101"/>
        <v>4.1825172145262268E-2</v>
      </c>
      <c r="AM225" s="31"/>
      <c r="AO225" s="38">
        <f t="shared" si="102"/>
        <v>46244</v>
      </c>
      <c r="AP225" s="17">
        <f>+Tabla22[[#This Row],[Web + APP 2025]]+Tabla22[[#This Row],[Afiliados 2025]]+Tabla22[[#This Row],[TMK 2025]]+Tabla22[[#This Row],[WA 2025]]+Tabla22[[#This Row],[Ent. en Tienda 2025]]</f>
        <v>2727740.5172413792</v>
      </c>
      <c r="AQ225" s="17">
        <f>+Tabla22[[#This Row],[Meli Drop 2025]]+Tabla22[[#This Row],[Meli Full 2025]]+Tabla22[[#This Row],[Amazon Drop 2025]]+Tabla22[[#This Row],[Amazon Full 2025]]+Tabla22[[#This Row],[TikTok 2025]]+Tabla22[[#This Row],[Shein 2025]]</f>
        <v>771797</v>
      </c>
      <c r="AR225" s="17">
        <f t="shared" si="103"/>
        <v>4782896</v>
      </c>
      <c r="AS225" s="17">
        <f t="shared" si="104"/>
        <v>758465</v>
      </c>
      <c r="AT225" s="18">
        <f>+AR225/AP225-1</f>
        <v>0.75342778016035128</v>
      </c>
      <c r="AU225" s="18">
        <f t="shared" si="106"/>
        <v>-1.7273972301006579E-2</v>
      </c>
      <c r="AV225" s="49">
        <f t="shared" si="107"/>
        <v>5499826.4207687099</v>
      </c>
      <c r="AW225" s="49">
        <f t="shared" si="108"/>
        <v>1088657.79211496</v>
      </c>
      <c r="AX225" s="39">
        <f t="shared" si="109"/>
        <v>0.86964490041696541</v>
      </c>
      <c r="AY225" s="39">
        <f t="shared" si="110"/>
        <v>0.69669735108083231</v>
      </c>
      <c r="AZ225" s="39">
        <f t="shared" si="111"/>
        <v>0.8410676600186674</v>
      </c>
      <c r="BA225" s="18">
        <v>2.6232717882288099E-2</v>
      </c>
      <c r="BB225" s="20">
        <v>2.3561825258792801E-2</v>
      </c>
      <c r="BC225" s="17">
        <f t="shared" ref="BC225" si="144">+AR225-AV225</f>
        <v>-716930.42076870985</v>
      </c>
      <c r="BD225" s="17">
        <f t="shared" ref="BD225" si="145">+AS225-AW225</f>
        <v>-330192.79211496003</v>
      </c>
      <c r="BE225" s="17">
        <f t="shared" ref="BE225" si="146">AR225-AP225</f>
        <v>2055155.4827586208</v>
      </c>
      <c r="BF225" s="17">
        <f t="shared" ref="BF225" si="147">AS225-AQ225</f>
        <v>-13332</v>
      </c>
    </row>
    <row r="226" spans="1:63" ht="14.25" hidden="1" customHeight="1" x14ac:dyDescent="0.35">
      <c r="A226" s="16">
        <v>45880</v>
      </c>
      <c r="B226" s="17">
        <f>+'BD MD'!B225</f>
        <v>33293539</v>
      </c>
      <c r="C226" s="17">
        <f t="shared" si="94"/>
        <v>5333277.6896551717</v>
      </c>
      <c r="D226" s="18">
        <f t="shared" si="118"/>
        <v>3.6733776204413184E-2</v>
      </c>
      <c r="E226" s="17">
        <v>39106187</v>
      </c>
      <c r="F226" s="19">
        <v>46245</v>
      </c>
      <c r="G226" s="17">
        <f t="shared" si="95"/>
        <v>7335506.5023224503</v>
      </c>
      <c r="H226" s="17">
        <v>5778262.7903368799</v>
      </c>
      <c r="I226" s="17">
        <v>1557243.7119855699</v>
      </c>
      <c r="J226" s="17">
        <v>3999839</v>
      </c>
      <c r="K226" s="17">
        <v>4741330</v>
      </c>
      <c r="L226" s="17">
        <v>32970.689655172398</v>
      </c>
      <c r="M226" s="17">
        <v>54809</v>
      </c>
      <c r="N226" s="17">
        <v>56378</v>
      </c>
      <c r="O226" s="17">
        <v>44133</v>
      </c>
      <c r="P226" s="17">
        <v>5019</v>
      </c>
      <c r="Q226" s="17">
        <v>4828</v>
      </c>
      <c r="R226" s="17">
        <v>135073</v>
      </c>
      <c r="S226" s="17">
        <v>136695</v>
      </c>
      <c r="T226" s="17">
        <v>700812</v>
      </c>
      <c r="U226" s="17">
        <v>425261</v>
      </c>
      <c r="V226" s="17">
        <v>356162</v>
      </c>
      <c r="W226" s="17">
        <v>184068</v>
      </c>
      <c r="X226" s="17">
        <v>39654</v>
      </c>
      <c r="Y226" s="17">
        <v>28255</v>
      </c>
      <c r="Z226" s="17">
        <v>7370</v>
      </c>
      <c r="AA226" s="17">
        <v>12530</v>
      </c>
      <c r="AB226" s="17">
        <v>0</v>
      </c>
      <c r="AC226" s="17">
        <v>14828</v>
      </c>
      <c r="AD226" s="17">
        <v>0</v>
      </c>
      <c r="AE226" s="17">
        <v>6805</v>
      </c>
      <c r="AF226" s="17">
        <f t="shared" si="96"/>
        <v>5653542</v>
      </c>
      <c r="AG226" s="18">
        <f t="shared" si="97"/>
        <v>0.77070915255954942</v>
      </c>
      <c r="AH226" s="17">
        <f t="shared" si="98"/>
        <v>-1681964.5023224503</v>
      </c>
      <c r="AI226" s="20">
        <f t="shared" si="99"/>
        <v>-1.3833854219447161E-3</v>
      </c>
      <c r="AJ226" s="20">
        <f t="shared" si="100"/>
        <v>0.15570204974273497</v>
      </c>
      <c r="AK226" s="21">
        <f t="shared" si="119"/>
        <v>0.14456899109084709</v>
      </c>
      <c r="AL226" s="21">
        <f t="shared" si="101"/>
        <v>7.5518703033945922E-2</v>
      </c>
      <c r="AM226" s="31"/>
      <c r="AO226" s="38">
        <f t="shared" si="102"/>
        <v>46245</v>
      </c>
      <c r="AP226" s="17">
        <f>+Tabla22[[#This Row],[Web + APP 2025]]+Tabla22[[#This Row],[Afiliados 2025]]+Tabla22[[#This Row],[TMK 2025]]+Tabla22[[#This Row],[WA 2025]]+Tabla22[[#This Row],[Ent. en Tienda 2025]]</f>
        <v>4229279.6896551717</v>
      </c>
      <c r="AQ226" s="17">
        <f>+Tabla22[[#This Row],[Meli Drop 2025]]+Tabla22[[#This Row],[Meli Full 2025]]+Tabla22[[#This Row],[Amazon Drop 2025]]+Tabla22[[#This Row],[Amazon Full 2025]]+Tabla22[[#This Row],[TikTok 2025]]+Tabla22[[#This Row],[Shein 2025]]</f>
        <v>1103998</v>
      </c>
      <c r="AR226" s="17">
        <f t="shared" si="103"/>
        <v>4981795</v>
      </c>
      <c r="AS226" s="17">
        <f t="shared" si="104"/>
        <v>671747</v>
      </c>
      <c r="AT226" s="18">
        <f t="shared" si="105"/>
        <v>0.17792989954896643</v>
      </c>
      <c r="AU226" s="18">
        <f t="shared" si="106"/>
        <v>-0.39153241219639889</v>
      </c>
      <c r="AV226" s="49">
        <f t="shared" si="107"/>
        <v>5778262.7903368799</v>
      </c>
      <c r="AW226" s="49">
        <f t="shared" si="108"/>
        <v>1557243.7119855699</v>
      </c>
      <c r="AX226" s="39">
        <f t="shared" si="109"/>
        <v>0.86216137631039713</v>
      </c>
      <c r="AY226" s="39">
        <f t="shared" si="110"/>
        <v>0.43136921653932142</v>
      </c>
      <c r="AZ226" s="39">
        <f t="shared" si="111"/>
        <v>0.77070915255954942</v>
      </c>
      <c r="BA226" s="18">
        <v>3.7523944867122197E-2</v>
      </c>
      <c r="BB226" s="20">
        <v>3.6531901912354198E-2</v>
      </c>
      <c r="BC226" s="17">
        <f t="shared" ref="BC226" si="148">+AR226-AV226</f>
        <v>-796467.7903368799</v>
      </c>
      <c r="BD226" s="17">
        <f t="shared" ref="BD226" si="149">+AS226-AW226</f>
        <v>-885496.71198556991</v>
      </c>
      <c r="BE226" s="17">
        <f t="shared" ref="BE226" si="150">AR226-AP226</f>
        <v>752515.31034482829</v>
      </c>
      <c r="BF226" s="17">
        <f t="shared" ref="BF226" si="151">AS226-AQ226</f>
        <v>-432251</v>
      </c>
      <c r="BI226">
        <v>2025</v>
      </c>
      <c r="BJ226" t="s">
        <v>264</v>
      </c>
      <c r="BK226" t="s">
        <v>263</v>
      </c>
    </row>
    <row r="227" spans="1:63" ht="14.25" hidden="1" customHeight="1" x14ac:dyDescent="0.35">
      <c r="A227" s="19">
        <v>45881</v>
      </c>
      <c r="B227" s="17">
        <f>+'BD MD'!B226</f>
        <v>36360304</v>
      </c>
      <c r="C227" s="17">
        <f t="shared" si="94"/>
        <v>5661373.8620689651</v>
      </c>
      <c r="D227" s="18">
        <f t="shared" si="118"/>
        <v>3.8993589413530386E-2</v>
      </c>
      <c r="E227" s="17">
        <v>41672796</v>
      </c>
      <c r="F227" s="19">
        <v>46246</v>
      </c>
      <c r="G227" s="17">
        <f t="shared" si="95"/>
        <v>7372436.8198702503</v>
      </c>
      <c r="H227" s="17">
        <v>5654414.4560906999</v>
      </c>
      <c r="I227" s="17">
        <v>1718022.36377955</v>
      </c>
      <c r="J227" s="17">
        <v>4225069</v>
      </c>
      <c r="K227" s="17">
        <v>4494722</v>
      </c>
      <c r="L227" s="17">
        <v>32825.8620689655</v>
      </c>
      <c r="M227" s="17">
        <v>58059</v>
      </c>
      <c r="N227" s="17">
        <v>72043</v>
      </c>
      <c r="O227" s="17">
        <v>50719</v>
      </c>
      <c r="P227" s="17">
        <v>15704</v>
      </c>
      <c r="Q227" s="17">
        <v>6868</v>
      </c>
      <c r="R227" s="17">
        <v>97751</v>
      </c>
      <c r="S227" s="17">
        <v>135678</v>
      </c>
      <c r="T227" s="17">
        <v>651028</v>
      </c>
      <c r="U227" s="17">
        <v>452304</v>
      </c>
      <c r="V227" s="17">
        <v>527190</v>
      </c>
      <c r="W227" s="17">
        <v>214357</v>
      </c>
      <c r="X227" s="17">
        <v>34217</v>
      </c>
      <c r="Y227" s="17">
        <v>33975</v>
      </c>
      <c r="Z227" s="17">
        <v>5546</v>
      </c>
      <c r="AA227" s="17">
        <v>9612</v>
      </c>
      <c r="AB227" s="17">
        <v>0</v>
      </c>
      <c r="AC227" s="17">
        <v>10923</v>
      </c>
      <c r="AD227" s="17">
        <v>0</v>
      </c>
      <c r="AE227" s="17">
        <v>3591</v>
      </c>
      <c r="AF227" s="17">
        <f t="shared" si="96"/>
        <v>5470808</v>
      </c>
      <c r="AG227" s="18">
        <f t="shared" si="97"/>
        <v>0.7420623782431115</v>
      </c>
      <c r="AH227" s="17">
        <f t="shared" si="98"/>
        <v>-1901628.8198702503</v>
      </c>
      <c r="AI227" s="20">
        <f t="shared" si="99"/>
        <v>-2.4898045969300675E-2</v>
      </c>
      <c r="AJ227" s="20">
        <f t="shared" si="100"/>
        <v>0.1431358453120086</v>
      </c>
      <c r="AK227" s="21">
        <f t="shared" si="119"/>
        <v>0.13128008017508591</v>
      </c>
      <c r="AL227" s="21">
        <f t="shared" si="101"/>
        <v>6.316237977178818E-2</v>
      </c>
      <c r="AM227" s="31"/>
      <c r="AO227" s="38">
        <f t="shared" si="102"/>
        <v>46246</v>
      </c>
      <c r="AP227" s="17">
        <f>+Tabla22[[#This Row],[Web + APP 2025]]+Tabla22[[#This Row],[Afiliados 2025]]+Tabla22[[#This Row],[TMK 2025]]+Tabla22[[#This Row],[WA 2025]]+Tabla22[[#This Row],[Ent. en Tienda 2025]]</f>
        <v>4443392.8620689651</v>
      </c>
      <c r="AQ227" s="17">
        <f>+Tabla22[[#This Row],[Meli Drop 2025]]+Tabla22[[#This Row],[Meli Full 2025]]+Tabla22[[#This Row],[Amazon Drop 2025]]+Tabla22[[#This Row],[Amazon Full 2025]]+Tabla22[[#This Row],[TikTok 2025]]+Tabla22[[#This Row],[Shein 2025]]</f>
        <v>1217981</v>
      </c>
      <c r="AR227" s="17">
        <f t="shared" si="103"/>
        <v>4746046</v>
      </c>
      <c r="AS227" s="17">
        <f t="shared" si="104"/>
        <v>724762</v>
      </c>
      <c r="AT227" s="18">
        <f t="shared" si="105"/>
        <v>6.8113071998344932E-2</v>
      </c>
      <c r="AU227" s="18">
        <f t="shared" si="106"/>
        <v>-0.4049480246407785</v>
      </c>
      <c r="AV227" s="49">
        <f t="shared" si="107"/>
        <v>5654414.4560906999</v>
      </c>
      <c r="AW227" s="49">
        <f t="shared" si="108"/>
        <v>1718022.36377955</v>
      </c>
      <c r="AX227" s="39">
        <f t="shared" si="109"/>
        <v>0.83935233910697093</v>
      </c>
      <c r="AY227" s="39">
        <f t="shared" si="110"/>
        <v>0.42185830364021892</v>
      </c>
      <c r="AZ227" s="39">
        <f t="shared" si="111"/>
        <v>0.7420623782431115</v>
      </c>
      <c r="BA227" s="18">
        <v>4.1398129247699998E-2</v>
      </c>
      <c r="BB227" s="20">
        <v>3.8381380307433197E-2</v>
      </c>
      <c r="BC227" s="17">
        <f t="shared" ref="BC227" si="152">+AR227-AV227</f>
        <v>-908368.45609069988</v>
      </c>
      <c r="BD227" s="17">
        <f t="shared" ref="BD227" si="153">+AS227-AW227</f>
        <v>-993260.36377954995</v>
      </c>
      <c r="BE227" s="17">
        <f t="shared" ref="BE227" si="154">AR227-AP227</f>
        <v>302653.1379310349</v>
      </c>
      <c r="BF227" s="17">
        <f t="shared" ref="BF227" si="155">AS227-AQ227</f>
        <v>-493219</v>
      </c>
      <c r="BH227" s="234" t="s">
        <v>265</v>
      </c>
      <c r="BI227" s="6">
        <f>Tabla22[[#This Row],[Web + APP 2025]]</f>
        <v>4225069</v>
      </c>
      <c r="BJ227" s="6">
        <f>K226</f>
        <v>4741330</v>
      </c>
    </row>
    <row r="228" spans="1:63" ht="14.25" hidden="1" customHeight="1" x14ac:dyDescent="0.35">
      <c r="A228" s="16">
        <v>45882</v>
      </c>
      <c r="B228" s="17">
        <f>+'BD MD'!B227</f>
        <v>39197019</v>
      </c>
      <c r="C228" s="17">
        <f t="shared" si="94"/>
        <v>5610498.4482758623</v>
      </c>
      <c r="D228" s="18">
        <f t="shared" si="118"/>
        <v>3.8643177120503212E-2</v>
      </c>
      <c r="E228" s="17">
        <v>45632674</v>
      </c>
      <c r="F228" s="19">
        <v>46247</v>
      </c>
      <c r="G228" s="17">
        <f t="shared" si="95"/>
        <v>6148587.6181572191</v>
      </c>
      <c r="H228" s="17">
        <v>4363259.4794024397</v>
      </c>
      <c r="I228" s="17">
        <v>1785328.1387547799</v>
      </c>
      <c r="J228" s="17">
        <v>4089143</v>
      </c>
      <c r="K228" s="17">
        <v>3681443</v>
      </c>
      <c r="L228" s="17">
        <v>34528.448275862</v>
      </c>
      <c r="M228" s="17">
        <v>51171</v>
      </c>
      <c r="N228" s="17">
        <v>43939</v>
      </c>
      <c r="O228" s="17">
        <v>38856</v>
      </c>
      <c r="P228" s="17">
        <v>4540</v>
      </c>
      <c r="Q228" s="17">
        <v>15603</v>
      </c>
      <c r="R228" s="17">
        <v>176005</v>
      </c>
      <c r="S228" s="17">
        <v>100446</v>
      </c>
      <c r="T228" s="17">
        <v>668270</v>
      </c>
      <c r="U228" s="17">
        <v>469013</v>
      </c>
      <c r="V228" s="17">
        <v>554038</v>
      </c>
      <c r="W228" s="17">
        <v>191108</v>
      </c>
      <c r="X228" s="17">
        <v>35960</v>
      </c>
      <c r="Y228" s="17">
        <v>37897</v>
      </c>
      <c r="Z228" s="17">
        <v>4075</v>
      </c>
      <c r="AA228" s="17">
        <v>13748</v>
      </c>
      <c r="AB228" s="17">
        <v>0</v>
      </c>
      <c r="AC228" s="17">
        <v>6868</v>
      </c>
      <c r="AD228" s="17">
        <v>0</v>
      </c>
      <c r="AE228" s="17">
        <v>2756</v>
      </c>
      <c r="AF228" s="17">
        <f t="shared" si="96"/>
        <v>4608909</v>
      </c>
      <c r="AG228" s="18">
        <f t="shared" si="97"/>
        <v>0.74958824468721275</v>
      </c>
      <c r="AH228" s="17">
        <f t="shared" si="98"/>
        <v>-1539678.6181572191</v>
      </c>
      <c r="AI228" s="20">
        <f t="shared" si="99"/>
        <v>-9.3846282031727624E-3</v>
      </c>
      <c r="AJ228" s="20">
        <f t="shared" si="100"/>
        <v>0.10534497463240182</v>
      </c>
      <c r="AK228" s="21">
        <f t="shared" si="119"/>
        <v>0.10100019560545587</v>
      </c>
      <c r="AL228" s="21">
        <f t="shared" si="101"/>
        <v>3.3229199080549998E-2</v>
      </c>
      <c r="AM228" s="31"/>
      <c r="AO228" s="38">
        <f t="shared" si="102"/>
        <v>46247</v>
      </c>
      <c r="AP228" s="17">
        <f>+Tabla22[[#This Row],[Web + APP 2025]]+Tabla22[[#This Row],[Afiliados 2025]]+Tabla22[[#This Row],[TMK 2025]]+Tabla22[[#This Row],[WA 2025]]+Tabla22[[#This Row],[Ent. en Tienda 2025]]</f>
        <v>4348155.4482758623</v>
      </c>
      <c r="AQ228" s="17">
        <f>+Tabla22[[#This Row],[Meli Drop 2025]]+Tabla22[[#This Row],[Meli Full 2025]]+Tabla22[[#This Row],[Amazon Drop 2025]]+Tabla22[[#This Row],[Amazon Full 2025]]+Tabla22[[#This Row],[TikTok 2025]]+Tabla22[[#This Row],[Shein 2025]]</f>
        <v>1262343</v>
      </c>
      <c r="AR228" s="17">
        <f t="shared" si="103"/>
        <v>3887519</v>
      </c>
      <c r="AS228" s="17">
        <f t="shared" si="104"/>
        <v>721390</v>
      </c>
      <c r="AT228" s="18">
        <f t="shared" si="105"/>
        <v>-0.10593835794405981</v>
      </c>
      <c r="AU228" s="18">
        <f t="shared" si="106"/>
        <v>-0.42853091433944657</v>
      </c>
      <c r="AV228" s="49">
        <f t="shared" si="107"/>
        <v>4363259.4794024397</v>
      </c>
      <c r="AW228" s="49">
        <f t="shared" si="108"/>
        <v>1785328.1387547799</v>
      </c>
      <c r="AX228" s="39">
        <f t="shared" si="109"/>
        <v>0.89096672300873714</v>
      </c>
      <c r="AY228" s="39">
        <f t="shared" si="110"/>
        <v>0.40406577611169608</v>
      </c>
      <c r="AZ228" s="39">
        <f t="shared" si="111"/>
        <v>0.74958824468721275</v>
      </c>
      <c r="BA228" s="18">
        <v>4.3019955150717597E-2</v>
      </c>
      <c r="BB228" s="20">
        <v>3.7558733399595402E-2</v>
      </c>
      <c r="BC228" s="17">
        <f t="shared" ref="BC228" si="156">+AR228-AV228</f>
        <v>-475740.47940243967</v>
      </c>
      <c r="BD228" s="17">
        <f t="shared" ref="BD228" si="157">+AS228-AW228</f>
        <v>-1063938.1387547799</v>
      </c>
      <c r="BE228" s="17">
        <f t="shared" ref="BE228" si="158">AR228-AP228</f>
        <v>-460636.44827586226</v>
      </c>
      <c r="BF228" s="17">
        <f t="shared" ref="BF228" si="159">AS228-AQ228</f>
        <v>-540953</v>
      </c>
      <c r="BH228" s="234" t="s">
        <v>266</v>
      </c>
    </row>
    <row r="229" spans="1:63" ht="14.25" hidden="1" customHeight="1" x14ac:dyDescent="0.35">
      <c r="A229" s="19">
        <v>45883</v>
      </c>
      <c r="B229" s="17">
        <f>+'BD MD'!B228</f>
        <v>44165103</v>
      </c>
      <c r="C229" s="17">
        <f t="shared" si="94"/>
        <v>4652571.6551724132</v>
      </c>
      <c r="D229" s="18">
        <f t="shared" si="118"/>
        <v>3.2045307951544102E-2</v>
      </c>
      <c r="E229" s="17">
        <v>47566437</v>
      </c>
      <c r="F229" s="19">
        <v>46248</v>
      </c>
      <c r="G229" s="17">
        <f t="shared" si="95"/>
        <v>5377096.9016619604</v>
      </c>
      <c r="H229" s="17">
        <v>3547199.63364462</v>
      </c>
      <c r="I229" s="17">
        <v>1829897.26801734</v>
      </c>
      <c r="J229" s="17">
        <v>3070125</v>
      </c>
      <c r="K229" s="17">
        <v>3263047</v>
      </c>
      <c r="L229" s="17">
        <v>38764.655172413797</v>
      </c>
      <c r="M229" s="17">
        <v>53656</v>
      </c>
      <c r="N229" s="17">
        <v>46072</v>
      </c>
      <c r="O229" s="17">
        <v>30164</v>
      </c>
      <c r="P229" s="17">
        <v>4716</v>
      </c>
      <c r="Q229" s="17">
        <v>15984</v>
      </c>
      <c r="R229" s="17">
        <v>195600</v>
      </c>
      <c r="S229" s="17">
        <v>120703</v>
      </c>
      <c r="T229" s="17">
        <v>651924</v>
      </c>
      <c r="U229" s="17">
        <v>516985</v>
      </c>
      <c r="V229" s="17">
        <v>601203</v>
      </c>
      <c r="W229" s="17">
        <v>216650</v>
      </c>
      <c r="X229" s="17">
        <v>40376</v>
      </c>
      <c r="Y229" s="17">
        <v>33945</v>
      </c>
      <c r="Z229" s="17">
        <v>3791</v>
      </c>
      <c r="AA229" s="17">
        <v>10550</v>
      </c>
      <c r="AB229" s="17">
        <v>0</v>
      </c>
      <c r="AC229" s="17">
        <v>10464</v>
      </c>
      <c r="AD229" s="17">
        <v>0</v>
      </c>
      <c r="AE229" s="17">
        <v>1903</v>
      </c>
      <c r="AF229" s="17">
        <f t="shared" si="96"/>
        <v>4274051</v>
      </c>
      <c r="AG229" s="18">
        <f t="shared" si="97"/>
        <v>0.79486218644841056</v>
      </c>
      <c r="AH229" s="17">
        <f t="shared" si="98"/>
        <v>-1103045.9016619604</v>
      </c>
      <c r="AI229" s="20">
        <f>+AF229/C230-1</f>
        <v>0.32355156332344892</v>
      </c>
      <c r="AJ229" s="20">
        <f t="shared" si="100"/>
        <v>7.3326948907217152E-2</v>
      </c>
      <c r="AK229" s="21">
        <f t="shared" si="119"/>
        <v>8.9854344146062484E-2</v>
      </c>
      <c r="AL229" s="21">
        <f t="shared" si="101"/>
        <v>8.0103569640698868E-2</v>
      </c>
      <c r="AM229" s="31"/>
      <c r="AO229" s="38">
        <f t="shared" si="102"/>
        <v>46248</v>
      </c>
      <c r="AP229" s="17">
        <f>+Tabla22[[#This Row],[Web + APP 2025]]+Tabla22[[#This Row],[Afiliados 2025]]+Tabla22[[#This Row],[TMK 2025]]+Tabla22[[#This Row],[WA 2025]]+Tabla22[[#This Row],[Ent. en Tienda 2025]]</f>
        <v>3355277.6551724137</v>
      </c>
      <c r="AQ229" s="17">
        <f>+Tabla22[[#This Row],[Meli Drop 2025]]+Tabla22[[#This Row],[Meli Full 2025]]+Tabla22[[#This Row],[Amazon Drop 2025]]+Tabla22[[#This Row],[Amazon Full 2025]]+Tabla22[[#This Row],[TikTok 2025]]+Tabla22[[#This Row],[Shein 2025]]</f>
        <v>1297294</v>
      </c>
      <c r="AR229" s="17">
        <f t="shared" si="103"/>
        <v>3483554</v>
      </c>
      <c r="AS229" s="17">
        <f t="shared" si="104"/>
        <v>790497</v>
      </c>
      <c r="AT229" s="18">
        <f t="shared" si="105"/>
        <v>3.8231216015711444E-2</v>
      </c>
      <c r="AU229" s="18">
        <f t="shared" si="106"/>
        <v>-0.39065701375324324</v>
      </c>
      <c r="AV229" s="49">
        <f t="shared" si="107"/>
        <v>3547199.63364462</v>
      </c>
      <c r="AW229" s="49">
        <f t="shared" si="108"/>
        <v>1829897.26801734</v>
      </c>
      <c r="AX229" s="39">
        <f t="shared" si="109"/>
        <v>0.98205749881090665</v>
      </c>
      <c r="AY229" s="39">
        <f t="shared" si="110"/>
        <v>0.43198982468370423</v>
      </c>
      <c r="AZ229" s="39">
        <f t="shared" si="111"/>
        <v>0.79486218644841056</v>
      </c>
      <c r="BA229" s="18">
        <v>4.4093910072707E-2</v>
      </c>
      <c r="BB229" s="20">
        <v>2.89823996476966E-2</v>
      </c>
      <c r="BC229" s="17">
        <f t="shared" ref="BC229:BC232" si="160">+AR229-AV229</f>
        <v>-63645.633644619957</v>
      </c>
      <c r="BD229" s="17">
        <f t="shared" ref="BD229:BD232" si="161">+AS229-AW229</f>
        <v>-1039400.26801734</v>
      </c>
      <c r="BE229" s="17">
        <f t="shared" ref="BE229:BE232" si="162">AR229-AP229</f>
        <v>128276.34482758632</v>
      </c>
      <c r="BF229" s="17">
        <f t="shared" ref="BF229:BF232" si="163">AS229-AQ229</f>
        <v>-506797</v>
      </c>
      <c r="BH229" s="243" t="s">
        <v>267</v>
      </c>
    </row>
    <row r="230" spans="1:63" ht="14.25" hidden="1" customHeight="1" x14ac:dyDescent="0.35">
      <c r="A230" s="16">
        <v>45884</v>
      </c>
      <c r="B230" s="17">
        <f>+'BD MD'!B229</f>
        <v>44038774</v>
      </c>
      <c r="C230" s="17">
        <f t="shared" si="94"/>
        <v>3229228.931034483</v>
      </c>
      <c r="D230" s="18">
        <f t="shared" si="118"/>
        <v>2.2241814465338055E-2</v>
      </c>
      <c r="E230" s="17">
        <v>61569045</v>
      </c>
      <c r="F230" s="19">
        <v>46249</v>
      </c>
      <c r="G230" s="17">
        <f t="shared" si="95"/>
        <v>4306751.3905300098</v>
      </c>
      <c r="H230" s="17">
        <v>2931100.39722447</v>
      </c>
      <c r="I230" s="17">
        <v>1375650.9933055399</v>
      </c>
      <c r="J230" s="17">
        <v>2011046</v>
      </c>
      <c r="K230" s="17">
        <v>3131893</v>
      </c>
      <c r="L230" s="17">
        <v>34462.931034482703</v>
      </c>
      <c r="M230" s="17">
        <v>62359</v>
      </c>
      <c r="N230" s="17">
        <v>24847</v>
      </c>
      <c r="O230" s="17">
        <v>-4461</v>
      </c>
      <c r="P230" s="17">
        <v>5456</v>
      </c>
      <c r="Q230" s="17">
        <v>3375</v>
      </c>
      <c r="R230" s="17">
        <v>178158</v>
      </c>
      <c r="S230" s="17">
        <v>200572</v>
      </c>
      <c r="T230" s="17">
        <v>507359</v>
      </c>
      <c r="U230" s="17">
        <v>493567</v>
      </c>
      <c r="V230" s="17">
        <v>433481</v>
      </c>
      <c r="W230" s="17">
        <v>253687</v>
      </c>
      <c r="X230" s="17">
        <v>26228</v>
      </c>
      <c r="Y230" s="17">
        <v>29680</v>
      </c>
      <c r="Z230" s="17">
        <v>8191</v>
      </c>
      <c r="AA230" s="17">
        <v>7085</v>
      </c>
      <c r="AB230" s="17">
        <v>0</v>
      </c>
      <c r="AC230" s="17">
        <v>10393</v>
      </c>
      <c r="AD230" s="17">
        <v>0</v>
      </c>
      <c r="AE230" s="17">
        <v>6245</v>
      </c>
      <c r="AF230" s="17">
        <f t="shared" si="96"/>
        <v>4194395</v>
      </c>
      <c r="AG230" s="18">
        <f t="shared" si="97"/>
        <v>0.97391156806100609</v>
      </c>
      <c r="AH230" s="17">
        <f t="shared" si="98"/>
        <v>-112356.39053000975</v>
      </c>
      <c r="AI230" s="20">
        <f t="shared" si="99"/>
        <v>-0.14205227758922134</v>
      </c>
      <c r="AJ230" s="20">
        <f t="shared" si="100"/>
        <v>8.0212678975803961E-2</v>
      </c>
      <c r="AK230" s="21">
        <f t="shared" si="119"/>
        <v>6.8125061871594728E-2</v>
      </c>
      <c r="AL230" s="21">
        <f t="shared" si="101"/>
        <v>1.0175746562547605E-2</v>
      </c>
      <c r="AM230" s="31"/>
      <c r="AO230" s="38">
        <f t="shared" si="102"/>
        <v>46249</v>
      </c>
      <c r="AP230" s="17">
        <f>+Tabla22[[#This Row],[Web + APP 2025]]+Tabla22[[#This Row],[Afiliados 2025]]+Tabla22[[#This Row],[TMK 2025]]+Tabla22[[#This Row],[WA 2025]]+Tabla22[[#This Row],[Ent. en Tienda 2025]]</f>
        <v>2253969.931034483</v>
      </c>
      <c r="AQ230" s="17">
        <f>+Tabla22[[#This Row],[Meli Drop 2025]]+Tabla22[[#This Row],[Meli Full 2025]]+Tabla22[[#This Row],[Amazon Drop 2025]]+Tabla22[[#This Row],[Amazon Full 2025]]+Tabla22[[#This Row],[TikTok 2025]]+Tabla22[[#This Row],[Shein 2025]]</f>
        <v>975259</v>
      </c>
      <c r="AR230" s="17">
        <f t="shared" si="103"/>
        <v>3393738</v>
      </c>
      <c r="AS230" s="17">
        <f t="shared" si="104"/>
        <v>800657</v>
      </c>
      <c r="AT230" s="18">
        <f t="shared" si="105"/>
        <v>0.50567137266219375</v>
      </c>
      <c r="AU230" s="18">
        <f t="shared" si="106"/>
        <v>-0.17903141626993446</v>
      </c>
      <c r="AV230" s="49">
        <f t="shared" si="107"/>
        <v>2931100.39722447</v>
      </c>
      <c r="AW230" s="49">
        <f t="shared" si="108"/>
        <v>1375650.9933055399</v>
      </c>
      <c r="AX230" s="39">
        <f t="shared" si="109"/>
        <v>1.1578375149529552</v>
      </c>
      <c r="AY230" s="39">
        <f t="shared" si="110"/>
        <v>0.58202044260958097</v>
      </c>
      <c r="AZ230" s="39">
        <f t="shared" si="111"/>
        <v>0.97391156806100609</v>
      </c>
      <c r="BA230" s="18">
        <v>3.3148216706157703E-2</v>
      </c>
      <c r="BB230" s="20">
        <v>1.9469463945682199E-2</v>
      </c>
      <c r="BC230" s="17">
        <f t="shared" si="160"/>
        <v>462637.60277552996</v>
      </c>
      <c r="BD230" s="17">
        <f t="shared" si="161"/>
        <v>-574993.99330553995</v>
      </c>
      <c r="BE230" s="17">
        <f t="shared" si="162"/>
        <v>1139768.068965517</v>
      </c>
      <c r="BF230" s="17">
        <f t="shared" si="163"/>
        <v>-174602</v>
      </c>
      <c r="BH230" s="243" t="s">
        <v>268</v>
      </c>
    </row>
    <row r="231" spans="1:63" ht="14.25" hidden="1" customHeight="1" thickBot="1" x14ac:dyDescent="0.4">
      <c r="A231" s="19">
        <v>45885</v>
      </c>
      <c r="B231" s="17">
        <f>+'BD MD'!B230</f>
        <v>60948845</v>
      </c>
      <c r="C231" s="17">
        <f t="shared" si="94"/>
        <v>4888870.137931034</v>
      </c>
      <c r="D231" s="18">
        <f t="shared" si="118"/>
        <v>3.3672850353833453E-2</v>
      </c>
      <c r="E231" s="17">
        <v>65717622</v>
      </c>
      <c r="F231" s="19">
        <v>46250</v>
      </c>
      <c r="G231" s="17">
        <f t="shared" si="95"/>
        <v>5604284.5680249101</v>
      </c>
      <c r="H231" s="17">
        <v>3861268.6794992299</v>
      </c>
      <c r="I231" s="17">
        <v>1743015.8885256799</v>
      </c>
      <c r="J231" s="17">
        <v>3412516</v>
      </c>
      <c r="K231" s="17">
        <v>3769446</v>
      </c>
      <c r="L231" s="17">
        <v>47499.1379310345</v>
      </c>
      <c r="M231" s="17">
        <v>60816</v>
      </c>
      <c r="N231" s="17">
        <v>28829</v>
      </c>
      <c r="O231" s="17">
        <v>12907</v>
      </c>
      <c r="P231" s="17">
        <v>2060</v>
      </c>
      <c r="Q231" s="17">
        <v>1416</v>
      </c>
      <c r="R231" s="17">
        <v>162266</v>
      </c>
      <c r="S231" s="17">
        <v>121507</v>
      </c>
      <c r="T231" s="17">
        <v>782613</v>
      </c>
      <c r="U231" s="17">
        <v>480467</v>
      </c>
      <c r="V231" s="17">
        <v>397386</v>
      </c>
      <c r="W231" s="17">
        <v>261280</v>
      </c>
      <c r="X231" s="17">
        <v>46230</v>
      </c>
      <c r="Y231" s="17">
        <v>34538</v>
      </c>
      <c r="Z231" s="17">
        <v>9471</v>
      </c>
      <c r="AA231" s="17">
        <v>2595</v>
      </c>
      <c r="AB231" s="17">
        <v>0</v>
      </c>
      <c r="AC231" s="17">
        <v>6215</v>
      </c>
      <c r="AD231" s="17">
        <v>0</v>
      </c>
      <c r="AE231" s="17">
        <v>2842</v>
      </c>
      <c r="AF231" s="17">
        <f t="shared" si="96"/>
        <v>4754029</v>
      </c>
      <c r="AG231" s="18">
        <f t="shared" si="97"/>
        <v>0.84828472614042127</v>
      </c>
      <c r="AH231" s="17">
        <f t="shared" si="98"/>
        <v>-850255.56802491006</v>
      </c>
      <c r="AI231" s="20">
        <f t="shared" si="99"/>
        <v>0.20601721642801563</v>
      </c>
      <c r="AJ231" s="20">
        <f t="shared" si="100"/>
        <v>6.344445797757467E-2</v>
      </c>
      <c r="AK231" s="21">
        <f t="shared" si="119"/>
        <v>7.2340246882335452E-2</v>
      </c>
      <c r="AL231" s="21">
        <f t="shared" si="101"/>
        <v>5.7711466375750087E-2</v>
      </c>
      <c r="AM231" s="31"/>
      <c r="AO231" s="38">
        <f t="shared" si="102"/>
        <v>46250</v>
      </c>
      <c r="AP231" s="17">
        <f>+Tabla22[[#This Row],[Web + APP 2025]]+Tabla22[[#This Row],[Afiliados 2025]]+Tabla22[[#This Row],[TMK 2025]]+Tabla22[[#This Row],[WA 2025]]+Tabla22[[#This Row],[Ent. en Tienda 2025]]</f>
        <v>3653170.1379310344</v>
      </c>
      <c r="AQ231" s="17">
        <f>+Tabla22[[#This Row],[Meli Drop 2025]]+Tabla22[[#This Row],[Meli Full 2025]]+Tabla22[[#This Row],[Amazon Drop 2025]]+Tabla22[[#This Row],[Amazon Full 2025]]+Tabla22[[#This Row],[TikTok 2025]]+Tabla22[[#This Row],[Shein 2025]]</f>
        <v>1235700</v>
      </c>
      <c r="AR231" s="17">
        <f t="shared" si="103"/>
        <v>3966092</v>
      </c>
      <c r="AS231" s="17">
        <f t="shared" si="104"/>
        <v>787937</v>
      </c>
      <c r="AT231" s="18">
        <f t="shared" si="105"/>
        <v>8.5657620711360627E-2</v>
      </c>
      <c r="AU231" s="18">
        <f t="shared" si="106"/>
        <v>-0.36235574977745411</v>
      </c>
      <c r="AV231" s="49">
        <f t="shared" si="107"/>
        <v>3861268.6794992299</v>
      </c>
      <c r="AW231" s="49">
        <f t="shared" si="108"/>
        <v>1743015.8885256799</v>
      </c>
      <c r="AX231" s="39">
        <f t="shared" si="109"/>
        <v>1.0271473780255989</v>
      </c>
      <c r="AY231" s="39">
        <f t="shared" si="110"/>
        <v>0.45205382531909793</v>
      </c>
      <c r="AZ231" s="39">
        <f t="shared" si="111"/>
        <v>0.84828472614042127</v>
      </c>
      <c r="BA231" s="18">
        <v>4.2000382856040401E-2</v>
      </c>
      <c r="BB231" s="20">
        <v>3.1555551522041599E-2</v>
      </c>
      <c r="BC231" s="17">
        <f t="shared" si="160"/>
        <v>104823.32050077012</v>
      </c>
      <c r="BD231" s="17">
        <f t="shared" si="161"/>
        <v>-955078.88852567994</v>
      </c>
      <c r="BE231" s="17">
        <f t="shared" si="162"/>
        <v>312921.86206896557</v>
      </c>
      <c r="BF231" s="17">
        <f t="shared" si="163"/>
        <v>-447763</v>
      </c>
      <c r="BH231" s="249" t="s">
        <v>269</v>
      </c>
    </row>
    <row r="232" spans="1:63" ht="14.25" hidden="1" customHeight="1" x14ac:dyDescent="0.35">
      <c r="A232" s="16">
        <v>45886</v>
      </c>
      <c r="B232" s="17">
        <f>+'BD MD'!B231</f>
        <v>62131899</v>
      </c>
      <c r="C232" s="17">
        <f t="shared" si="94"/>
        <v>3941924.6551724137</v>
      </c>
      <c r="D232" s="18">
        <f t="shared" si="118"/>
        <v>2.7150616660863266E-2</v>
      </c>
      <c r="E232" s="17">
        <v>40824335</v>
      </c>
      <c r="F232" s="19">
        <v>46251</v>
      </c>
      <c r="G232" s="17">
        <f t="shared" si="95"/>
        <v>6122642.9537522905</v>
      </c>
      <c r="H232" s="17">
        <v>4750643.8728327602</v>
      </c>
      <c r="I232" s="17">
        <v>1371999.08091953</v>
      </c>
      <c r="J232" s="17">
        <v>2730517</v>
      </c>
      <c r="K232" s="17">
        <v>5336867</v>
      </c>
      <c r="L232" s="17">
        <v>40964.655172413797</v>
      </c>
      <c r="M232" s="17">
        <v>56728</v>
      </c>
      <c r="N232" s="17">
        <v>3525</v>
      </c>
      <c r="O232" s="17">
        <v>55656</v>
      </c>
      <c r="P232" s="17">
        <v>11086</v>
      </c>
      <c r="Q232" s="17">
        <v>16254</v>
      </c>
      <c r="R232" s="17">
        <v>183162</v>
      </c>
      <c r="S232" s="17">
        <v>166309</v>
      </c>
      <c r="T232" s="17">
        <v>524015</v>
      </c>
      <c r="U232" s="17">
        <v>260464</v>
      </c>
      <c r="V232" s="17">
        <v>403338</v>
      </c>
      <c r="W232" s="17">
        <v>286210</v>
      </c>
      <c r="X232" s="17">
        <v>35960</v>
      </c>
      <c r="Y232" s="17">
        <v>20932</v>
      </c>
      <c r="Z232" s="17">
        <v>7429</v>
      </c>
      <c r="AA232" s="17">
        <v>2353</v>
      </c>
      <c r="AB232" s="17">
        <v>1928</v>
      </c>
      <c r="AC232" s="17">
        <v>7205</v>
      </c>
      <c r="AD232" s="17">
        <v>0</v>
      </c>
      <c r="AE232" s="17">
        <v>3101</v>
      </c>
      <c r="AF232" s="17">
        <f t="shared" si="96"/>
        <v>6212079</v>
      </c>
      <c r="AG232" s="18">
        <f t="shared" si="97"/>
        <v>1.0146074247548436</v>
      </c>
      <c r="AH232" s="17">
        <f t="shared" si="98"/>
        <v>89436.046247709543</v>
      </c>
      <c r="AI232" s="20">
        <f t="shared" si="99"/>
        <v>7.723938391466012E-3</v>
      </c>
      <c r="AJ232" s="20">
        <f t="shared" si="100"/>
        <v>0.16008376318988846</v>
      </c>
      <c r="AK232" s="21">
        <f t="shared" si="119"/>
        <v>0.15216607937398122</v>
      </c>
      <c r="AL232" s="21">
        <f t="shared" si="101"/>
        <v>6.0159011639917548E-2</v>
      </c>
      <c r="AM232" s="31"/>
      <c r="AO232" s="38">
        <f t="shared" si="102"/>
        <v>46251</v>
      </c>
      <c r="AP232" s="17">
        <f>+Tabla22[[#This Row],[Web + APP 2025]]+Tabla22[[#This Row],[Afiliados 2025]]+Tabla22[[#This Row],[TMK 2025]]+Tabla22[[#This Row],[WA 2025]]+Tabla22[[#This Row],[Ent. en Tienda 2025]]</f>
        <v>2969254.6551724137</v>
      </c>
      <c r="AQ232" s="17">
        <f>+Tabla22[[#This Row],[Meli Drop 2025]]+Tabla22[[#This Row],[Meli Full 2025]]+Tabla22[[#This Row],[Amazon Drop 2025]]+Tabla22[[#This Row],[Amazon Full 2025]]+Tabla22[[#This Row],[TikTok 2025]]+Tabla22[[#This Row],[Shein 2025]]</f>
        <v>972670</v>
      </c>
      <c r="AR232" s="17">
        <f t="shared" si="103"/>
        <v>5631814</v>
      </c>
      <c r="AS232" s="17">
        <f t="shared" si="104"/>
        <v>580265</v>
      </c>
      <c r="AT232" s="18">
        <f t="shared" si="105"/>
        <v>0.8967096642214345</v>
      </c>
      <c r="AU232" s="18">
        <f t="shared" si="106"/>
        <v>-0.40343076274584388</v>
      </c>
      <c r="AV232" s="49">
        <f t="shared" si="107"/>
        <v>4750643.8728327602</v>
      </c>
      <c r="AW232" s="49">
        <f t="shared" si="108"/>
        <v>1371999.08091953</v>
      </c>
      <c r="AX232" s="39">
        <f t="shared" si="109"/>
        <v>1.1854843576480945</v>
      </c>
      <c r="AY232" s="39">
        <f t="shared" si="110"/>
        <v>0.42293395678596196</v>
      </c>
      <c r="AZ232" s="39">
        <f t="shared" si="111"/>
        <v>1.0146074247548436</v>
      </c>
      <c r="BA232" s="18">
        <v>3.3060218817338199E-2</v>
      </c>
      <c r="BB232" s="20">
        <v>2.5647989202720201E-2</v>
      </c>
      <c r="BC232" s="17">
        <f t="shared" si="160"/>
        <v>881170.12716723979</v>
      </c>
      <c r="BD232" s="17">
        <f t="shared" si="161"/>
        <v>-791734.08091953001</v>
      </c>
      <c r="BE232" s="17">
        <f t="shared" si="162"/>
        <v>2662559.3448275863</v>
      </c>
      <c r="BF232" s="17">
        <f t="shared" si="163"/>
        <v>-392405</v>
      </c>
    </row>
    <row r="233" spans="1:63" ht="14.25" hidden="1" customHeight="1" x14ac:dyDescent="0.35">
      <c r="A233" s="19">
        <v>45887</v>
      </c>
      <c r="B233" s="17">
        <f>+'BD MD'!B232</f>
        <v>38507747</v>
      </c>
      <c r="C233" s="17">
        <f t="shared" si="94"/>
        <v>6164465.0517241377</v>
      </c>
      <c r="D233" s="18">
        <f t="shared" si="118"/>
        <v>4.2458707910369799E-2</v>
      </c>
      <c r="E233" s="17">
        <v>45092354</v>
      </c>
      <c r="F233" s="19">
        <v>46252</v>
      </c>
      <c r="G233" s="17">
        <f t="shared" si="95"/>
        <v>8157498.6179166595</v>
      </c>
      <c r="H233" s="17">
        <v>6350011.3561475696</v>
      </c>
      <c r="I233" s="17">
        <v>1807487.2617690901</v>
      </c>
      <c r="J233" s="17">
        <v>4641789</v>
      </c>
      <c r="K233" s="17">
        <v>5655220</v>
      </c>
      <c r="L233" s="17">
        <v>35684.482758620703</v>
      </c>
      <c r="M233" s="17">
        <v>49156</v>
      </c>
      <c r="N233" s="17">
        <v>59195</v>
      </c>
      <c r="O233" s="17">
        <v>49650</v>
      </c>
      <c r="P233" s="17">
        <v>10114</v>
      </c>
      <c r="Q233" s="17">
        <v>13529</v>
      </c>
      <c r="R233" s="17">
        <v>136276</v>
      </c>
      <c r="S233" s="17">
        <v>131515</v>
      </c>
      <c r="T233" s="17">
        <v>856553</v>
      </c>
      <c r="U233" s="17">
        <v>874101</v>
      </c>
      <c r="V233" s="17">
        <v>371767</v>
      </c>
      <c r="W233" s="17">
        <v>238455</v>
      </c>
      <c r="X233" s="17">
        <v>47937</v>
      </c>
      <c r="Y233" s="17">
        <v>52443</v>
      </c>
      <c r="Z233" s="17">
        <v>4445</v>
      </c>
      <c r="AA233" s="17">
        <v>8603</v>
      </c>
      <c r="AB233" s="17">
        <v>704.56896551724196</v>
      </c>
      <c r="AC233" s="17">
        <v>14092</v>
      </c>
      <c r="AD233" s="17">
        <v>0</v>
      </c>
      <c r="AE233" s="17">
        <v>8931</v>
      </c>
      <c r="AF233" s="17">
        <f t="shared" si="96"/>
        <v>7095695</v>
      </c>
      <c r="AG233" s="18">
        <f t="shared" si="97"/>
        <v>0.86983710722493102</v>
      </c>
      <c r="AH233" s="17">
        <f t="shared" si="98"/>
        <v>-1061803.6179166595</v>
      </c>
      <c r="AI233" s="20">
        <f t="shared" si="99"/>
        <v>0.20089941652235366</v>
      </c>
      <c r="AJ233" s="20">
        <f t="shared" si="100"/>
        <v>0.13808108963159166</v>
      </c>
      <c r="AK233" s="21">
        <f t="shared" si="119"/>
        <v>0.15735916115623505</v>
      </c>
      <c r="AL233" s="21">
        <f t="shared" si="101"/>
        <v>5.3777223727777157E-2</v>
      </c>
      <c r="AM233" s="31"/>
      <c r="AO233" s="38">
        <f t="shared" si="102"/>
        <v>46252</v>
      </c>
      <c r="AP233" s="17">
        <f>+Tabla22[[#This Row],[Web + APP 2025]]+Tabla22[[#This Row],[Afiliados 2025]]+Tabla22[[#This Row],[TMK 2025]]+Tabla22[[#This Row],[WA 2025]]+Tabla22[[#This Row],[Ent. en Tienda 2025]]</f>
        <v>4883058.4827586208</v>
      </c>
      <c r="AQ233" s="17">
        <f>+Tabla22[[#This Row],[Meli Drop 2025]]+Tabla22[[#This Row],[Meli Full 2025]]+Tabla22[[#This Row],[Amazon Drop 2025]]+Tabla22[[#This Row],[Amazon Full 2025]]+Tabla22[[#This Row],[TikTok 2025]]+Tabla22[[#This Row],[Shein 2025]]</f>
        <v>1281406.5689655172</v>
      </c>
      <c r="AR233" s="17">
        <f t="shared" si="103"/>
        <v>5899070</v>
      </c>
      <c r="AS233" s="17">
        <f t="shared" si="104"/>
        <v>1196625</v>
      </c>
      <c r="AT233" s="18">
        <f t="shared" si="105"/>
        <v>0.20806867679934005</v>
      </c>
      <c r="AU233" s="18">
        <f t="shared" si="106"/>
        <v>-6.6162895539049416E-2</v>
      </c>
      <c r="AV233" s="49">
        <f t="shared" si="107"/>
        <v>6350011.3561475696</v>
      </c>
      <c r="AW233" s="49">
        <f t="shared" si="108"/>
        <v>1807487.2617690901</v>
      </c>
      <c r="AX233" s="39">
        <f t="shared" si="109"/>
        <v>0.92898574020485736</v>
      </c>
      <c r="AY233" s="39">
        <f t="shared" si="110"/>
        <v>0.66203786068666148</v>
      </c>
      <c r="AZ233" s="39">
        <f t="shared" si="111"/>
        <v>0.86983710722493102</v>
      </c>
      <c r="BA233" s="18">
        <v>4.3553909922146798E-2</v>
      </c>
      <c r="BB233" s="20">
        <v>4.2179147896215803E-2</v>
      </c>
      <c r="BC233" s="17">
        <f t="shared" ref="BC233" si="164">+AR233-AV233</f>
        <v>-450941.3561475696</v>
      </c>
      <c r="BD233" s="17">
        <f t="shared" ref="BD233" si="165">+AS233-AW233</f>
        <v>-610862.26176909008</v>
      </c>
      <c r="BE233" s="17">
        <f t="shared" ref="BE233" si="166">AR233-AP233</f>
        <v>1016011.5172413792</v>
      </c>
      <c r="BF233" s="17">
        <f t="shared" ref="BF233" si="167">AS233-AQ233</f>
        <v>-84781.568965517217</v>
      </c>
    </row>
    <row r="234" spans="1:63" ht="14.25" hidden="1" customHeight="1" x14ac:dyDescent="0.35">
      <c r="A234" s="16">
        <v>45888</v>
      </c>
      <c r="B234" s="17">
        <f>+'BD MD'!B233</f>
        <v>42791164</v>
      </c>
      <c r="C234" s="17">
        <f t="shared" si="94"/>
        <v>5908650.5517241377</v>
      </c>
      <c r="D234" s="18">
        <f t="shared" si="118"/>
        <v>4.069674591632793E-2</v>
      </c>
      <c r="E234" s="17">
        <v>46969163</v>
      </c>
      <c r="F234" s="19">
        <v>46253</v>
      </c>
      <c r="G234" s="17">
        <f t="shared" si="95"/>
        <v>7793317.8955410402</v>
      </c>
      <c r="H234" s="17">
        <v>6389469.67933382</v>
      </c>
      <c r="I234" s="17">
        <v>1403848.21620722</v>
      </c>
      <c r="J234" s="17">
        <v>4674224</v>
      </c>
      <c r="K234" s="17">
        <v>5265416</v>
      </c>
      <c r="L234" s="17">
        <v>38029.310344827602</v>
      </c>
      <c r="M234" s="17">
        <v>58356</v>
      </c>
      <c r="N234" s="17">
        <v>63390</v>
      </c>
      <c r="O234" s="17">
        <v>21927</v>
      </c>
      <c r="P234" s="17">
        <v>4385</v>
      </c>
      <c r="Q234" s="17">
        <v>11760</v>
      </c>
      <c r="R234" s="17">
        <v>133373</v>
      </c>
      <c r="S234" s="17">
        <v>132555</v>
      </c>
      <c r="T234" s="17">
        <v>669054</v>
      </c>
      <c r="U234" s="17">
        <v>482072</v>
      </c>
      <c r="V234" s="17">
        <v>282672</v>
      </c>
      <c r="W234" s="17">
        <v>231761</v>
      </c>
      <c r="X234" s="17">
        <v>39386</v>
      </c>
      <c r="Y234" s="17">
        <v>38192</v>
      </c>
      <c r="Z234" s="17">
        <v>3720</v>
      </c>
      <c r="AA234" s="17">
        <v>5870</v>
      </c>
      <c r="AB234" s="17">
        <v>73.275862068965495</v>
      </c>
      <c r="AC234" s="17">
        <v>7522</v>
      </c>
      <c r="AD234" s="17">
        <v>343.96551724137902</v>
      </c>
      <c r="AE234" s="17">
        <v>4435</v>
      </c>
      <c r="AF234" s="17">
        <f t="shared" si="96"/>
        <v>6259866</v>
      </c>
      <c r="AG234" s="18">
        <f t="shared" si="97"/>
        <v>0.80323503851698297</v>
      </c>
      <c r="AH234" s="17">
        <f t="shared" si="98"/>
        <v>-1533451.8955410402</v>
      </c>
      <c r="AI234" s="20">
        <f t="shared" si="99"/>
        <v>7.7942236070341675E-2</v>
      </c>
      <c r="AJ234" s="20">
        <f t="shared" si="100"/>
        <v>0.12551404930590754</v>
      </c>
      <c r="AK234" s="21">
        <f t="shared" si="119"/>
        <v>0.13327608158569912</v>
      </c>
      <c r="AL234" s="21">
        <f t="shared" si="101"/>
        <v>1.5162611004995385E-2</v>
      </c>
      <c r="AM234" s="31"/>
      <c r="AO234" s="38">
        <f t="shared" si="102"/>
        <v>46253</v>
      </c>
      <c r="AP234" s="17">
        <f>+Tabla22[[#This Row],[Web + APP 2025]]+Tabla22[[#This Row],[Afiliados 2025]]+Tabla22[[#This Row],[TMK 2025]]+Tabla22[[#This Row],[WA 2025]]+Tabla22[[#This Row],[Ent. en Tienda 2025]]</f>
        <v>4913401.3103448274</v>
      </c>
      <c r="AQ234" s="17">
        <f>+Tabla22[[#This Row],[Meli Drop 2025]]+Tabla22[[#This Row],[Meli Full 2025]]+Tabla22[[#This Row],[Amazon Drop 2025]]+Tabla22[[#This Row],[Amazon Full 2025]]+Tabla22[[#This Row],[TikTok 2025]]+Tabla22[[#This Row],[Shein 2025]]</f>
        <v>995249.24137931038</v>
      </c>
      <c r="AR234" s="17">
        <f t="shared" si="103"/>
        <v>5490014</v>
      </c>
      <c r="AS234" s="17">
        <f t="shared" si="104"/>
        <v>769852</v>
      </c>
      <c r="AT234" s="18">
        <f t="shared" si="105"/>
        <v>0.11735509746398165</v>
      </c>
      <c r="AU234" s="18">
        <f t="shared" si="106"/>
        <v>-0.22647316069986001</v>
      </c>
      <c r="AV234" s="49">
        <f t="shared" si="107"/>
        <v>6389469.67933382</v>
      </c>
      <c r="AW234" s="49">
        <f t="shared" si="108"/>
        <v>1403848.21620722</v>
      </c>
      <c r="AX234" s="39">
        <f t="shared" si="109"/>
        <v>0.85922842982680858</v>
      </c>
      <c r="AY234" s="39">
        <f t="shared" si="110"/>
        <v>0.54838692040362524</v>
      </c>
      <c r="AZ234" s="39">
        <f t="shared" si="111"/>
        <v>0.80323503851698297</v>
      </c>
      <c r="BA234" s="18">
        <v>3.3827667860415002E-2</v>
      </c>
      <c r="BB234" s="20">
        <v>4.2441244821097401E-2</v>
      </c>
      <c r="BC234" s="17">
        <f t="shared" ref="BC234" si="168">+AR234-AV234</f>
        <v>-899455.67933382001</v>
      </c>
      <c r="BD234" s="17">
        <f t="shared" ref="BD234" si="169">+AS234-AW234</f>
        <v>-633996.21620721999</v>
      </c>
      <c r="BE234" s="17">
        <f t="shared" ref="BE234" si="170">AR234-AP234</f>
        <v>576612.68965517264</v>
      </c>
      <c r="BF234" s="17">
        <f t="shared" ref="BF234" si="171">AS234-AQ234</f>
        <v>-225397.24137931038</v>
      </c>
    </row>
    <row r="235" spans="1:63" ht="14.25" hidden="1" customHeight="1" x14ac:dyDescent="0.35">
      <c r="A235" s="19">
        <v>45889</v>
      </c>
      <c r="B235" s="17">
        <f>+'BD MD'!B234</f>
        <v>46267625</v>
      </c>
      <c r="C235" s="17">
        <f t="shared" si="94"/>
        <v>5807236.9655172406</v>
      </c>
      <c r="D235" s="18">
        <f t="shared" si="118"/>
        <v>3.9998244132511754E-2</v>
      </c>
      <c r="E235" s="17">
        <v>52243046</v>
      </c>
      <c r="F235" s="19">
        <v>46254</v>
      </c>
      <c r="G235" s="17">
        <f t="shared" si="95"/>
        <v>7650924.6914080195</v>
      </c>
      <c r="H235" s="17">
        <v>6381727.7150928797</v>
      </c>
      <c r="I235" s="17">
        <v>1269196.97631514</v>
      </c>
      <c r="J235" s="17">
        <v>4567064</v>
      </c>
      <c r="K235" s="17">
        <v>4304572</v>
      </c>
      <c r="L235" s="17">
        <v>35700.8620689655</v>
      </c>
      <c r="M235" s="17">
        <v>50878</v>
      </c>
      <c r="N235" s="17">
        <v>58510</v>
      </c>
      <c r="O235" s="17">
        <v>64872</v>
      </c>
      <c r="P235" s="17">
        <v>15761</v>
      </c>
      <c r="Q235" s="17">
        <v>7444</v>
      </c>
      <c r="R235" s="17">
        <v>230412</v>
      </c>
      <c r="S235" s="17">
        <v>156605</v>
      </c>
      <c r="T235" s="17">
        <v>657997</v>
      </c>
      <c r="U235" s="17">
        <v>453882</v>
      </c>
      <c r="V235" s="17">
        <v>205256</v>
      </c>
      <c r="W235" s="17">
        <v>217643</v>
      </c>
      <c r="X235" s="17">
        <v>29971</v>
      </c>
      <c r="Y235" s="17">
        <v>42319</v>
      </c>
      <c r="Z235" s="17">
        <v>4086</v>
      </c>
      <c r="AA235" s="17">
        <v>5284</v>
      </c>
      <c r="AB235" s="17">
        <v>2479.10344827586</v>
      </c>
      <c r="AC235" s="17">
        <v>8130</v>
      </c>
      <c r="AD235" s="17">
        <v>0</v>
      </c>
      <c r="AE235" s="17">
        <v>603</v>
      </c>
      <c r="AF235" s="17">
        <f t="shared" si="96"/>
        <v>5312232</v>
      </c>
      <c r="AG235" s="18">
        <f t="shared" si="97"/>
        <v>0.69432548538422167</v>
      </c>
      <c r="AH235" s="17">
        <f t="shared" si="98"/>
        <v>-2338692.6914080195</v>
      </c>
      <c r="AI235" s="20">
        <f t="shared" si="99"/>
        <v>7.0228392303829157E-2</v>
      </c>
      <c r="AJ235" s="20">
        <f t="shared" si="100"/>
        <v>8.9991096339197302E-2</v>
      </c>
      <c r="AK235" s="21">
        <f t="shared" si="119"/>
        <v>0.1016830450506274</v>
      </c>
      <c r="AL235" s="21">
        <f t="shared" si="101"/>
        <v>-5.2831017119860824E-2</v>
      </c>
      <c r="AM235" s="31"/>
      <c r="AO235" s="38">
        <f t="shared" si="102"/>
        <v>46254</v>
      </c>
      <c r="AP235" s="17">
        <f>+Tabla22[[#This Row],[Web + APP 2025]]+Tabla22[[#This Row],[Afiliados 2025]]+Tabla22[[#This Row],[TMK 2025]]+Tabla22[[#This Row],[WA 2025]]+Tabla22[[#This Row],[Ent. en Tienda 2025]]</f>
        <v>4907447.8620689651</v>
      </c>
      <c r="AQ235" s="17">
        <f>+Tabla22[[#This Row],[Meli Drop 2025]]+Tabla22[[#This Row],[Meli Full 2025]]+Tabla22[[#This Row],[Amazon Drop 2025]]+Tabla22[[#This Row],[Amazon Full 2025]]+Tabla22[[#This Row],[TikTok 2025]]+Tabla22[[#This Row],[Shein 2025]]</f>
        <v>899789.10344827583</v>
      </c>
      <c r="AR235" s="17">
        <f t="shared" si="103"/>
        <v>4584371</v>
      </c>
      <c r="AS235" s="17">
        <f t="shared" si="104"/>
        <v>727861</v>
      </c>
      <c r="AT235" s="18">
        <f t="shared" si="105"/>
        <v>-6.5833987675369188E-2</v>
      </c>
      <c r="AU235" s="18">
        <f t="shared" si="106"/>
        <v>-0.19107600079773479</v>
      </c>
      <c r="AV235" s="49">
        <f t="shared" si="107"/>
        <v>6381727.7150928797</v>
      </c>
      <c r="AW235" s="49">
        <f t="shared" si="108"/>
        <v>1269196.97631514</v>
      </c>
      <c r="AX235" s="39">
        <f t="shared" si="109"/>
        <v>0.71835891543255526</v>
      </c>
      <c r="AY235" s="39">
        <f t="shared" si="110"/>
        <v>0.57348151120970925</v>
      </c>
      <c r="AZ235" s="39">
        <f t="shared" si="111"/>
        <v>0.69432548538422167</v>
      </c>
      <c r="BA235" s="18">
        <v>3.05830596702443E-2</v>
      </c>
      <c r="BB235" s="20">
        <v>4.2389819802083797E-2</v>
      </c>
      <c r="BC235" s="17">
        <f t="shared" ref="BC235:BC238" si="172">+AR235-AV235</f>
        <v>-1797356.7150928797</v>
      </c>
      <c r="BD235" s="17">
        <f t="shared" ref="BD235:BD238" si="173">+AS235-AW235</f>
        <v>-541335.97631514003</v>
      </c>
      <c r="BE235" s="17">
        <f t="shared" ref="BE235:BE238" si="174">AR235-AP235</f>
        <v>-323076.8620689651</v>
      </c>
      <c r="BF235" s="17">
        <f t="shared" ref="BF235:BF238" si="175">AS235-AQ235</f>
        <v>-171928.10344827583</v>
      </c>
    </row>
    <row r="236" spans="1:63" ht="14.25" hidden="1" customHeight="1" x14ac:dyDescent="0.35">
      <c r="A236" s="16">
        <v>45890</v>
      </c>
      <c r="B236" s="17">
        <f>+'BD MD'!B235</f>
        <v>55157049</v>
      </c>
      <c r="C236" s="17">
        <f t="shared" si="94"/>
        <v>4963643.3103448264</v>
      </c>
      <c r="D236" s="18">
        <f t="shared" si="118"/>
        <v>3.4187862161088482E-2</v>
      </c>
      <c r="E236" s="17">
        <v>54107999</v>
      </c>
      <c r="F236" s="19">
        <v>46255</v>
      </c>
      <c r="G236" s="17">
        <f t="shared" si="95"/>
        <v>6545015.7147723902</v>
      </c>
      <c r="H236" s="17">
        <v>5389623.2256290102</v>
      </c>
      <c r="I236" s="17">
        <v>1155392.48914338</v>
      </c>
      <c r="J236" s="17">
        <v>3915278</v>
      </c>
      <c r="K236" s="17">
        <v>3937861</v>
      </c>
      <c r="L236" s="17">
        <v>41030.172413793101</v>
      </c>
      <c r="M236" s="17">
        <v>53958</v>
      </c>
      <c r="N236" s="17">
        <v>35238</v>
      </c>
      <c r="O236" s="17">
        <v>9844</v>
      </c>
      <c r="P236" s="17">
        <v>9197</v>
      </c>
      <c r="Q236" s="17">
        <v>10484</v>
      </c>
      <c r="R236" s="17">
        <v>143792</v>
      </c>
      <c r="S236" s="17">
        <v>110885</v>
      </c>
      <c r="T236" s="17">
        <v>605960</v>
      </c>
      <c r="U236" s="17">
        <v>398065</v>
      </c>
      <c r="V236" s="17">
        <v>173300</v>
      </c>
      <c r="W236" s="17">
        <v>190143</v>
      </c>
      <c r="X236" s="17">
        <v>28936</v>
      </c>
      <c r="Y236" s="17">
        <v>25340</v>
      </c>
      <c r="Z236" s="17">
        <v>11397</v>
      </c>
      <c r="AA236" s="17">
        <v>10331</v>
      </c>
      <c r="AB236" s="17">
        <v>203.068965517241</v>
      </c>
      <c r="AC236" s="17">
        <v>13946</v>
      </c>
      <c r="AD236" s="17">
        <v>-687.93103448275895</v>
      </c>
      <c r="AE236" s="17">
        <v>2903</v>
      </c>
      <c r="AF236" s="17">
        <f t="shared" si="96"/>
        <v>4763760</v>
      </c>
      <c r="AG236" s="18">
        <f t="shared" si="97"/>
        <v>0.7278454640296711</v>
      </c>
      <c r="AH236" s="17">
        <f t="shared" si="98"/>
        <v>-1781255.7147723902</v>
      </c>
      <c r="AI236" s="20">
        <f t="shared" si="99"/>
        <v>0.19540577835738748</v>
      </c>
      <c r="AJ236" s="20">
        <f t="shared" si="100"/>
        <v>7.3270472186961769E-2</v>
      </c>
      <c r="AK236" s="21">
        <f t="shared" si="119"/>
        <v>8.8041696016147267E-2</v>
      </c>
      <c r="AL236" s="21">
        <f t="shared" si="101"/>
        <v>-5.1538100855724744E-3</v>
      </c>
      <c r="AM236" s="31"/>
      <c r="AO236" s="38">
        <f t="shared" si="102"/>
        <v>46255</v>
      </c>
      <c r="AP236" s="17">
        <f>+Tabla22[[#This Row],[Web + APP 2025]]+Tabla22[[#This Row],[Afiliados 2025]]+Tabla22[[#This Row],[TMK 2025]]+Tabla22[[#This Row],[WA 2025]]+Tabla22[[#This Row],[Ent. en Tienda 2025]]</f>
        <v>4144535.1724137929</v>
      </c>
      <c r="AQ236" s="17">
        <f>+Tabla22[[#This Row],[Meli Drop 2025]]+Tabla22[[#This Row],[Meli Full 2025]]+Tabla22[[#This Row],[Amazon Drop 2025]]+Tabla22[[#This Row],[Amazon Full 2025]]+Tabla22[[#This Row],[TikTok 2025]]+Tabla22[[#This Row],[Shein 2025]]</f>
        <v>819108.13793103443</v>
      </c>
      <c r="AR236" s="17">
        <f t="shared" si="103"/>
        <v>4123032</v>
      </c>
      <c r="AS236" s="17">
        <f t="shared" si="104"/>
        <v>640728</v>
      </c>
      <c r="AT236" s="18">
        <f t="shared" si="105"/>
        <v>-5.1883194421702417E-3</v>
      </c>
      <c r="AU236" s="18">
        <f t="shared" si="106"/>
        <v>-0.21777361214063939</v>
      </c>
      <c r="AV236" s="49">
        <f t="shared" si="107"/>
        <v>5389623.2256290102</v>
      </c>
      <c r="AW236" s="49">
        <f t="shared" si="108"/>
        <v>1155392.48914338</v>
      </c>
      <c r="AX236" s="39">
        <f t="shared" si="109"/>
        <v>0.76499447686694477</v>
      </c>
      <c r="AY236" s="39">
        <f t="shared" si="110"/>
        <v>0.55455440988286364</v>
      </c>
      <c r="AZ236" s="39">
        <f t="shared" si="111"/>
        <v>0.7278454640296711</v>
      </c>
      <c r="BA236" s="18">
        <v>2.7840782870924799E-2</v>
      </c>
      <c r="BB236" s="20">
        <v>3.5799891116510101E-2</v>
      </c>
      <c r="BC236" s="17">
        <f t="shared" si="172"/>
        <v>-1266591.2256290102</v>
      </c>
      <c r="BD236" s="17">
        <f t="shared" si="173"/>
        <v>-514664.48914337996</v>
      </c>
      <c r="BE236" s="17">
        <f t="shared" si="174"/>
        <v>-21503.172413792927</v>
      </c>
      <c r="BF236" s="17">
        <f t="shared" si="175"/>
        <v>-178380.13793103443</v>
      </c>
    </row>
    <row r="237" spans="1:63" ht="14.25" hidden="1" customHeight="1" x14ac:dyDescent="0.35">
      <c r="A237" s="19">
        <v>45891</v>
      </c>
      <c r="B237" s="17">
        <f>+'BD MD'!B236</f>
        <v>54388306</v>
      </c>
      <c r="C237" s="17">
        <f t="shared" si="94"/>
        <v>3985056.8620689656</v>
      </c>
      <c r="D237" s="18">
        <f t="shared" si="118"/>
        <v>2.7447696416979025E-2</v>
      </c>
      <c r="E237" s="17">
        <v>67054494</v>
      </c>
      <c r="F237" s="19">
        <v>46256</v>
      </c>
      <c r="G237" s="17">
        <f t="shared" si="95"/>
        <v>5262495.1695219995</v>
      </c>
      <c r="H237" s="17">
        <v>4234543.1917588096</v>
      </c>
      <c r="I237" s="17">
        <v>1027951.9777631901</v>
      </c>
      <c r="J237" s="17">
        <v>3000765</v>
      </c>
      <c r="K237" s="17">
        <v>3369224</v>
      </c>
      <c r="L237" s="17">
        <v>35025.8620689655</v>
      </c>
      <c r="M237" s="17">
        <v>59039</v>
      </c>
      <c r="N237" s="17">
        <v>36025</v>
      </c>
      <c r="O237" s="17">
        <v>-1601</v>
      </c>
      <c r="P237" s="17">
        <v>6236</v>
      </c>
      <c r="Q237" s="17">
        <v>4870</v>
      </c>
      <c r="R237" s="17">
        <v>178245</v>
      </c>
      <c r="S237" s="17">
        <v>139900</v>
      </c>
      <c r="T237" s="17">
        <v>579403</v>
      </c>
      <c r="U237" s="17">
        <v>387183</v>
      </c>
      <c r="V237" s="17">
        <v>113017</v>
      </c>
      <c r="W237" s="17">
        <v>152415</v>
      </c>
      <c r="X237" s="17">
        <v>25208</v>
      </c>
      <c r="Y237" s="17">
        <v>32485</v>
      </c>
      <c r="Z237" s="17">
        <v>11132</v>
      </c>
      <c r="AA237" s="17">
        <v>5859</v>
      </c>
      <c r="AB237" s="17">
        <v>0</v>
      </c>
      <c r="AC237" s="17">
        <v>10215</v>
      </c>
      <c r="AD237" s="17">
        <v>0</v>
      </c>
      <c r="AE237" s="17">
        <v>2454</v>
      </c>
      <c r="AF237" s="17">
        <f t="shared" si="96"/>
        <v>4162043</v>
      </c>
      <c r="AG237" s="18">
        <f t="shared" si="97"/>
        <v>0.79088775683912782</v>
      </c>
      <c r="AH237" s="17">
        <f t="shared" si="98"/>
        <v>-1100452.1695219995</v>
      </c>
      <c r="AI237" s="20">
        <f t="shared" si="99"/>
        <v>1.0573267451987611E-3</v>
      </c>
      <c r="AJ237" s="20">
        <f t="shared" si="100"/>
        <v>5.8438289080454758E-2</v>
      </c>
      <c r="AK237" s="21">
        <f t="shared" si="119"/>
        <v>6.206956091563378E-2</v>
      </c>
      <c r="AL237" s="21">
        <f t="shared" si="101"/>
        <v>-5.7507793136193031E-2</v>
      </c>
      <c r="AM237" s="31"/>
      <c r="AO237" s="38">
        <f t="shared" si="102"/>
        <v>46256</v>
      </c>
      <c r="AP237" s="17">
        <f>+Tabla22[[#This Row],[Web + APP 2025]]+Tabla22[[#This Row],[Afiliados 2025]]+Tabla22[[#This Row],[TMK 2025]]+Tabla22[[#This Row],[WA 2025]]+Tabla22[[#This Row],[Ent. en Tienda 2025]]</f>
        <v>3256296.8620689656</v>
      </c>
      <c r="AQ237" s="17">
        <f>+Tabla22[[#This Row],[Meli Drop 2025]]+Tabla22[[#This Row],[Meli Full 2025]]+Tabla22[[#This Row],[Amazon Drop 2025]]+Tabla22[[#This Row],[Amazon Full 2025]]+Tabla22[[#This Row],[TikTok 2025]]+Tabla22[[#This Row],[Shein 2025]]</f>
        <v>728760</v>
      </c>
      <c r="AR237" s="17">
        <f t="shared" si="103"/>
        <v>3571432</v>
      </c>
      <c r="AS237" s="17">
        <f t="shared" si="104"/>
        <v>590611</v>
      </c>
      <c r="AT237" s="18">
        <f t="shared" si="105"/>
        <v>9.6777152477064421E-2</v>
      </c>
      <c r="AU237" s="18">
        <f t="shared" si="106"/>
        <v>-0.18956721005543664</v>
      </c>
      <c r="AV237" s="49">
        <f t="shared" si="107"/>
        <v>4234543.1917588096</v>
      </c>
      <c r="AW237" s="49">
        <f t="shared" si="108"/>
        <v>1027951.9777631901</v>
      </c>
      <c r="AX237" s="39">
        <f t="shared" si="109"/>
        <v>0.84340431500395496</v>
      </c>
      <c r="AY237" s="39">
        <f t="shared" si="110"/>
        <v>0.57455115878580409</v>
      </c>
      <c r="AZ237" s="39">
        <f t="shared" si="111"/>
        <v>0.79088775683912782</v>
      </c>
      <c r="BA237" s="18">
        <v>2.4769927175016599E-2</v>
      </c>
      <c r="BB237" s="20">
        <v>2.8127417974645599E-2</v>
      </c>
      <c r="BC237" s="17">
        <f t="shared" si="172"/>
        <v>-663111.19175880961</v>
      </c>
      <c r="BD237" s="17">
        <f t="shared" si="173"/>
        <v>-437340.97776319005</v>
      </c>
      <c r="BE237" s="17">
        <f t="shared" si="174"/>
        <v>315135.13793103443</v>
      </c>
      <c r="BF237" s="17">
        <f t="shared" si="175"/>
        <v>-138149</v>
      </c>
    </row>
    <row r="238" spans="1:63" ht="14.25" hidden="1" customHeight="1" x14ac:dyDescent="0.35">
      <c r="A238" s="16">
        <v>45892</v>
      </c>
      <c r="B238" s="17">
        <f>+'BD MD'!B237</f>
        <v>71145940</v>
      </c>
      <c r="C238" s="17">
        <f t="shared" si="94"/>
        <v>4157647.0086206896</v>
      </c>
      <c r="D238" s="18">
        <f t="shared" si="118"/>
        <v>2.8636437785315279E-2</v>
      </c>
      <c r="E238" s="17">
        <v>77397218</v>
      </c>
      <c r="F238" s="19">
        <v>46257</v>
      </c>
      <c r="G238" s="17">
        <f t="shared" si="95"/>
        <v>5490882.4495420801</v>
      </c>
      <c r="H238" s="17">
        <v>4412363.5770457499</v>
      </c>
      <c r="I238" s="17">
        <v>1078518.8724963299</v>
      </c>
      <c r="J238" s="17">
        <v>3117784</v>
      </c>
      <c r="K238" s="17">
        <v>3958103</v>
      </c>
      <c r="L238" s="17">
        <v>47162.931034482703</v>
      </c>
      <c r="M238" s="17">
        <v>68578</v>
      </c>
      <c r="N238" s="17">
        <v>19293</v>
      </c>
      <c r="O238" s="17">
        <v>43857</v>
      </c>
      <c r="P238" s="17">
        <v>5273</v>
      </c>
      <c r="Q238" s="17">
        <v>7918</v>
      </c>
      <c r="R238" s="17">
        <v>203525</v>
      </c>
      <c r="S238" s="17">
        <v>150805</v>
      </c>
      <c r="T238" s="17">
        <v>648055</v>
      </c>
      <c r="U238" s="17">
        <v>508203</v>
      </c>
      <c r="V238" s="17">
        <v>76037</v>
      </c>
      <c r="W238" s="17">
        <v>121705</v>
      </c>
      <c r="X238" s="17">
        <v>28466</v>
      </c>
      <c r="Y238" s="17">
        <v>47502</v>
      </c>
      <c r="Z238" s="17">
        <v>11786</v>
      </c>
      <c r="AA238" s="17">
        <v>7251</v>
      </c>
      <c r="AB238" s="17">
        <v>265.07758620689702</v>
      </c>
      <c r="AC238" s="17">
        <v>7580</v>
      </c>
      <c r="AD238" s="17">
        <v>0</v>
      </c>
      <c r="AE238" s="17">
        <v>9302</v>
      </c>
      <c r="AF238" s="17">
        <f t="shared" si="96"/>
        <v>4930804</v>
      </c>
      <c r="AG238" s="18">
        <f t="shared" si="97"/>
        <v>0.89799846296312746</v>
      </c>
      <c r="AH238" s="17">
        <f t="shared" si="98"/>
        <v>-560078.44954208005</v>
      </c>
      <c r="AI238" s="20">
        <f t="shared" si="99"/>
        <v>8.1630987044716941E-2</v>
      </c>
      <c r="AJ238" s="20">
        <f t="shared" si="100"/>
        <v>5.9965501535775588E-2</v>
      </c>
      <c r="AK238" s="21">
        <f t="shared" si="119"/>
        <v>6.3707767894189679E-2</v>
      </c>
      <c r="AL238" s="21">
        <f t="shared" si="101"/>
        <v>1.8094759221471524E-2</v>
      </c>
      <c r="AM238" s="31"/>
      <c r="AO238" s="38">
        <f t="shared" si="102"/>
        <v>46257</v>
      </c>
      <c r="AP238" s="17">
        <f>+Tabla22[[#This Row],[Web + APP 2025]]+Tabla22[[#This Row],[Afiliados 2025]]+Tabla22[[#This Row],[TMK 2025]]+Tabla22[[#This Row],[WA 2025]]+Tabla22[[#This Row],[Ent. en Tienda 2025]]</f>
        <v>3393037.9310344825</v>
      </c>
      <c r="AQ238" s="17">
        <f>+Tabla22[[#This Row],[Meli Drop 2025]]+Tabla22[[#This Row],[Meli Full 2025]]+Tabla22[[#This Row],[Amazon Drop 2025]]+Tabla22[[#This Row],[Amazon Full 2025]]+Tabla22[[#This Row],[TikTok 2025]]+Tabla22[[#This Row],[Shein 2025]]</f>
        <v>764609.07758620684</v>
      </c>
      <c r="AR238" s="17">
        <f t="shared" si="103"/>
        <v>4229261</v>
      </c>
      <c r="AS238" s="17">
        <f t="shared" si="104"/>
        <v>701543</v>
      </c>
      <c r="AT238" s="18">
        <f t="shared" si="105"/>
        <v>0.24645261443056321</v>
      </c>
      <c r="AU238" s="18">
        <f t="shared" si="106"/>
        <v>-8.248146593459238E-2</v>
      </c>
      <c r="AV238" s="49">
        <f t="shared" si="107"/>
        <v>4412363.5770457499</v>
      </c>
      <c r="AW238" s="49">
        <f t="shared" si="108"/>
        <v>1078518.8724963299</v>
      </c>
      <c r="AX238" s="39">
        <f t="shared" si="109"/>
        <v>0.95850238226099582</v>
      </c>
      <c r="AY238" s="39">
        <f t="shared" si="110"/>
        <v>0.65046891425850983</v>
      </c>
      <c r="AZ238" s="39">
        <f t="shared" si="111"/>
        <v>0.89799846296312746</v>
      </c>
      <c r="BA238" s="18">
        <v>2.5988406566176701E-2</v>
      </c>
      <c r="BB238" s="20">
        <v>2.9308567410342001E-2</v>
      </c>
      <c r="BC238" s="17">
        <f t="shared" si="172"/>
        <v>-183102.57704574987</v>
      </c>
      <c r="BD238" s="17">
        <f t="shared" si="173"/>
        <v>-376975.87249632995</v>
      </c>
      <c r="BE238" s="17">
        <f t="shared" si="174"/>
        <v>836223.06896551745</v>
      </c>
      <c r="BF238" s="17">
        <f t="shared" si="175"/>
        <v>-63066.07758620684</v>
      </c>
    </row>
    <row r="239" spans="1:63" ht="14.25" hidden="1" customHeight="1" x14ac:dyDescent="0.35">
      <c r="A239" s="19">
        <v>45893</v>
      </c>
      <c r="B239" s="17">
        <f>+'BD MD'!B238</f>
        <v>76021625</v>
      </c>
      <c r="C239" s="17">
        <f t="shared" si="94"/>
        <v>4558674.8706896557</v>
      </c>
      <c r="D239" s="18">
        <f t="shared" si="118"/>
        <v>3.1398579303944539E-2</v>
      </c>
      <c r="E239" s="17">
        <v>47309764</v>
      </c>
      <c r="F239" s="19">
        <v>46258</v>
      </c>
      <c r="G239" s="17">
        <f t="shared" si="95"/>
        <v>6029133.3442718405</v>
      </c>
      <c r="H239" s="17">
        <v>4736116.6027066</v>
      </c>
      <c r="I239" s="17">
        <v>1293016.7415652401</v>
      </c>
      <c r="J239" s="17">
        <v>3423344</v>
      </c>
      <c r="K239" s="17">
        <v>6131578</v>
      </c>
      <c r="L239" s="17">
        <v>43106.896551724101</v>
      </c>
      <c r="M239" s="17">
        <v>58667</v>
      </c>
      <c r="N239" s="17">
        <v>5283</v>
      </c>
      <c r="O239" s="17">
        <v>32753</v>
      </c>
      <c r="P239" s="17">
        <v>5236</v>
      </c>
      <c r="Q239" s="17">
        <v>15416</v>
      </c>
      <c r="R239" s="17">
        <v>165029</v>
      </c>
      <c r="S239" s="17">
        <v>133228</v>
      </c>
      <c r="T239" s="17">
        <v>757892</v>
      </c>
      <c r="U239" s="17">
        <v>636618</v>
      </c>
      <c r="V239" s="17">
        <v>97355</v>
      </c>
      <c r="W239" s="17">
        <v>135260</v>
      </c>
      <c r="X239" s="17">
        <v>44629</v>
      </c>
      <c r="Y239" s="17">
        <v>52222</v>
      </c>
      <c r="Z239" s="17">
        <v>14410</v>
      </c>
      <c r="AA239" s="17">
        <v>6960</v>
      </c>
      <c r="AB239" s="17">
        <v>2389.9741379310299</v>
      </c>
      <c r="AC239" s="17">
        <v>13168</v>
      </c>
      <c r="AD239" s="17">
        <v>0</v>
      </c>
      <c r="AE239" s="17">
        <v>4349</v>
      </c>
      <c r="AF239" s="17">
        <f t="shared" si="96"/>
        <v>7220219</v>
      </c>
      <c r="AG239" s="18">
        <f t="shared" si="97"/>
        <v>1.1975550361412699</v>
      </c>
      <c r="AH239" s="17">
        <f t="shared" si="98"/>
        <v>1191085.6557281595</v>
      </c>
      <c r="AI239" s="20">
        <f t="shared" si="99"/>
        <v>0.13013245223673175</v>
      </c>
      <c r="AJ239" s="20">
        <f t="shared" si="100"/>
        <v>0.13796057122414837</v>
      </c>
      <c r="AK239" s="21">
        <f t="shared" si="119"/>
        <v>0.15261583211448698</v>
      </c>
      <c r="AL239" s="21">
        <f t="shared" si="101"/>
        <v>2.1609072331146839E-2</v>
      </c>
      <c r="AM239" s="31"/>
      <c r="AO239" s="38">
        <f t="shared" si="102"/>
        <v>46258</v>
      </c>
      <c r="AP239" s="17">
        <f>+Tabla22[[#This Row],[Web + APP 2025]]+Tabla22[[#This Row],[Afiliados 2025]]+Tabla22[[#This Row],[TMK 2025]]+Tabla22[[#This Row],[WA 2025]]+Tabla22[[#This Row],[Ent. en Tienda 2025]]</f>
        <v>3641998.8965517241</v>
      </c>
      <c r="AQ239" s="17">
        <f>+Tabla22[[#This Row],[Meli Drop 2025]]+Tabla22[[#This Row],[Meli Full 2025]]+Tabla22[[#This Row],[Amazon Drop 2025]]+Tabla22[[#This Row],[Amazon Full 2025]]+Tabla22[[#This Row],[TikTok 2025]]+Tabla22[[#This Row],[Shein 2025]]</f>
        <v>916675.97413793101</v>
      </c>
      <c r="AR239" s="17">
        <f t="shared" si="103"/>
        <v>6371642</v>
      </c>
      <c r="AS239" s="17">
        <f t="shared" si="104"/>
        <v>848577</v>
      </c>
      <c r="AT239" s="18">
        <f t="shared" si="105"/>
        <v>0.74949037080508885</v>
      </c>
      <c r="AU239" s="18">
        <f t="shared" si="106"/>
        <v>-7.4289035667126857E-2</v>
      </c>
      <c r="AV239" s="49">
        <f t="shared" si="107"/>
        <v>4736116.6027066</v>
      </c>
      <c r="AW239" s="49">
        <f t="shared" si="108"/>
        <v>1293016.7415652401</v>
      </c>
      <c r="AX239" s="39">
        <f t="shared" si="109"/>
        <v>1.3453304752587232</v>
      </c>
      <c r="AY239" s="39">
        <f t="shared" si="110"/>
        <v>0.65627688545839635</v>
      </c>
      <c r="AZ239" s="39">
        <f t="shared" si="111"/>
        <v>1.1975550361412699</v>
      </c>
      <c r="BA239" s="18">
        <v>3.1157029917234701E-2</v>
      </c>
      <c r="BB239" s="20">
        <v>3.1459055966236597E-2</v>
      </c>
      <c r="BC239" s="17">
        <f t="shared" ref="BC239" si="176">+AR239-AV239</f>
        <v>1635525.3972934</v>
      </c>
      <c r="BD239" s="17">
        <f t="shared" ref="BD239" si="177">+AS239-AW239</f>
        <v>-444439.74156524008</v>
      </c>
      <c r="BE239" s="17">
        <f t="shared" ref="BE239" si="178">AR239-AP239</f>
        <v>2729643.1034482759</v>
      </c>
      <c r="BF239" s="17">
        <f t="shared" ref="BF239" si="179">AS239-AQ239</f>
        <v>-68098.974137931014</v>
      </c>
    </row>
    <row r="240" spans="1:63" ht="14.25" hidden="1" customHeight="1" x14ac:dyDescent="0.35">
      <c r="A240" s="16">
        <v>45894</v>
      </c>
      <c r="B240" s="17">
        <f>+'BD MD'!B239</f>
        <v>46309068</v>
      </c>
      <c r="C240" s="17">
        <f t="shared" si="94"/>
        <v>6388825.4741379302</v>
      </c>
      <c r="D240" s="18">
        <f t="shared" si="118"/>
        <v>4.4004025072846058E-2</v>
      </c>
      <c r="E240" s="17">
        <v>54670468</v>
      </c>
      <c r="F240" s="19">
        <v>46259</v>
      </c>
      <c r="G240" s="17">
        <f t="shared" si="95"/>
        <v>8412520.1364019103</v>
      </c>
      <c r="H240" s="17">
        <v>7075596.2266776804</v>
      </c>
      <c r="I240" s="17">
        <v>1336923.9097242299</v>
      </c>
      <c r="J240" s="17">
        <v>5203886</v>
      </c>
      <c r="K240" s="17">
        <v>6380671</v>
      </c>
      <c r="L240" s="17">
        <v>38813.793103448297</v>
      </c>
      <c r="M240" s="17">
        <v>61333</v>
      </c>
      <c r="N240" s="17">
        <v>56753</v>
      </c>
      <c r="O240" s="17">
        <v>74046</v>
      </c>
      <c r="P240" s="17">
        <v>4215</v>
      </c>
      <c r="Q240" s="17">
        <v>-197</v>
      </c>
      <c r="R240" s="17">
        <v>137354</v>
      </c>
      <c r="S240" s="17">
        <v>119701</v>
      </c>
      <c r="T240" s="17">
        <v>801333</v>
      </c>
      <c r="U240" s="17">
        <v>614316</v>
      </c>
      <c r="V240" s="17">
        <v>95156</v>
      </c>
      <c r="W240" s="17">
        <v>116509</v>
      </c>
      <c r="X240" s="17">
        <v>42338</v>
      </c>
      <c r="Y240" s="17">
        <v>54496</v>
      </c>
      <c r="Z240" s="17">
        <v>7580</v>
      </c>
      <c r="AA240" s="17">
        <v>2681</v>
      </c>
      <c r="AB240" s="17">
        <v>1311.33620689655</v>
      </c>
      <c r="AC240" s="17">
        <v>9207</v>
      </c>
      <c r="AD240" s="17">
        <v>85.344827586206904</v>
      </c>
      <c r="AE240" s="17">
        <v>4952</v>
      </c>
      <c r="AF240" s="17">
        <f t="shared" si="96"/>
        <v>7437715</v>
      </c>
      <c r="AG240" s="18">
        <f t="shared" si="97"/>
        <v>0.88412448105962682</v>
      </c>
      <c r="AH240" s="17">
        <f t="shared" si="98"/>
        <v>-974805.13640191033</v>
      </c>
      <c r="AI240" s="20">
        <f>+AF240/C241-1</f>
        <v>4.7253851014347426E-2</v>
      </c>
      <c r="AJ240" s="20">
        <f t="shared" si="100"/>
        <v>0.13203218602369335</v>
      </c>
      <c r="AK240" s="21">
        <f t="shared" si="119"/>
        <v>0.13604630199982923</v>
      </c>
      <c r="AL240" s="21">
        <f t="shared" si="101"/>
        <v>1.6354088561180369E-2</v>
      </c>
      <c r="AM240" s="31"/>
      <c r="AO240" s="38">
        <f t="shared" si="102"/>
        <v>46259</v>
      </c>
      <c r="AP240" s="17">
        <f>+Tabla22[[#This Row],[Web + APP 2025]]+Tabla22[[#This Row],[Afiliados 2025]]+Tabla22[[#This Row],[TMK 2025]]+Tabla22[[#This Row],[WA 2025]]+Tabla22[[#This Row],[Ent. en Tienda 2025]]</f>
        <v>5441021.7931034481</v>
      </c>
      <c r="AQ240" s="17">
        <f>+Tabla22[[#This Row],[Meli Drop 2025]]+Tabla22[[#This Row],[Meli Full 2025]]+Tabla22[[#This Row],[Amazon Drop 2025]]+Tabla22[[#This Row],[Amazon Full 2025]]+Tabla22[[#This Row],[TikTok 2025]]+Tabla22[[#This Row],[Shein 2025]]</f>
        <v>947803.68103448278</v>
      </c>
      <c r="AR240" s="17">
        <f t="shared" si="103"/>
        <v>6635554</v>
      </c>
      <c r="AS240" s="17">
        <f t="shared" si="104"/>
        <v>802161</v>
      </c>
      <c r="AT240" s="18">
        <f t="shared" si="105"/>
        <v>0.21954188979919809</v>
      </c>
      <c r="AU240" s="18">
        <f t="shared" si="106"/>
        <v>-0.15366334183838648</v>
      </c>
      <c r="AV240" s="49">
        <f t="shared" si="107"/>
        <v>7075596.2266776804</v>
      </c>
      <c r="AW240" s="49">
        <f t="shared" si="108"/>
        <v>1336923.9097242299</v>
      </c>
      <c r="AX240" s="39">
        <f t="shared" si="109"/>
        <v>0.93780845986963557</v>
      </c>
      <c r="AY240" s="39">
        <f t="shared" si="110"/>
        <v>0.60000497722077795</v>
      </c>
      <c r="AZ240" s="39">
        <f t="shared" si="111"/>
        <v>0.88412448105962682</v>
      </c>
      <c r="BA240" s="18">
        <v>3.22150339692584E-2</v>
      </c>
      <c r="BB240" s="20">
        <v>4.6998753696718298E-2</v>
      </c>
      <c r="BC240" s="17">
        <f t="shared" ref="BC240:BC242" si="180">+AR240-AV240</f>
        <v>-440042.22667768039</v>
      </c>
      <c r="BD240" s="17">
        <f t="shared" ref="BD240:BD242" si="181">+AS240-AW240</f>
        <v>-534762.90972422995</v>
      </c>
      <c r="BE240" s="17">
        <f t="shared" ref="BE240:BE242" si="182">AR240-AP240</f>
        <v>1194532.2068965519</v>
      </c>
      <c r="BF240" s="17">
        <f t="shared" ref="BF240:BF242" si="183">AS240-AQ240</f>
        <v>-145642.68103448278</v>
      </c>
    </row>
    <row r="241" spans="1:66" ht="14.25" hidden="1" customHeight="1" x14ac:dyDescent="0.35">
      <c r="A241" s="19">
        <v>45895</v>
      </c>
      <c r="B241" s="17">
        <f>+'BD MD'!B240</f>
        <v>53790769</v>
      </c>
      <c r="C241" s="17">
        <f t="shared" si="94"/>
        <v>7102112.818965517</v>
      </c>
      <c r="D241" s="18">
        <f t="shared" si="118"/>
        <v>4.8916902147512459E-2</v>
      </c>
      <c r="E241" s="17">
        <v>59000790</v>
      </c>
      <c r="F241" s="19">
        <v>46260</v>
      </c>
      <c r="G241" s="17">
        <f t="shared" si="95"/>
        <v>9354046.4810934905</v>
      </c>
      <c r="H241" s="17">
        <v>7838384.3182702204</v>
      </c>
      <c r="I241" s="17">
        <v>1515662.1628232701</v>
      </c>
      <c r="J241" s="17">
        <v>5685559</v>
      </c>
      <c r="K241" s="17">
        <v>5466857</v>
      </c>
      <c r="L241" s="17">
        <v>40163.793103448297</v>
      </c>
      <c r="M241" s="17">
        <v>70041</v>
      </c>
      <c r="N241" s="17">
        <v>95169</v>
      </c>
      <c r="O241" s="17">
        <v>52851</v>
      </c>
      <c r="P241" s="17">
        <v>522</v>
      </c>
      <c r="Q241" s="17">
        <v>8568</v>
      </c>
      <c r="R241" s="17">
        <v>206180</v>
      </c>
      <c r="S241" s="17">
        <v>157094</v>
      </c>
      <c r="T241" s="17">
        <v>931011</v>
      </c>
      <c r="U241" s="17">
        <v>775906</v>
      </c>
      <c r="V241" s="17">
        <v>80136</v>
      </c>
      <c r="W241" s="17">
        <v>249538</v>
      </c>
      <c r="X241" s="17">
        <v>46712</v>
      </c>
      <c r="Y241" s="17">
        <v>51355</v>
      </c>
      <c r="Z241" s="17">
        <v>15753</v>
      </c>
      <c r="AA241" s="17">
        <v>5672</v>
      </c>
      <c r="AB241" s="17">
        <v>992.37068965517199</v>
      </c>
      <c r="AC241" s="17">
        <v>9556</v>
      </c>
      <c r="AD241" s="17">
        <v>-85.344827586206904</v>
      </c>
      <c r="AE241" s="17">
        <v>5254</v>
      </c>
      <c r="AF241" s="17">
        <f t="shared" si="96"/>
        <v>6852692</v>
      </c>
      <c r="AG241" s="18">
        <f t="shared" si="97"/>
        <v>0.73259118541379309</v>
      </c>
      <c r="AH241" s="17">
        <f t="shared" si="98"/>
        <v>-2501354.4810934905</v>
      </c>
      <c r="AI241" s="20">
        <f t="shared" si="99"/>
        <v>0.1880432433113306</v>
      </c>
      <c r="AJ241" s="20">
        <f t="shared" si="100"/>
        <v>0.10150305419382888</v>
      </c>
      <c r="AK241" s="21">
        <f t="shared" si="119"/>
        <v>0.11614576686176575</v>
      </c>
      <c r="AL241" s="21">
        <f t="shared" si="101"/>
        <v>3.8264423824984517E-2</v>
      </c>
      <c r="AM241" s="31"/>
      <c r="AO241" s="38">
        <f t="shared" si="102"/>
        <v>46260</v>
      </c>
      <c r="AP241" s="17">
        <f>+Tabla22[[#This Row],[Web + APP 2025]]+Tabla22[[#This Row],[Afiliados 2025]]+Tabla22[[#This Row],[TMK 2025]]+Tabla22[[#This Row],[WA 2025]]+Tabla22[[#This Row],[Ent. en Tienda 2025]]</f>
        <v>6027593.7931034481</v>
      </c>
      <c r="AQ241" s="17">
        <f>+Tabla22[[#This Row],[Meli Drop 2025]]+Tabla22[[#This Row],[Meli Full 2025]]+Tabla22[[#This Row],[Amazon Drop 2025]]+Tabla22[[#This Row],[Amazon Full 2025]]+Tabla22[[#This Row],[TikTok 2025]]+Tabla22[[#This Row],[Shein 2025]]</f>
        <v>1074519.0258620689</v>
      </c>
      <c r="AR241" s="17">
        <f t="shared" si="103"/>
        <v>5755411</v>
      </c>
      <c r="AS241" s="17">
        <f t="shared" si="104"/>
        <v>1097281</v>
      </c>
      <c r="AT241" s="18">
        <f t="shared" si="105"/>
        <v>-4.5156127377871669E-2</v>
      </c>
      <c r="AU241" s="18">
        <f t="shared" si="106"/>
        <v>2.1183407264165899E-2</v>
      </c>
      <c r="AV241" s="49">
        <f t="shared" si="107"/>
        <v>7838384.3182702204</v>
      </c>
      <c r="AW241" s="49">
        <f t="shared" si="108"/>
        <v>1515662.1628232701</v>
      </c>
      <c r="AX241" s="39">
        <f t="shared" si="109"/>
        <v>0.73425986355184325</v>
      </c>
      <c r="AY241" s="39">
        <f t="shared" si="110"/>
        <v>0.72396146510384696</v>
      </c>
      <c r="AZ241" s="39">
        <f t="shared" si="111"/>
        <v>0.73259118541379309</v>
      </c>
      <c r="BA241" s="18">
        <v>3.65219798270668E-2</v>
      </c>
      <c r="BB241" s="20">
        <v>5.2065477191252797E-2</v>
      </c>
      <c r="BC241" s="17">
        <f t="shared" si="180"/>
        <v>-2082973.3182702204</v>
      </c>
      <c r="BD241" s="17">
        <f t="shared" si="181"/>
        <v>-418381.16282327008</v>
      </c>
      <c r="BE241" s="17">
        <f t="shared" si="182"/>
        <v>-272182.79310344812</v>
      </c>
      <c r="BF241" s="17">
        <f t="shared" si="183"/>
        <v>22761.974137931131</v>
      </c>
      <c r="BG241" s="19"/>
      <c r="BH241" s="17"/>
      <c r="BI241" s="17"/>
      <c r="BJ241" s="18"/>
      <c r="BK241" s="17"/>
      <c r="BL241" s="19"/>
      <c r="BM241" s="17"/>
      <c r="BN241" s="17"/>
    </row>
    <row r="242" spans="1:66" ht="14.25" hidden="1" customHeight="1" x14ac:dyDescent="0.35">
      <c r="A242" s="16">
        <v>45896</v>
      </c>
      <c r="B242" s="17">
        <f>+'BD MD'!B241</f>
        <v>56826362</v>
      </c>
      <c r="C242" s="17">
        <f t="shared" si="94"/>
        <v>5768049.3017241377</v>
      </c>
      <c r="D242" s="18">
        <f t="shared" si="118"/>
        <v>3.9728333028024962E-2</v>
      </c>
      <c r="E242" s="17">
        <v>64275874</v>
      </c>
      <c r="F242" s="19">
        <v>46261</v>
      </c>
      <c r="G242" s="17">
        <f t="shared" si="95"/>
        <v>7612671.9237513505</v>
      </c>
      <c r="H242" s="17">
        <v>6180720.2253777403</v>
      </c>
      <c r="I242" s="17">
        <v>1431951.6983736099</v>
      </c>
      <c r="J242" s="17">
        <v>4516794</v>
      </c>
      <c r="K242" s="17">
        <v>3927126</v>
      </c>
      <c r="L242" s="17">
        <v>37898.275862069</v>
      </c>
      <c r="M242" s="17">
        <v>60647</v>
      </c>
      <c r="N242" s="17">
        <v>51151</v>
      </c>
      <c r="O242" s="17">
        <v>52706</v>
      </c>
      <c r="P242" s="17">
        <v>2199</v>
      </c>
      <c r="Q242" s="17">
        <v>5466</v>
      </c>
      <c r="R242" s="17">
        <v>144834</v>
      </c>
      <c r="S242" s="17">
        <v>156592</v>
      </c>
      <c r="T242" s="17">
        <v>864251</v>
      </c>
      <c r="U242" s="17">
        <v>626922</v>
      </c>
      <c r="V242" s="17">
        <v>85695</v>
      </c>
      <c r="W242" s="17">
        <v>258753</v>
      </c>
      <c r="X242" s="17">
        <v>46707</v>
      </c>
      <c r="Y242" s="17">
        <v>52309</v>
      </c>
      <c r="Z242" s="17">
        <v>16838</v>
      </c>
      <c r="AA242" s="17">
        <v>7041</v>
      </c>
      <c r="AB242" s="17">
        <v>1079.4396551724101</v>
      </c>
      <c r="AC242" s="17">
        <v>8479</v>
      </c>
      <c r="AD242" s="17">
        <v>602.58620689655197</v>
      </c>
      <c r="AE242" s="17">
        <v>4392</v>
      </c>
      <c r="AF242" s="17">
        <f t="shared" si="96"/>
        <v>5160433</v>
      </c>
      <c r="AG242" s="18">
        <f t="shared" si="97"/>
        <v>0.67787408306662678</v>
      </c>
      <c r="AH242" s="17">
        <f t="shared" si="98"/>
        <v>-2452238.9237513505</v>
      </c>
      <c r="AI242" s="20">
        <f t="shared" si="99"/>
        <v>2.0925711624696586E-2</v>
      </c>
      <c r="AJ242" s="20">
        <f t="shared" si="100"/>
        <v>7.9307670032749036E-2</v>
      </c>
      <c r="AK242" s="21">
        <f t="shared" si="119"/>
        <v>8.0285691642248219E-2</v>
      </c>
      <c r="AL242" s="21">
        <f t="shared" si="101"/>
        <v>8.489032220955206E-3</v>
      </c>
      <c r="AM242" s="31"/>
      <c r="AO242" s="38">
        <f t="shared" si="102"/>
        <v>46261</v>
      </c>
      <c r="AP242" s="17">
        <f>+Tabla22[[#This Row],[Web + APP 2025]]+Tabla22[[#This Row],[Afiliados 2025]]+Tabla22[[#This Row],[TMK 2025]]+Tabla22[[#This Row],[WA 2025]]+Tabla22[[#This Row],[Ent. en Tienda 2025]]</f>
        <v>4752876.2758620689</v>
      </c>
      <c r="AQ242" s="17">
        <f>+Tabla22[[#This Row],[Meli Drop 2025]]+Tabla22[[#This Row],[Meli Full 2025]]+Tabla22[[#This Row],[Amazon Drop 2025]]+Tabla22[[#This Row],[Amazon Full 2025]]+Tabla22[[#This Row],[TikTok 2025]]+Tabla22[[#This Row],[Shein 2025]]</f>
        <v>1015173.025862069</v>
      </c>
      <c r="AR242" s="17">
        <f t="shared" si="103"/>
        <v>4202537</v>
      </c>
      <c r="AS242" s="17">
        <f t="shared" si="104"/>
        <v>957896</v>
      </c>
      <c r="AT242" s="18">
        <f t="shared" si="105"/>
        <v>-0.11579078518349384</v>
      </c>
      <c r="AU242" s="18">
        <f t="shared" si="106"/>
        <v>-5.6420949338592097E-2</v>
      </c>
      <c r="AV242" s="49">
        <f t="shared" si="107"/>
        <v>6180720.2253777403</v>
      </c>
      <c r="AW242" s="49">
        <f t="shared" si="108"/>
        <v>1431951.6983736099</v>
      </c>
      <c r="AX242" s="39">
        <f t="shared" si="109"/>
        <v>0.6799429268363556</v>
      </c>
      <c r="AY242" s="39">
        <f t="shared" si="110"/>
        <v>0.66894435132690888</v>
      </c>
      <c r="AZ242" s="39">
        <f t="shared" si="111"/>
        <v>0.67787408306662678</v>
      </c>
      <c r="BA242" s="18">
        <v>3.4504860201773797E-2</v>
      </c>
      <c r="BB242" s="20">
        <v>4.1054652955691703E-2</v>
      </c>
      <c r="BC242" s="17">
        <f t="shared" si="180"/>
        <v>-1978183.2253777403</v>
      </c>
      <c r="BD242" s="17">
        <f t="shared" si="181"/>
        <v>-474055.69837360992</v>
      </c>
      <c r="BE242" s="17">
        <f t="shared" si="182"/>
        <v>-550339.27586206887</v>
      </c>
      <c r="BF242" s="17">
        <f t="shared" si="183"/>
        <v>-57277.025862068986</v>
      </c>
      <c r="BG242" s="16"/>
      <c r="BH242" s="17"/>
      <c r="BI242" s="17"/>
      <c r="BJ242" s="18"/>
      <c r="BK242" s="17"/>
      <c r="BL242" s="19"/>
      <c r="BM242" s="17"/>
      <c r="BN242" s="17"/>
    </row>
    <row r="243" spans="1:66" ht="14.25" hidden="1" customHeight="1" x14ac:dyDescent="0.35">
      <c r="A243" s="19">
        <v>45897</v>
      </c>
      <c r="B243" s="17">
        <f>+'BD MD'!B242</f>
        <v>63734827</v>
      </c>
      <c r="C243" s="17">
        <f t="shared" si="94"/>
        <v>5054660.6293103443</v>
      </c>
      <c r="D243" s="18">
        <f t="shared" si="118"/>
        <v>3.4814758043913069E-2</v>
      </c>
      <c r="E243" s="17">
        <v>63186398</v>
      </c>
      <c r="F243" s="19">
        <v>46262</v>
      </c>
      <c r="G243" s="17">
        <f t="shared" si="95"/>
        <v>6670038.5053026695</v>
      </c>
      <c r="H243" s="17">
        <v>5429316.5206810199</v>
      </c>
      <c r="I243" s="17">
        <v>1240721.9846216501</v>
      </c>
      <c r="J243" s="17">
        <v>3868560</v>
      </c>
      <c r="K243" s="17">
        <v>2812166</v>
      </c>
      <c r="L243" s="17">
        <v>31270.689655172398</v>
      </c>
      <c r="M243" s="17">
        <v>61210</v>
      </c>
      <c r="N243" s="17">
        <v>38622</v>
      </c>
      <c r="O243" s="17">
        <v>22420</v>
      </c>
      <c r="P243" s="17">
        <v>4537</v>
      </c>
      <c r="Q243" s="17">
        <v>3648</v>
      </c>
      <c r="R243" s="17">
        <v>232069</v>
      </c>
      <c r="S243" s="17">
        <v>190048</v>
      </c>
      <c r="T243" s="17">
        <v>646678</v>
      </c>
      <c r="U243" s="17">
        <v>477252</v>
      </c>
      <c r="V243" s="17">
        <v>183692</v>
      </c>
      <c r="W243" s="17">
        <v>316767</v>
      </c>
      <c r="X243" s="17">
        <v>35183</v>
      </c>
      <c r="Y243" s="17">
        <v>43552</v>
      </c>
      <c r="Z243" s="17">
        <v>12747</v>
      </c>
      <c r="AA243" s="17">
        <v>6081</v>
      </c>
      <c r="AB243" s="17">
        <v>1301.9396551724101</v>
      </c>
      <c r="AC243" s="17">
        <v>8857</v>
      </c>
      <c r="AD243" s="17">
        <v>0</v>
      </c>
      <c r="AE243" s="17">
        <v>5442</v>
      </c>
      <c r="AF243" s="17">
        <f t="shared" si="96"/>
        <v>3947443</v>
      </c>
      <c r="AG243" s="18">
        <f t="shared" si="97"/>
        <v>0.59181712322376989</v>
      </c>
      <c r="AH243" s="17">
        <f t="shared" si="98"/>
        <v>-2722595.5053026695</v>
      </c>
      <c r="AI243" s="20">
        <f t="shared" si="99"/>
        <v>-0.15435629411619134</v>
      </c>
      <c r="AJ243" s="20">
        <f t="shared" si="100"/>
        <v>7.0800431640461001E-2</v>
      </c>
      <c r="AK243" s="21">
        <f t="shared" si="119"/>
        <v>6.2472986670327371E-2</v>
      </c>
      <c r="AL243" s="21">
        <f t="shared" si="101"/>
        <v>-4.1634751567753647E-2</v>
      </c>
      <c r="AM243" s="31"/>
      <c r="AO243" s="38">
        <f t="shared" si="102"/>
        <v>46262</v>
      </c>
      <c r="AP243" s="17">
        <f>+Tabla22[[#This Row],[Web + APP 2025]]+Tabla22[[#This Row],[Afiliados 2025]]+Tabla22[[#This Row],[TMK 2025]]+Tabla22[[#This Row],[WA 2025]]+Tabla22[[#This Row],[Ent. en Tienda 2025]]</f>
        <v>4175058.6896551722</v>
      </c>
      <c r="AQ243" s="17">
        <f>+Tabla22[[#This Row],[Meli Drop 2025]]+Tabla22[[#This Row],[Meli Full 2025]]+Tabla22[[#This Row],[Amazon Drop 2025]]+Tabla22[[#This Row],[Amazon Full 2025]]+Tabla22[[#This Row],[TikTok 2025]]+Tabla22[[#This Row],[Shein 2025]]</f>
        <v>879601.93965517241</v>
      </c>
      <c r="AR243" s="17">
        <f t="shared" si="103"/>
        <v>3089492</v>
      </c>
      <c r="AS243" s="17">
        <f t="shared" si="104"/>
        <v>857951</v>
      </c>
      <c r="AT243" s="18">
        <f t="shared" si="105"/>
        <v>-0.26001231847230188</v>
      </c>
      <c r="AU243" s="18">
        <f t="shared" si="106"/>
        <v>-2.4614474660731411E-2</v>
      </c>
      <c r="AV243" s="49">
        <f t="shared" si="107"/>
        <v>5429316.5206810199</v>
      </c>
      <c r="AW243" s="49">
        <f t="shared" si="108"/>
        <v>1240721.9846216501</v>
      </c>
      <c r="AX243" s="39">
        <f t="shared" si="109"/>
        <v>0.56903884461915166</v>
      </c>
      <c r="AY243" s="39">
        <f t="shared" si="110"/>
        <v>0.691493348738901</v>
      </c>
      <c r="AZ243" s="39">
        <f t="shared" si="111"/>
        <v>0.59181712322376989</v>
      </c>
      <c r="BA243" s="18">
        <v>2.9896915292087801E-2</v>
      </c>
      <c r="BB243" s="20">
        <v>3.6063548812313398E-2</v>
      </c>
      <c r="BC243" s="17">
        <f t="shared" ref="BC243:BC244" si="184">+AR243-AV243</f>
        <v>-2339824.5206810199</v>
      </c>
      <c r="BD243" s="17">
        <f t="shared" ref="BD243:BD244" si="185">+AS243-AW243</f>
        <v>-382770.98462165007</v>
      </c>
      <c r="BE243" s="17">
        <f t="shared" ref="BE243:BE244" si="186">AR243-AP243</f>
        <v>-1085566.6896551722</v>
      </c>
      <c r="BF243" s="17">
        <f t="shared" ref="BF243:BF244" si="187">AS243-AQ243</f>
        <v>-21650.939655172406</v>
      </c>
      <c r="BG243" s="19"/>
      <c r="BH243" s="17"/>
      <c r="BI243" s="17"/>
      <c r="BJ243" s="18"/>
      <c r="BK243" s="17"/>
      <c r="BL243" s="19"/>
      <c r="BM243" s="17"/>
      <c r="BN243" s="17"/>
    </row>
    <row r="244" spans="1:66" ht="14.25" hidden="1" customHeight="1" x14ac:dyDescent="0.35">
      <c r="A244" s="16">
        <v>45898</v>
      </c>
      <c r="B244" s="17">
        <f>+'BD MD'!B243</f>
        <v>65931437</v>
      </c>
      <c r="C244" s="17">
        <f t="shared" si="94"/>
        <v>4667974.1982758613</v>
      </c>
      <c r="D244" s="18">
        <f t="shared" si="118"/>
        <v>3.2151395353000503E-2</v>
      </c>
      <c r="E244" s="17">
        <v>84788455</v>
      </c>
      <c r="F244" s="19">
        <v>46263</v>
      </c>
      <c r="G244" s="17">
        <f t="shared" si="95"/>
        <v>6161658.7453408297</v>
      </c>
      <c r="H244" s="17">
        <v>4991715.1867080601</v>
      </c>
      <c r="I244" s="17">
        <v>1169943.5586327701</v>
      </c>
      <c r="J244" s="17">
        <v>3565076</v>
      </c>
      <c r="K244" s="17">
        <v>2274844</v>
      </c>
      <c r="L244" s="17">
        <v>41705.172413793101</v>
      </c>
      <c r="M244" s="17">
        <v>80338</v>
      </c>
      <c r="N244" s="17">
        <v>58290</v>
      </c>
      <c r="O244" s="17">
        <v>603</v>
      </c>
      <c r="P244" s="17">
        <v>-1718</v>
      </c>
      <c r="Q244" s="17">
        <v>4423</v>
      </c>
      <c r="R244" s="17">
        <v>175197</v>
      </c>
      <c r="S244" s="17">
        <v>202862</v>
      </c>
      <c r="T244" s="17">
        <v>594390</v>
      </c>
      <c r="U244" s="17">
        <v>439794</v>
      </c>
      <c r="V244" s="17">
        <v>186981</v>
      </c>
      <c r="W244" s="17">
        <v>319856</v>
      </c>
      <c r="X244" s="17">
        <v>36599</v>
      </c>
      <c r="Y244" s="17">
        <v>40578</v>
      </c>
      <c r="Z244" s="17">
        <v>9709</v>
      </c>
      <c r="AA244" s="17">
        <v>3124</v>
      </c>
      <c r="AB244" s="17">
        <v>711.40517241379303</v>
      </c>
      <c r="AC244" s="17">
        <v>6457</v>
      </c>
      <c r="AD244" s="17">
        <v>1033.6206896551701</v>
      </c>
      <c r="AE244" s="17">
        <v>5141</v>
      </c>
      <c r="AF244" s="17">
        <f t="shared" si="96"/>
        <v>3378020</v>
      </c>
      <c r="AG244" s="18">
        <f t="shared" si="97"/>
        <v>0.5482322438830789</v>
      </c>
      <c r="AH244" s="17">
        <f t="shared" si="98"/>
        <v>-2783638.7453408297</v>
      </c>
      <c r="AI244" s="20">
        <f t="shared" si="99"/>
        <v>-0.11615655299018435</v>
      </c>
      <c r="AJ244" s="20">
        <f t="shared" si="100"/>
        <v>4.4352414290973051E-2</v>
      </c>
      <c r="AK244" s="21">
        <f t="shared" si="119"/>
        <v>3.984056555812935E-2</v>
      </c>
      <c r="AL244" s="21">
        <f t="shared" si="101"/>
        <v>-1.6063397168761595E-2</v>
      </c>
      <c r="AM244" s="31"/>
      <c r="AO244" s="38">
        <f t="shared" si="102"/>
        <v>46263</v>
      </c>
      <c r="AP244" s="17">
        <f>+Tabla22[[#This Row],[Web + APP 2025]]+Tabla22[[#This Row],[Afiliados 2025]]+Tabla22[[#This Row],[TMK 2025]]+Tabla22[[#This Row],[WA 2025]]+Tabla22[[#This Row],[Ent. en Tienda 2025]]</f>
        <v>3838550.1724137929</v>
      </c>
      <c r="AQ244" s="17">
        <f>+Tabla22[[#This Row],[Meli Drop 2025]]+Tabla22[[#This Row],[Meli Full 2025]]+Tabla22[[#This Row],[Amazon Drop 2025]]+Tabla22[[#This Row],[Amazon Full 2025]]+Tabla22[[#This Row],[TikTok 2025]]+Tabla22[[#This Row],[Shein 2025]]</f>
        <v>829424.02586206899</v>
      </c>
      <c r="AR244" s="17">
        <f t="shared" si="103"/>
        <v>2563070</v>
      </c>
      <c r="AS244" s="17">
        <f t="shared" si="104"/>
        <v>814950</v>
      </c>
      <c r="AT244" s="18">
        <f t="shared" si="105"/>
        <v>-0.33228175095383305</v>
      </c>
      <c r="AU244" s="18">
        <f t="shared" si="106"/>
        <v>-1.7450695194204502E-2</v>
      </c>
      <c r="AV244" s="49">
        <f t="shared" si="107"/>
        <v>4991715.1867080601</v>
      </c>
      <c r="AW244" s="49">
        <f t="shared" si="108"/>
        <v>1169943.5586327701</v>
      </c>
      <c r="AX244" s="39">
        <f t="shared" si="109"/>
        <v>0.5134647919867189</v>
      </c>
      <c r="AY244" s="39">
        <f t="shared" si="110"/>
        <v>0.69657206451256004</v>
      </c>
      <c r="AZ244" s="39">
        <f t="shared" si="111"/>
        <v>0.5482322438830789</v>
      </c>
      <c r="BA244" s="18">
        <v>2.8191411051392098E-2</v>
      </c>
      <c r="BB244" s="20">
        <v>3.31568372570092E-2</v>
      </c>
      <c r="BC244" s="17">
        <f t="shared" si="184"/>
        <v>-2428645.1867080601</v>
      </c>
      <c r="BD244" s="17">
        <f t="shared" si="185"/>
        <v>-354993.55863277009</v>
      </c>
      <c r="BE244" s="17">
        <f t="shared" si="186"/>
        <v>-1275480.1724137929</v>
      </c>
      <c r="BF244" s="17">
        <f t="shared" si="187"/>
        <v>-14474.025862068986</v>
      </c>
    </row>
    <row r="245" spans="1:66" ht="14.25" hidden="1" customHeight="1" x14ac:dyDescent="0.35">
      <c r="A245" s="19">
        <v>45899</v>
      </c>
      <c r="B245" s="17">
        <f>+'BD MD'!B244</f>
        <v>86172681</v>
      </c>
      <c r="C245" s="17">
        <f t="shared" si="94"/>
        <v>3821966.4482758618</v>
      </c>
      <c r="D245" s="18">
        <f t="shared" si="118"/>
        <v>2.632438592951248E-2</v>
      </c>
      <c r="E245" s="17">
        <v>79055636</v>
      </c>
      <c r="F245" s="19">
        <v>46264</v>
      </c>
      <c r="G245" s="17">
        <f t="shared" si="95"/>
        <v>5088951.2944574002</v>
      </c>
      <c r="H245" s="17">
        <v>3567368.0222272598</v>
      </c>
      <c r="I245" s="17">
        <v>1521583.2722301399</v>
      </c>
      <c r="J245" s="17">
        <v>2504987</v>
      </c>
      <c r="K245" s="17">
        <v>2783669</v>
      </c>
      <c r="L245" s="17">
        <v>48545.689655172398</v>
      </c>
      <c r="M245" s="17">
        <v>75806</v>
      </c>
      <c r="N245" s="17">
        <v>23754</v>
      </c>
      <c r="O245" s="17">
        <v>3831</v>
      </c>
      <c r="P245" s="17">
        <v>1397</v>
      </c>
      <c r="Q245" s="17">
        <v>2613</v>
      </c>
      <c r="R245" s="17">
        <v>164566</v>
      </c>
      <c r="S245" s="17">
        <v>101774</v>
      </c>
      <c r="T245" s="17">
        <v>758218</v>
      </c>
      <c r="U245" s="17">
        <v>492535</v>
      </c>
      <c r="V245" s="17">
        <v>270836</v>
      </c>
      <c r="W245" s="17">
        <v>287070</v>
      </c>
      <c r="X245" s="17">
        <v>35654</v>
      </c>
      <c r="Y245" s="17">
        <v>38815</v>
      </c>
      <c r="Z245" s="17">
        <v>13751</v>
      </c>
      <c r="AA245" s="17">
        <v>6059</v>
      </c>
      <c r="AB245" s="17">
        <v>257.758620689655</v>
      </c>
      <c r="AC245" s="17">
        <v>10962</v>
      </c>
      <c r="AD245" s="17">
        <v>0</v>
      </c>
      <c r="AE245" s="17">
        <v>2627</v>
      </c>
      <c r="AF245" s="17">
        <f t="shared" si="96"/>
        <v>3805761</v>
      </c>
      <c r="AG245" s="18">
        <f t="shared" si="97"/>
        <v>0.74784779413098745</v>
      </c>
      <c r="AH245" s="17">
        <f t="shared" si="98"/>
        <v>-1283190.2944574002</v>
      </c>
      <c r="AI245" s="20">
        <f t="shared" si="99"/>
        <v>-7.9548808396772697E-2</v>
      </c>
      <c r="AJ245" s="20">
        <f t="shared" si="100"/>
        <v>5.0402885896544694E-2</v>
      </c>
      <c r="AK245" s="21">
        <f t="shared" si="119"/>
        <v>4.8140286924008811E-2</v>
      </c>
      <c r="AL245" s="21">
        <f t="shared" si="101"/>
        <v>-3.6287497476911179E-2</v>
      </c>
      <c r="AM245" s="31"/>
      <c r="AO245" s="38">
        <f t="shared" si="102"/>
        <v>46264</v>
      </c>
      <c r="AP245" s="17">
        <f>+Tabla22[[#This Row],[Web + APP 2025]]+Tabla22[[#This Row],[Afiliados 2025]]+Tabla22[[#This Row],[TMK 2025]]+Tabla22[[#This Row],[WA 2025]]+Tabla22[[#This Row],[Ent. en Tienda 2025]]</f>
        <v>2743249.6896551722</v>
      </c>
      <c r="AQ245" s="17">
        <f>+Tabla22[[#This Row],[Meli Drop 2025]]+Tabla22[[#This Row],[Meli Full 2025]]+Tabla22[[#This Row],[Amazon Drop 2025]]+Tabla22[[#This Row],[Amazon Full 2025]]+Tabla22[[#This Row],[TikTok 2025]]+Tabla22[[#This Row],[Shein 2025]]</f>
        <v>1078716.7586206896</v>
      </c>
      <c r="AR245" s="17">
        <f t="shared" si="103"/>
        <v>2967693</v>
      </c>
      <c r="AS245" s="17">
        <f t="shared" si="104"/>
        <v>838068</v>
      </c>
      <c r="AT245" s="18">
        <f t="shared" si="105"/>
        <v>8.1816580966437735E-2</v>
      </c>
      <c r="AU245" s="18">
        <f t="shared" si="106"/>
        <v>-0.22308799478409624</v>
      </c>
      <c r="AV245" s="49">
        <f t="shared" si="107"/>
        <v>3567368.0222272598</v>
      </c>
      <c r="AW245" s="49">
        <f t="shared" si="108"/>
        <v>1521583.2722301399</v>
      </c>
      <c r="AX245" s="39">
        <f t="shared" si="109"/>
        <v>0.83189987170068957</v>
      </c>
      <c r="AY245" s="39">
        <f t="shared" si="110"/>
        <v>0.55078681219442449</v>
      </c>
      <c r="AZ245" s="39">
        <f t="shared" si="111"/>
        <v>0.74784779413098745</v>
      </c>
      <c r="BA245" s="18">
        <v>3.6664657162171897E-2</v>
      </c>
      <c r="BB245" s="20">
        <v>2.36957912310003E-2</v>
      </c>
      <c r="BC245" s="17">
        <f t="shared" ref="BC245" si="188">+AR245-AV245</f>
        <v>-599675.02222725982</v>
      </c>
      <c r="BD245" s="17">
        <f t="shared" ref="BD245" si="189">+AS245-AW245</f>
        <v>-683515.27223013993</v>
      </c>
      <c r="BE245" s="17">
        <f t="shared" ref="BE245" si="190">AR245-AP245</f>
        <v>224443.31034482783</v>
      </c>
      <c r="BF245" s="17">
        <f t="shared" ref="BF245" si="191">AS245-AQ245</f>
        <v>-240648.75862068962</v>
      </c>
    </row>
    <row r="246" spans="1:66" ht="14.25" hidden="1" customHeight="1" x14ac:dyDescent="0.35">
      <c r="A246" s="16">
        <v>45900</v>
      </c>
      <c r="B246" s="17">
        <f>+'BD MD'!B245</f>
        <v>82032386</v>
      </c>
      <c r="C246" s="17">
        <f t="shared" si="94"/>
        <v>4134668.9913793104</v>
      </c>
      <c r="D246" s="18">
        <f t="shared" si="118"/>
        <v>2.8478173132304021E-2</v>
      </c>
      <c r="E246" s="17">
        <v>33903487</v>
      </c>
      <c r="F246" s="19">
        <v>46265</v>
      </c>
      <c r="G246" s="17">
        <f t="shared" si="95"/>
        <v>5496657.1747764302</v>
      </c>
      <c r="H246" s="17">
        <v>3961469.0685033901</v>
      </c>
      <c r="I246" s="17">
        <v>1535188.1062730399</v>
      </c>
      <c r="J246" s="17">
        <v>2787596</v>
      </c>
      <c r="K246" s="17">
        <v>3584257</v>
      </c>
      <c r="L246" s="17">
        <v>44080.172413793101</v>
      </c>
      <c r="M246" s="17">
        <v>46953</v>
      </c>
      <c r="N246" s="17">
        <v>9613</v>
      </c>
      <c r="O246" s="17">
        <v>32425</v>
      </c>
      <c r="P246" s="17">
        <v>3315</v>
      </c>
      <c r="Q246" s="17">
        <v>14272</v>
      </c>
      <c r="R246" s="17">
        <v>201703</v>
      </c>
      <c r="S246" s="17">
        <v>94850</v>
      </c>
      <c r="T246" s="17">
        <v>650854</v>
      </c>
      <c r="U246" s="17">
        <v>402779</v>
      </c>
      <c r="V246" s="17">
        <v>373478</v>
      </c>
      <c r="W246" s="17">
        <v>219040</v>
      </c>
      <c r="X246" s="17">
        <v>47088</v>
      </c>
      <c r="Y246" s="17">
        <v>49968</v>
      </c>
      <c r="Z246" s="17">
        <v>16121</v>
      </c>
      <c r="AA246" s="17">
        <v>4422</v>
      </c>
      <c r="AB246" s="17">
        <v>820.81896551724105</v>
      </c>
      <c r="AC246" s="17">
        <v>11214</v>
      </c>
      <c r="AD246" s="17">
        <v>0</v>
      </c>
      <c r="AE246" s="17">
        <v>17191</v>
      </c>
      <c r="AF246" s="17">
        <f t="shared" si="96"/>
        <v>4477371</v>
      </c>
      <c r="AG246" s="18">
        <f t="shared" si="97"/>
        <v>0.81456253457941219</v>
      </c>
      <c r="AH246" s="17">
        <f t="shared" si="98"/>
        <v>-1019286.1747764302</v>
      </c>
      <c r="AI246" s="20">
        <f t="shared" si="99"/>
        <v>-0.10282638301581504</v>
      </c>
      <c r="AJ246" s="20">
        <f t="shared" si="100"/>
        <v>0.15768335110555873</v>
      </c>
      <c r="AK246" s="21">
        <f t="shared" si="119"/>
        <v>0.13206225660505069</v>
      </c>
      <c r="AL246" s="21">
        <f t="shared" si="101"/>
        <v>7.1232205827314488E-2</v>
      </c>
      <c r="AM246" s="31"/>
      <c r="AO246" s="38">
        <f t="shared" si="102"/>
        <v>46265</v>
      </c>
      <c r="AP246" s="17">
        <f>+Tabla22[[#This Row],[Web + APP 2025]]+Tabla22[[#This Row],[Afiliados 2025]]+Tabla22[[#This Row],[TMK 2025]]+Tabla22[[#This Row],[WA 2025]]+Tabla22[[#This Row],[Ent. en Tienda 2025]]</f>
        <v>3046307.1724137929</v>
      </c>
      <c r="AQ246" s="17">
        <f>+Tabla22[[#This Row],[Meli Drop 2025]]+Tabla22[[#This Row],[Meli Full 2025]]+Tabla22[[#This Row],[Amazon Drop 2025]]+Tabla22[[#This Row],[Amazon Full 2025]]+Tabla22[[#This Row],[TikTok 2025]]+Tabla22[[#This Row],[Shein 2025]]</f>
        <v>1088361.8189655172</v>
      </c>
      <c r="AR246" s="17">
        <f t="shared" si="103"/>
        <v>3772757</v>
      </c>
      <c r="AS246" s="17">
        <f t="shared" si="104"/>
        <v>704614</v>
      </c>
      <c r="AT246" s="18">
        <f t="shared" si="105"/>
        <v>0.23846900081668143</v>
      </c>
      <c r="AU246" s="18">
        <f t="shared" si="106"/>
        <v>-0.3525921364370056</v>
      </c>
      <c r="AV246" s="49">
        <f t="shared" si="107"/>
        <v>3961469.0685033901</v>
      </c>
      <c r="AW246" s="49">
        <f t="shared" si="108"/>
        <v>1535188.1062730399</v>
      </c>
      <c r="AX246" s="39">
        <f t="shared" si="109"/>
        <v>0.95236310943235913</v>
      </c>
      <c r="AY246" s="39">
        <f t="shared" si="110"/>
        <v>0.45897567674008627</v>
      </c>
      <c r="AZ246" s="39">
        <f t="shared" si="111"/>
        <v>0.81456253457941219</v>
      </c>
      <c r="BA246" s="18">
        <v>3.6992484488507102E-2</v>
      </c>
      <c r="BB246" s="20">
        <v>2.6313557622999299E-2</v>
      </c>
      <c r="BC246" s="17">
        <f t="shared" ref="BC246:BC247" si="192">+AR246-AV246</f>
        <v>-188712.06850339007</v>
      </c>
      <c r="BD246" s="17">
        <f t="shared" ref="BD246:BD247" si="193">+AS246-AW246</f>
        <v>-830574.10627303994</v>
      </c>
      <c r="BE246" s="17">
        <f t="shared" ref="BE246:BE247" si="194">AR246-AP246</f>
        <v>726449.82758620707</v>
      </c>
      <c r="BF246" s="17">
        <f t="shared" ref="BF246:BF247" si="195">AS246-AQ246</f>
        <v>-383747.81896551722</v>
      </c>
    </row>
    <row r="247" spans="1:66" ht="14.25" customHeight="1" x14ac:dyDescent="0.35">
      <c r="A247" s="19">
        <v>45901</v>
      </c>
      <c r="B247" s="17">
        <f>+'BD MD'!B246</f>
        <v>31649055</v>
      </c>
      <c r="C247" s="17">
        <f t="shared" si="94"/>
        <v>4990529.0517241387</v>
      </c>
      <c r="D247" s="18">
        <f t="shared" ref="D247:D276" si="196">+C247/(SUM($C$247:$C$276))</f>
        <v>4.3286377238336768E-2</v>
      </c>
      <c r="E247" s="17">
        <v>33156940</v>
      </c>
      <c r="F247" s="19">
        <v>46266</v>
      </c>
      <c r="G247" s="17">
        <f t="shared" si="95"/>
        <v>6596901.5508277509</v>
      </c>
      <c r="H247" s="17">
        <v>5311464.7585612005</v>
      </c>
      <c r="I247" s="17">
        <v>1285436.79226655</v>
      </c>
      <c r="J247" s="17">
        <v>3909270</v>
      </c>
      <c r="K247" s="17">
        <v>4608677</v>
      </c>
      <c r="L247" s="17">
        <v>26356.896551724101</v>
      </c>
      <c r="M247" s="17">
        <v>51779</v>
      </c>
      <c r="N247" s="17">
        <v>17828</v>
      </c>
      <c r="O247" s="17">
        <v>10522</v>
      </c>
      <c r="P247" s="17">
        <v>10082</v>
      </c>
      <c r="Q247" s="17">
        <v>10662</v>
      </c>
      <c r="R247" s="17">
        <v>117359</v>
      </c>
      <c r="S247" s="17">
        <v>68000</v>
      </c>
      <c r="T247" s="17">
        <v>480576</v>
      </c>
      <c r="U247" s="17">
        <v>258443</v>
      </c>
      <c r="V247" s="17">
        <v>371920</v>
      </c>
      <c r="W247" s="17">
        <v>180486</v>
      </c>
      <c r="X247" s="17">
        <v>38723</v>
      </c>
      <c r="Y247" s="17">
        <v>41604</v>
      </c>
      <c r="Z247" s="17">
        <v>18027</v>
      </c>
      <c r="AA247" s="17">
        <v>2224</v>
      </c>
      <c r="AB247" s="17">
        <v>387.15517241379303</v>
      </c>
      <c r="AC247" s="17">
        <v>16937</v>
      </c>
      <c r="AD247" s="17">
        <v>0</v>
      </c>
      <c r="AE247" s="17">
        <v>4607</v>
      </c>
      <c r="AF247" s="17">
        <f t="shared" si="96"/>
        <v>5253941</v>
      </c>
      <c r="AG247" s="18">
        <f t="shared" si="97"/>
        <v>0.79642555819872107</v>
      </c>
      <c r="AH247" s="17">
        <f t="shared" si="98"/>
        <v>-1342960.5508277509</v>
      </c>
      <c r="AI247" s="20">
        <f t="shared" si="99"/>
        <v>0.11570093661778769</v>
      </c>
      <c r="AJ247" s="20">
        <f t="shared" si="100"/>
        <v>0.15300029120124153</v>
      </c>
      <c r="AK247" s="21">
        <f t="shared" si="119"/>
        <v>0.15845675143725568</v>
      </c>
      <c r="AL247" s="21">
        <f t="shared" si="101"/>
        <v>7.7281760781349629E-2</v>
      </c>
      <c r="AM247" s="31"/>
      <c r="AO247" s="38">
        <f t="shared" si="102"/>
        <v>46266</v>
      </c>
      <c r="AP247" s="17">
        <f>+Tabla22[[#This Row],[Web + APP 2025]]+Tabla22[[#This Row],[Afiliados 2025]]+Tabla22[[#This Row],[TMK 2025]]+Tabla22[[#This Row],[WA 2025]]+Tabla22[[#This Row],[Ent. en Tienda 2025]]</f>
        <v>4080895.8965517241</v>
      </c>
      <c r="AQ247" s="17">
        <f>+Tabla22[[#This Row],[Meli Drop 2025]]+Tabla22[[#This Row],[Meli Full 2025]]+Tabla22[[#This Row],[Amazon Drop 2025]]+Tabla22[[#This Row],[Amazon Full 2025]]+Tabla22[[#This Row],[TikTok 2025]]+Tabla22[[#This Row],[Shein 2025]]</f>
        <v>909633.1551724138</v>
      </c>
      <c r="AR247" s="17">
        <f t="shared" si="103"/>
        <v>4749640</v>
      </c>
      <c r="AS247" s="17">
        <f t="shared" si="104"/>
        <v>504301</v>
      </c>
      <c r="AT247" s="18">
        <f t="shared" si="105"/>
        <v>0.16387188509595441</v>
      </c>
      <c r="AU247" s="18">
        <f t="shared" si="106"/>
        <v>-0.44559958359871599</v>
      </c>
      <c r="AV247" s="49">
        <f t="shared" si="107"/>
        <v>5311464.7585612005</v>
      </c>
      <c r="AW247" s="49">
        <f t="shared" si="108"/>
        <v>1285436.79226655</v>
      </c>
      <c r="AX247" s="39">
        <f t="shared" si="109"/>
        <v>0.89422413889584185</v>
      </c>
      <c r="AY247" s="39">
        <f t="shared" si="110"/>
        <v>0.39231878458277974</v>
      </c>
      <c r="AZ247" s="39">
        <f t="shared" si="111"/>
        <v>0.79642555819872107</v>
      </c>
      <c r="BA247" s="18">
        <v>4.0550056538376997E-2</v>
      </c>
      <c r="BB247" s="20">
        <v>4.3947404743463203E-2</v>
      </c>
      <c r="BC247" s="17">
        <f t="shared" si="192"/>
        <v>-561824.75856120046</v>
      </c>
      <c r="BD247" s="17">
        <f t="shared" si="193"/>
        <v>-781135.79226655001</v>
      </c>
      <c r="BE247" s="17">
        <f t="shared" si="194"/>
        <v>668744.10344827594</v>
      </c>
      <c r="BF247" s="17">
        <f t="shared" si="195"/>
        <v>-405332.1551724138</v>
      </c>
    </row>
    <row r="248" spans="1:66" ht="14.25" customHeight="1" x14ac:dyDescent="0.35">
      <c r="A248" s="16">
        <v>45902</v>
      </c>
      <c r="B248" s="17">
        <f>+'BD MD'!B247</f>
        <v>30778336</v>
      </c>
      <c r="C248" s="17">
        <f t="shared" si="94"/>
        <v>4709094.3706896557</v>
      </c>
      <c r="D248" s="18">
        <f t="shared" si="196"/>
        <v>4.0845295812911374E-2</v>
      </c>
      <c r="E248" s="17">
        <v>36610659</v>
      </c>
      <c r="F248" s="19">
        <v>46267</v>
      </c>
      <c r="G248" s="17">
        <f t="shared" si="95"/>
        <v>6215808.3236736199</v>
      </c>
      <c r="H248" s="17">
        <v>5117707.0744952802</v>
      </c>
      <c r="I248" s="17">
        <v>1098101.24917834</v>
      </c>
      <c r="J248" s="17">
        <v>3732813</v>
      </c>
      <c r="K248" s="17">
        <v>4240392</v>
      </c>
      <c r="L248" s="17">
        <v>28554.310344827602</v>
      </c>
      <c r="M248" s="17">
        <v>52227</v>
      </c>
      <c r="N248" s="17">
        <v>44084</v>
      </c>
      <c r="O248" s="17">
        <v>54867</v>
      </c>
      <c r="P248" s="17">
        <v>7771</v>
      </c>
      <c r="Q248" s="17">
        <v>5431</v>
      </c>
      <c r="R248" s="17">
        <v>118806</v>
      </c>
      <c r="S248" s="17">
        <v>100823</v>
      </c>
      <c r="T248" s="17">
        <v>643534</v>
      </c>
      <c r="U248" s="17">
        <v>418266</v>
      </c>
      <c r="V248" s="17">
        <v>90021</v>
      </c>
      <c r="W248" s="17">
        <v>218152</v>
      </c>
      <c r="X248" s="17">
        <v>39947</v>
      </c>
      <c r="Y248" s="17">
        <v>49902</v>
      </c>
      <c r="Z248" s="17">
        <v>2996</v>
      </c>
      <c r="AA248" s="17">
        <v>3805</v>
      </c>
      <c r="AB248" s="17">
        <v>568.06034482758605</v>
      </c>
      <c r="AC248" s="17">
        <v>19820</v>
      </c>
      <c r="AD248" s="17">
        <v>0</v>
      </c>
      <c r="AE248" s="17">
        <v>7234</v>
      </c>
      <c r="AF248" s="17">
        <f t="shared" si="96"/>
        <v>5170919</v>
      </c>
      <c r="AG248" s="18">
        <f t="shared" si="97"/>
        <v>0.83189807837316365</v>
      </c>
      <c r="AH248" s="17">
        <f t="shared" si="98"/>
        <v>-1044889.3236736199</v>
      </c>
      <c r="AI248" s="20">
        <f t="shared" si="99"/>
        <v>0.19521570674126743</v>
      </c>
      <c r="AJ248" s="20">
        <f t="shared" si="100"/>
        <v>0.1299459143191399</v>
      </c>
      <c r="AK248" s="21">
        <f t="shared" ref="AK248:AK279" si="197">+AF248/E248</f>
        <v>0.14124080640012518</v>
      </c>
      <c r="AL248" s="21">
        <f t="shared" si="101"/>
        <v>9.9635450827852079E-2</v>
      </c>
      <c r="AM248" s="31"/>
      <c r="AO248" s="38">
        <f t="shared" si="102"/>
        <v>46267</v>
      </c>
      <c r="AP248" s="17">
        <f>+Tabla22[[#This Row],[Web + APP 2025]]+Tabla22[[#This Row],[Afiliados 2025]]+Tabla22[[#This Row],[TMK 2025]]+Tabla22[[#This Row],[WA 2025]]+Tabla22[[#This Row],[Ent. en Tienda 2025]]</f>
        <v>3932028.3103448278</v>
      </c>
      <c r="AQ248" s="17">
        <f>+Tabla22[[#This Row],[Meli Drop 2025]]+Tabla22[[#This Row],[Meli Full 2025]]+Tabla22[[#This Row],[Amazon Drop 2025]]+Tabla22[[#This Row],[Amazon Full 2025]]+Tabla22[[#This Row],[TikTok 2025]]+Tabla22[[#This Row],[Shein 2025]]</f>
        <v>777066.06034482759</v>
      </c>
      <c r="AR248" s="17">
        <f t="shared" si="103"/>
        <v>4453740</v>
      </c>
      <c r="AS248" s="17">
        <f t="shared" si="104"/>
        <v>717179</v>
      </c>
      <c r="AT248" s="18">
        <f t="shared" si="105"/>
        <v>0.13268258732588301</v>
      </c>
      <c r="AU248" s="18">
        <f t="shared" si="106"/>
        <v>-7.7068171421941112E-2</v>
      </c>
      <c r="AV248" s="49">
        <f t="shared" si="107"/>
        <v>5117707.0744952802</v>
      </c>
      <c r="AW248" s="49">
        <f t="shared" si="108"/>
        <v>1098101.24917834</v>
      </c>
      <c r="AX248" s="39">
        <f t="shared" si="109"/>
        <v>0.87026082875976996</v>
      </c>
      <c r="AY248" s="39">
        <f t="shared" si="110"/>
        <v>0.65310826350177908</v>
      </c>
      <c r="AZ248" s="39">
        <f t="shared" si="111"/>
        <v>0.83189807837316365</v>
      </c>
      <c r="BA248" s="18">
        <v>3.4640417955152603E-2</v>
      </c>
      <c r="BB248" s="20">
        <v>4.2344241068118002E-2</v>
      </c>
      <c r="BC248" s="17">
        <f t="shared" ref="BC248" si="198">+AR248-AV248</f>
        <v>-663967.07449528016</v>
      </c>
      <c r="BD248" s="17">
        <f t="shared" ref="BD248" si="199">+AS248-AW248</f>
        <v>-380922.24917833996</v>
      </c>
      <c r="BE248" s="17">
        <f t="shared" ref="BE248" si="200">AR248-AP248</f>
        <v>521711.68965517217</v>
      </c>
      <c r="BF248" s="17">
        <f t="shared" ref="BF248" si="201">AS248-AQ248</f>
        <v>-59887.060344827594</v>
      </c>
    </row>
    <row r="249" spans="1:66" ht="14.25" customHeight="1" x14ac:dyDescent="0.35">
      <c r="A249" s="19">
        <v>45903</v>
      </c>
      <c r="B249" s="17">
        <f>+'BD MD'!B248</f>
        <v>33293451</v>
      </c>
      <c r="C249" s="17">
        <f t="shared" si="94"/>
        <v>4326347.931034483</v>
      </c>
      <c r="D249" s="18">
        <f t="shared" si="196"/>
        <v>3.7525466071048584E-2</v>
      </c>
      <c r="E249" s="17">
        <v>38832803</v>
      </c>
      <c r="F249" s="19">
        <v>46268</v>
      </c>
      <c r="G249" s="17">
        <f t="shared" si="95"/>
        <v>5685055.4293565881</v>
      </c>
      <c r="H249" s="17">
        <v>4999669.5734518198</v>
      </c>
      <c r="I249" s="17">
        <v>685385.85590476799</v>
      </c>
      <c r="J249" s="17">
        <v>3629418</v>
      </c>
      <c r="K249" s="17">
        <v>3129090</v>
      </c>
      <c r="L249" s="17">
        <v>23437.931034482801</v>
      </c>
      <c r="M249" s="17">
        <v>39978</v>
      </c>
      <c r="N249" s="17">
        <v>67723</v>
      </c>
      <c r="O249" s="17">
        <v>30247</v>
      </c>
      <c r="P249" s="17">
        <v>4425</v>
      </c>
      <c r="Q249" s="17">
        <v>6243</v>
      </c>
      <c r="R249" s="17">
        <v>116334</v>
      </c>
      <c r="S249" s="17">
        <v>77075</v>
      </c>
      <c r="T249" s="17">
        <v>10115</v>
      </c>
      <c r="U249" s="17">
        <v>398097</v>
      </c>
      <c r="V249" s="17">
        <v>447014</v>
      </c>
      <c r="W249" s="17">
        <v>321750</v>
      </c>
      <c r="X249" s="17">
        <v>12385</v>
      </c>
      <c r="Y249" s="17">
        <v>30145</v>
      </c>
      <c r="Z249" s="17">
        <v>15496</v>
      </c>
      <c r="AA249" s="17">
        <v>6743</v>
      </c>
      <c r="AB249" s="17">
        <v>0</v>
      </c>
      <c r="AC249" s="17">
        <v>26334</v>
      </c>
      <c r="AD249" s="17">
        <v>0</v>
      </c>
      <c r="AE249" s="17">
        <v>10335</v>
      </c>
      <c r="AF249" s="17">
        <f t="shared" si="96"/>
        <v>4076037</v>
      </c>
      <c r="AG249" s="18">
        <f t="shared" si="97"/>
        <v>0.7169740120654039</v>
      </c>
      <c r="AH249" s="17">
        <f t="shared" si="98"/>
        <v>-1609018.4293565881</v>
      </c>
      <c r="AI249" s="20">
        <f t="shared" si="99"/>
        <v>-0.16203006857989743</v>
      </c>
      <c r="AJ249" s="20">
        <f t="shared" si="100"/>
        <v>0.12591500493416294</v>
      </c>
      <c r="AK249" s="21">
        <f t="shared" si="197"/>
        <v>0.10496375963383328</v>
      </c>
      <c r="AL249" s="21">
        <f t="shared" si="101"/>
        <v>5.2325528117997955E-3</v>
      </c>
      <c r="AM249" s="31"/>
      <c r="AO249" s="38">
        <f t="shared" si="102"/>
        <v>46268</v>
      </c>
      <c r="AP249" s="17">
        <f>+Tabla22[[#This Row],[Web + APP 2025]]+Tabla22[[#This Row],[Afiliados 2025]]+Tabla22[[#This Row],[TMK 2025]]+Tabla22[[#This Row],[WA 2025]]+Tabla22[[#This Row],[Ent. en Tienda 2025]]</f>
        <v>3841337.931034483</v>
      </c>
      <c r="AQ249" s="17">
        <f>+Tabla22[[#This Row],[Meli Drop 2025]]+Tabla22[[#This Row],[Meli Full 2025]]+Tabla22[[#This Row],[Amazon Drop 2025]]+Tabla22[[#This Row],[Amazon Full 2025]]+Tabla22[[#This Row],[TikTok 2025]]+Tabla22[[#This Row],[Shein 2025]]</f>
        <v>485010</v>
      </c>
      <c r="AR249" s="17">
        <f t="shared" si="103"/>
        <v>3282633</v>
      </c>
      <c r="AS249" s="17">
        <f t="shared" si="104"/>
        <v>793404</v>
      </c>
      <c r="AT249" s="18">
        <f t="shared" si="105"/>
        <v>-0.1454453997709132</v>
      </c>
      <c r="AU249" s="18">
        <f t="shared" si="106"/>
        <v>0.63585080719985165</v>
      </c>
      <c r="AV249" s="49">
        <f t="shared" si="107"/>
        <v>4999669.5734518198</v>
      </c>
      <c r="AW249" s="49">
        <f t="shared" si="108"/>
        <v>685385.85590476799</v>
      </c>
      <c r="AX249" s="39">
        <f t="shared" si="109"/>
        <v>0.6565699896310625</v>
      </c>
      <c r="AY249" s="39">
        <f t="shared" si="110"/>
        <v>1.1576019451884352</v>
      </c>
      <c r="AZ249" s="39">
        <f t="shared" si="111"/>
        <v>0.7169740120654039</v>
      </c>
      <c r="BA249" s="18">
        <v>2.1621004918131501E-2</v>
      </c>
      <c r="BB249" s="20">
        <v>4.1367591110137499E-2</v>
      </c>
      <c r="BC249" s="17">
        <f t="shared" ref="BC249:BC252" si="202">+AR249-AV249</f>
        <v>-1717036.5734518198</v>
      </c>
      <c r="BD249" s="17">
        <f t="shared" ref="BD249:BD252" si="203">+AS249-AW249</f>
        <v>108018.14409523201</v>
      </c>
      <c r="BE249" s="17">
        <f t="shared" ref="BE249:BE252" si="204">AR249-AP249</f>
        <v>-558704.93103448302</v>
      </c>
      <c r="BF249" s="17">
        <f t="shared" ref="BF249:BF252" si="205">AS249-AQ249</f>
        <v>308394</v>
      </c>
    </row>
    <row r="250" spans="1:66" ht="14.25" customHeight="1" x14ac:dyDescent="0.35">
      <c r="A250" s="16">
        <v>45904</v>
      </c>
      <c r="B250" s="17">
        <f>+'BD MD'!B249</f>
        <v>38630666</v>
      </c>
      <c r="C250" s="17">
        <f t="shared" si="94"/>
        <v>4864180.5</v>
      </c>
      <c r="D250" s="18">
        <f t="shared" si="196"/>
        <v>4.2190467162117683E-2</v>
      </c>
      <c r="E250" s="17">
        <v>39900289</v>
      </c>
      <c r="F250" s="19">
        <v>46269</v>
      </c>
      <c r="G250" s="17">
        <f t="shared" si="95"/>
        <v>6502548.4818756497</v>
      </c>
      <c r="H250" s="17">
        <v>4329481.2871723697</v>
      </c>
      <c r="I250" s="17">
        <v>2173067.19470328</v>
      </c>
      <c r="J250" s="17">
        <v>3079282</v>
      </c>
      <c r="K250" s="17">
        <v>2375132</v>
      </c>
      <c r="L250" s="17">
        <v>38493.965517241399</v>
      </c>
      <c r="M250" s="17">
        <v>50538</v>
      </c>
      <c r="N250" s="17">
        <v>37107</v>
      </c>
      <c r="O250" s="17">
        <v>9434</v>
      </c>
      <c r="P250" s="17">
        <v>8353</v>
      </c>
      <c r="Q250" s="17">
        <v>3826</v>
      </c>
      <c r="R250" s="17">
        <v>163184</v>
      </c>
      <c r="S250" s="17">
        <v>129241</v>
      </c>
      <c r="T250" s="17">
        <v>1235813</v>
      </c>
      <c r="U250" s="17">
        <v>285189</v>
      </c>
      <c r="V250" s="17">
        <v>273796</v>
      </c>
      <c r="W250" s="17">
        <v>264108</v>
      </c>
      <c r="X250" s="17">
        <v>18920</v>
      </c>
      <c r="Y250" s="17">
        <v>35577</v>
      </c>
      <c r="Z250" s="17">
        <v>8328</v>
      </c>
      <c r="AA250" s="17">
        <v>5188</v>
      </c>
      <c r="AB250" s="17">
        <v>903.53448275862104</v>
      </c>
      <c r="AC250" s="17">
        <v>15828</v>
      </c>
      <c r="AD250" s="17">
        <v>0</v>
      </c>
      <c r="AE250" s="17">
        <v>5253</v>
      </c>
      <c r="AF250" s="17">
        <f t="shared" si="96"/>
        <v>3179314</v>
      </c>
      <c r="AG250" s="18">
        <f t="shared" si="97"/>
        <v>0.48893353257751215</v>
      </c>
      <c r="AH250" s="17">
        <f t="shared" si="98"/>
        <v>-3323234.4818756497</v>
      </c>
      <c r="AI250" s="20">
        <f t="shared" si="99"/>
        <v>2.7320750562797258E-2</v>
      </c>
      <c r="AJ250" s="20">
        <f t="shared" si="100"/>
        <v>8.2692712065836713E-2</v>
      </c>
      <c r="AK250" s="21">
        <f t="shared" si="197"/>
        <v>7.9681477996312255E-2</v>
      </c>
      <c r="AL250" s="21">
        <f t="shared" si="101"/>
        <v>6.6144117325237506E-2</v>
      </c>
      <c r="AM250" s="31"/>
      <c r="AO250" s="38">
        <f t="shared" si="102"/>
        <v>46269</v>
      </c>
      <c r="AP250" s="17">
        <f>+Tabla22[[#This Row],[Web + APP 2025]]+Tabla22[[#This Row],[Afiliados 2025]]+Tabla22[[#This Row],[TMK 2025]]+Tabla22[[#This Row],[WA 2025]]+Tabla22[[#This Row],[Ent. en Tienda 2025]]</f>
        <v>3326419.9655172415</v>
      </c>
      <c r="AQ250" s="17">
        <f>+Tabla22[[#This Row],[Meli Drop 2025]]+Tabla22[[#This Row],[Meli Full 2025]]+Tabla22[[#This Row],[Amazon Drop 2025]]+Tabla22[[#This Row],[Amazon Full 2025]]+Tabla22[[#This Row],[TikTok 2025]]+Tabla22[[#This Row],[Shein 2025]]</f>
        <v>1537760.5344827587</v>
      </c>
      <c r="AR250" s="17">
        <f t="shared" si="103"/>
        <v>2568171</v>
      </c>
      <c r="AS250" s="17">
        <f t="shared" si="104"/>
        <v>611143</v>
      </c>
      <c r="AT250" s="18">
        <f t="shared" si="105"/>
        <v>-0.22794745503499214</v>
      </c>
      <c r="AU250" s="18">
        <f t="shared" si="106"/>
        <v>-0.60257596270958791</v>
      </c>
      <c r="AV250" s="49">
        <f t="shared" si="107"/>
        <v>4329481.2871723697</v>
      </c>
      <c r="AW250" s="49">
        <f t="shared" si="108"/>
        <v>2173067.19470328</v>
      </c>
      <c r="AX250" s="39">
        <f t="shared" si="109"/>
        <v>0.59318214577093131</v>
      </c>
      <c r="AY250" s="39">
        <f t="shared" si="110"/>
        <v>0.28123520592903162</v>
      </c>
      <c r="AZ250" s="39">
        <f t="shared" si="111"/>
        <v>0.48893353257751215</v>
      </c>
      <c r="BA250" s="18">
        <v>6.8551015605781807E-2</v>
      </c>
      <c r="BB250" s="20">
        <v>3.5822409656381698E-2</v>
      </c>
      <c r="BC250" s="17">
        <f t="shared" si="202"/>
        <v>-1761310.2871723697</v>
      </c>
      <c r="BD250" s="17">
        <f t="shared" si="203"/>
        <v>-1561924.19470328</v>
      </c>
      <c r="BE250" s="17">
        <f t="shared" si="204"/>
        <v>-758248.96551724151</v>
      </c>
      <c r="BF250" s="17">
        <f t="shared" si="205"/>
        <v>-926617.53448275873</v>
      </c>
    </row>
    <row r="251" spans="1:66" ht="14.25" customHeight="1" x14ac:dyDescent="0.35">
      <c r="A251" s="19">
        <v>45905</v>
      </c>
      <c r="B251" s="17">
        <f>+'BD MD'!B250</f>
        <v>37424855</v>
      </c>
      <c r="C251" s="17">
        <f t="shared" si="94"/>
        <v>3094762.7586206896</v>
      </c>
      <c r="D251" s="18">
        <f t="shared" si="196"/>
        <v>2.6843059492165419E-2</v>
      </c>
      <c r="E251" s="17">
        <v>57172573</v>
      </c>
      <c r="F251" s="19">
        <v>46270</v>
      </c>
      <c r="G251" s="17">
        <f t="shared" si="95"/>
        <v>4079737.6799719241</v>
      </c>
      <c r="H251" s="17">
        <v>3424182.6222861698</v>
      </c>
      <c r="I251" s="17">
        <v>655555.05768575403</v>
      </c>
      <c r="J251" s="17">
        <v>2474103</v>
      </c>
      <c r="K251" s="17">
        <v>2169077</v>
      </c>
      <c r="L251" s="17">
        <v>30516.379310344801</v>
      </c>
      <c r="M251" s="17">
        <v>71181</v>
      </c>
      <c r="N251" s="17">
        <v>25936</v>
      </c>
      <c r="O251" s="17">
        <v>-1219</v>
      </c>
      <c r="P251" s="17">
        <v>835</v>
      </c>
      <c r="Q251" s="17">
        <v>10096</v>
      </c>
      <c r="R251" s="17">
        <v>99472</v>
      </c>
      <c r="S251" s="17">
        <v>43403</v>
      </c>
      <c r="T251" s="17">
        <v>184786</v>
      </c>
      <c r="U251" s="17">
        <v>327711</v>
      </c>
      <c r="V251" s="17">
        <v>246588</v>
      </c>
      <c r="W251" s="17">
        <v>287772</v>
      </c>
      <c r="X251" s="17">
        <v>23810</v>
      </c>
      <c r="Y251" s="17">
        <v>34661</v>
      </c>
      <c r="Z251" s="17">
        <v>7925</v>
      </c>
      <c r="AA251" s="17">
        <v>3709</v>
      </c>
      <c r="AB251" s="17">
        <v>791.37931034482801</v>
      </c>
      <c r="AC251" s="17">
        <v>14900</v>
      </c>
      <c r="AD251" s="17">
        <v>0</v>
      </c>
      <c r="AE251" s="17">
        <v>2842</v>
      </c>
      <c r="AF251" s="17">
        <f t="shared" si="96"/>
        <v>2964133</v>
      </c>
      <c r="AG251" s="18">
        <f t="shared" si="97"/>
        <v>0.72654989916420276</v>
      </c>
      <c r="AH251" s="17">
        <f t="shared" si="98"/>
        <v>-1115604.6799719241</v>
      </c>
      <c r="AI251" s="20">
        <f t="shared" si="99"/>
        <v>-0.16341171750845518</v>
      </c>
      <c r="AJ251" s="20">
        <f t="shared" si="100"/>
        <v>6.4616742143880287E-2</v>
      </c>
      <c r="AK251" s="21">
        <f t="shared" si="197"/>
        <v>5.1845366483680905E-2</v>
      </c>
      <c r="AL251" s="21">
        <f t="shared" si="101"/>
        <v>4.2670020422427735E-2</v>
      </c>
      <c r="AM251" s="31"/>
      <c r="AO251" s="38">
        <f t="shared" si="102"/>
        <v>46270</v>
      </c>
      <c r="AP251" s="17">
        <f>+Tabla22[[#This Row],[Web + APP 2025]]+Tabla22[[#This Row],[Afiliados 2025]]+Tabla22[[#This Row],[TMK 2025]]+Tabla22[[#This Row],[WA 2025]]+Tabla22[[#This Row],[Ent. en Tienda 2025]]</f>
        <v>2630862.3793103448</v>
      </c>
      <c r="AQ251" s="17">
        <f>+Tabla22[[#This Row],[Meli Drop 2025]]+Tabla22[[#This Row],[Meli Full 2025]]+Tabla22[[#This Row],[Amazon Drop 2025]]+Tabla22[[#This Row],[Amazon Full 2025]]+Tabla22[[#This Row],[TikTok 2025]]+Tabla22[[#This Row],[Shein 2025]]</f>
        <v>463900.37931034481</v>
      </c>
      <c r="AR251" s="17">
        <f t="shared" si="103"/>
        <v>2292538</v>
      </c>
      <c r="AS251" s="17">
        <f t="shared" si="104"/>
        <v>671595</v>
      </c>
      <c r="AT251" s="18">
        <f t="shared" si="105"/>
        <v>-0.1285982809176941</v>
      </c>
      <c r="AU251" s="18">
        <f t="shared" si="106"/>
        <v>0.44771384105877088</v>
      </c>
      <c r="AV251" s="49">
        <f t="shared" si="107"/>
        <v>3424182.6222861698</v>
      </c>
      <c r="AW251" s="49">
        <f t="shared" si="108"/>
        <v>655555.05768575403</v>
      </c>
      <c r="AX251" s="39">
        <f t="shared" si="109"/>
        <v>0.66951394037195877</v>
      </c>
      <c r="AY251" s="39">
        <f t="shared" si="110"/>
        <v>1.0244677271972704</v>
      </c>
      <c r="AZ251" s="39">
        <f t="shared" si="111"/>
        <v>0.72654989916420276</v>
      </c>
      <c r="BA251" s="18">
        <v>2.06799702739985E-2</v>
      </c>
      <c r="BB251" s="20">
        <v>2.8331909644055998E-2</v>
      </c>
      <c r="BC251" s="17">
        <f t="shared" si="202"/>
        <v>-1131644.6222861698</v>
      </c>
      <c r="BD251" s="17">
        <f t="shared" si="203"/>
        <v>16039.942314245971</v>
      </c>
      <c r="BE251" s="17">
        <f t="shared" si="204"/>
        <v>-338324.37931034481</v>
      </c>
      <c r="BF251" s="17">
        <f t="shared" si="205"/>
        <v>207694.62068965519</v>
      </c>
    </row>
    <row r="252" spans="1:66" ht="14.25" customHeight="1" x14ac:dyDescent="0.35">
      <c r="A252" s="16">
        <v>45906</v>
      </c>
      <c r="B252" s="17">
        <f>+'BD MD'!B251</f>
        <v>54832854</v>
      </c>
      <c r="C252" s="17">
        <f t="shared" si="94"/>
        <v>3543120.3879310344</v>
      </c>
      <c r="D252" s="18">
        <f t="shared" si="196"/>
        <v>3.0731981343709174E-2</v>
      </c>
      <c r="E252" s="17">
        <v>55245812</v>
      </c>
      <c r="F252" s="19">
        <v>46271</v>
      </c>
      <c r="G252" s="17">
        <f t="shared" si="95"/>
        <v>4742084.1852022205</v>
      </c>
      <c r="H252" s="17">
        <v>3088800.7257642699</v>
      </c>
      <c r="I252" s="17">
        <v>1653283.45943795</v>
      </c>
      <c r="J252" s="17">
        <v>2230610</v>
      </c>
      <c r="K252" s="17">
        <v>2422908</v>
      </c>
      <c r="L252" s="17">
        <v>36679.310344827602</v>
      </c>
      <c r="M252" s="17">
        <v>65653</v>
      </c>
      <c r="N252" s="17">
        <v>4751</v>
      </c>
      <c r="O252" s="17">
        <v>23706</v>
      </c>
      <c r="P252" s="17">
        <v>697</v>
      </c>
      <c r="Q252" s="17">
        <v>4988</v>
      </c>
      <c r="R252" s="17">
        <v>100445</v>
      </c>
      <c r="S252" s="17">
        <v>89194</v>
      </c>
      <c r="T252" s="17">
        <v>869801</v>
      </c>
      <c r="U252" s="17">
        <v>418793</v>
      </c>
      <c r="V252" s="17">
        <v>263561</v>
      </c>
      <c r="W252" s="17">
        <v>315256</v>
      </c>
      <c r="X252" s="17">
        <v>29692</v>
      </c>
      <c r="Y252" s="17">
        <v>37121</v>
      </c>
      <c r="Z252" s="17">
        <v>3281</v>
      </c>
      <c r="AA252" s="17">
        <v>8727</v>
      </c>
      <c r="AB252" s="17">
        <v>1880.66379310345</v>
      </c>
      <c r="AC252" s="17">
        <v>17989</v>
      </c>
      <c r="AD252" s="17">
        <v>1722.41379310345</v>
      </c>
      <c r="AE252" s="17">
        <v>14961</v>
      </c>
      <c r="AF252" s="17">
        <f t="shared" si="96"/>
        <v>3419296</v>
      </c>
      <c r="AG252" s="18">
        <f t="shared" si="97"/>
        <v>0.72105341585246197</v>
      </c>
      <c r="AH252" s="17">
        <f t="shared" si="98"/>
        <v>-1322788.1852022205</v>
      </c>
      <c r="AI252" s="20">
        <f t="shared" si="99"/>
        <v>-7.5925259401278589E-2</v>
      </c>
      <c r="AJ252" s="20">
        <f t="shared" si="100"/>
        <v>6.8416432664436949E-2</v>
      </c>
      <c r="AK252" s="21">
        <f t="shared" si="197"/>
        <v>6.1892401907315618E-2</v>
      </c>
      <c r="AL252" s="21">
        <f t="shared" si="101"/>
        <v>2.1480752383059576E-2</v>
      </c>
      <c r="AM252" s="31"/>
      <c r="AO252" s="38">
        <f t="shared" si="102"/>
        <v>46271</v>
      </c>
      <c r="AP252" s="17">
        <f>+Tabla22[[#This Row],[Web + APP 2025]]+Tabla22[[#This Row],[Afiliados 2025]]+Tabla22[[#This Row],[TMK 2025]]+Tabla22[[#This Row],[WA 2025]]+Tabla22[[#This Row],[Ent. en Tienda 2025]]</f>
        <v>2373182.3103448278</v>
      </c>
      <c r="AQ252" s="17">
        <f>+Tabla22[[#This Row],[Meli Drop 2025]]+Tabla22[[#This Row],[Meli Full 2025]]+Tabla22[[#This Row],[Amazon Drop 2025]]+Tabla22[[#This Row],[Amazon Full 2025]]+Tabla22[[#This Row],[TikTok 2025]]+Tabla22[[#This Row],[Shein 2025]]</f>
        <v>1169938.0775862071</v>
      </c>
      <c r="AR252" s="17">
        <f t="shared" si="103"/>
        <v>2606449</v>
      </c>
      <c r="AS252" s="17">
        <f t="shared" si="104"/>
        <v>812847</v>
      </c>
      <c r="AT252" s="18">
        <f t="shared" si="105"/>
        <v>9.8292781232335313E-2</v>
      </c>
      <c r="AU252" s="18">
        <f t="shared" si="106"/>
        <v>-0.30522220314681126</v>
      </c>
      <c r="AV252" s="49">
        <f t="shared" si="107"/>
        <v>3088800.7257642699</v>
      </c>
      <c r="AW252" s="49">
        <f t="shared" si="108"/>
        <v>1653283.45943795</v>
      </c>
      <c r="AX252" s="39">
        <f t="shared" si="109"/>
        <v>0.84383850931499627</v>
      </c>
      <c r="AY252" s="39">
        <f t="shared" si="110"/>
        <v>0.49165616177901844</v>
      </c>
      <c r="AZ252" s="39">
        <f t="shared" si="111"/>
        <v>0.72105341585246197</v>
      </c>
      <c r="BA252" s="18">
        <v>5.2154052348200398E-2</v>
      </c>
      <c r="BB252" s="20">
        <v>2.5556938026985301E-2</v>
      </c>
      <c r="BC252" s="17">
        <f t="shared" si="202"/>
        <v>-482351.72576426994</v>
      </c>
      <c r="BD252" s="17">
        <f t="shared" si="203"/>
        <v>-840436.45943795005</v>
      </c>
      <c r="BE252" s="17">
        <f t="shared" si="204"/>
        <v>233266.68965517217</v>
      </c>
      <c r="BF252" s="17">
        <f t="shared" si="205"/>
        <v>-357091.07758620707</v>
      </c>
    </row>
    <row r="253" spans="1:66" ht="14.25" customHeight="1" x14ac:dyDescent="0.35">
      <c r="A253" s="19">
        <v>45907</v>
      </c>
      <c r="B253" s="17">
        <f>+'BD MD'!B252</f>
        <v>54084046</v>
      </c>
      <c r="C253" s="17">
        <f t="shared" si="94"/>
        <v>3700237.4913793104</v>
      </c>
      <c r="D253" s="18">
        <f t="shared" si="196"/>
        <v>3.2094768763633562E-2</v>
      </c>
      <c r="E253" s="17">
        <v>28518805</v>
      </c>
      <c r="F253" s="19">
        <v>46272</v>
      </c>
      <c r="G253" s="17">
        <f t="shared" si="95"/>
        <v>4916325.7663962999</v>
      </c>
      <c r="H253" s="17">
        <v>3646145.6581461602</v>
      </c>
      <c r="I253" s="17">
        <v>1270180.10825014</v>
      </c>
      <c r="J253" s="17">
        <v>2674804</v>
      </c>
      <c r="K253" s="17">
        <v>3685422</v>
      </c>
      <c r="L253" s="17">
        <v>33514.655172413797</v>
      </c>
      <c r="M253" s="17">
        <v>51772</v>
      </c>
      <c r="N253" s="17">
        <v>11139</v>
      </c>
      <c r="O253" s="17">
        <v>39873</v>
      </c>
      <c r="P253" s="17">
        <v>1207</v>
      </c>
      <c r="Q253" s="17">
        <v>8283</v>
      </c>
      <c r="R253" s="17">
        <v>80736</v>
      </c>
      <c r="S253" s="17">
        <v>110586</v>
      </c>
      <c r="T253" s="17">
        <v>589007</v>
      </c>
      <c r="U253" s="17">
        <v>430573</v>
      </c>
      <c r="V253" s="17">
        <v>264958</v>
      </c>
      <c r="W253" s="17">
        <v>302218</v>
      </c>
      <c r="X253" s="17">
        <v>38489</v>
      </c>
      <c r="Y253" s="17">
        <v>41380</v>
      </c>
      <c r="Z253" s="17">
        <v>5467</v>
      </c>
      <c r="AA253" s="17">
        <v>9144</v>
      </c>
      <c r="AB253" s="17">
        <v>915.83620689655197</v>
      </c>
      <c r="AC253" s="17">
        <v>31279</v>
      </c>
      <c r="AD253" s="17">
        <v>0</v>
      </c>
      <c r="AE253" s="17">
        <v>3203</v>
      </c>
      <c r="AF253" s="17">
        <f t="shared" si="96"/>
        <v>4713733</v>
      </c>
      <c r="AG253" s="18">
        <f t="shared" si="97"/>
        <v>0.95879183438553917</v>
      </c>
      <c r="AH253" s="17">
        <f t="shared" si="98"/>
        <v>-202592.76639629994</v>
      </c>
      <c r="AI253" s="20">
        <f t="shared" si="99"/>
        <v>1.7367624532111048E-2</v>
      </c>
      <c r="AJ253" s="20">
        <f t="shared" si="100"/>
        <v>0.16293916227096147</v>
      </c>
      <c r="AK253" s="21">
        <f t="shared" si="197"/>
        <v>0.16528508119467136</v>
      </c>
      <c r="AL253" s="21">
        <f t="shared" si="101"/>
        <v>2.9279549290892604E-3</v>
      </c>
      <c r="AM253" s="31"/>
      <c r="AO253" s="38">
        <f t="shared" si="102"/>
        <v>46272</v>
      </c>
      <c r="AP253" s="17">
        <f>+Tabla22[[#This Row],[Web + APP 2025]]+Tabla22[[#This Row],[Afiliados 2025]]+Tabla22[[#This Row],[TMK 2025]]+Tabla22[[#This Row],[WA 2025]]+Tabla22[[#This Row],[Ent. en Tienda 2025]]</f>
        <v>2801400.6551724137</v>
      </c>
      <c r="AQ253" s="17">
        <f>+Tabla22[[#This Row],[Meli Drop 2025]]+Tabla22[[#This Row],[Meli Full 2025]]+Tabla22[[#This Row],[Amazon Drop 2025]]+Tabla22[[#This Row],[Amazon Full 2025]]+Tabla22[[#This Row],[TikTok 2025]]+Tabla22[[#This Row],[Shein 2025]]</f>
        <v>898836.83620689658</v>
      </c>
      <c r="AR253" s="17">
        <f t="shared" si="103"/>
        <v>3895936</v>
      </c>
      <c r="AS253" s="17">
        <f t="shared" si="104"/>
        <v>817797</v>
      </c>
      <c r="AT253" s="18">
        <f t="shared" si="105"/>
        <v>0.39071003385633984</v>
      </c>
      <c r="AU253" s="18">
        <f t="shared" si="106"/>
        <v>-9.0160786632739409E-2</v>
      </c>
      <c r="AV253" s="49">
        <f t="shared" si="107"/>
        <v>3646145.6581461602</v>
      </c>
      <c r="AW253" s="49">
        <f t="shared" si="108"/>
        <v>1270180.10825014</v>
      </c>
      <c r="AX253" s="39">
        <f t="shared" si="109"/>
        <v>1.0685080535100846</v>
      </c>
      <c r="AY253" s="39">
        <f t="shared" si="110"/>
        <v>0.64384333740404398</v>
      </c>
      <c r="AZ253" s="39">
        <f t="shared" si="111"/>
        <v>0.95879183438553917</v>
      </c>
      <c r="BA253" s="18">
        <v>4.0068773130919097E-2</v>
      </c>
      <c r="BB253" s="20">
        <v>3.0168446233949299E-2</v>
      </c>
      <c r="BC253" s="17">
        <f t="shared" ref="BC253" si="206">+AR253-AV253</f>
        <v>249790.34185383981</v>
      </c>
      <c r="BD253" s="17">
        <f t="shared" ref="BD253" si="207">+AS253-AW253</f>
        <v>-452383.10825013998</v>
      </c>
      <c r="BE253" s="17">
        <f t="shared" ref="BE253" si="208">AR253-AP253</f>
        <v>1094535.3448275863</v>
      </c>
      <c r="BF253" s="17">
        <f t="shared" ref="BF253" si="209">AS253-AQ253</f>
        <v>-81039.83620689658</v>
      </c>
    </row>
    <row r="254" spans="1:66" ht="14.25" customHeight="1" x14ac:dyDescent="0.35">
      <c r="A254" s="16">
        <v>45908</v>
      </c>
      <c r="B254" s="17">
        <f>+'BD MD'!B253</f>
        <v>28435547</v>
      </c>
      <c r="C254" s="17">
        <f t="shared" si="94"/>
        <v>4633264.2068965519</v>
      </c>
      <c r="D254" s="18">
        <f t="shared" si="196"/>
        <v>4.018756733523441E-2</v>
      </c>
      <c r="E254" s="17">
        <v>32663945</v>
      </c>
      <c r="F254" s="19">
        <v>46273</v>
      </c>
      <c r="G254" s="17">
        <f t="shared" si="95"/>
        <v>6127095.8821069803</v>
      </c>
      <c r="H254" s="17">
        <v>4902567.0005274704</v>
      </c>
      <c r="I254" s="17">
        <v>1224528.8815795099</v>
      </c>
      <c r="J254" s="17">
        <v>3525502</v>
      </c>
      <c r="K254" s="17">
        <v>3691678</v>
      </c>
      <c r="L254" s="17">
        <v>25892.241379310301</v>
      </c>
      <c r="M254" s="17">
        <v>46251</v>
      </c>
      <c r="N254" s="17">
        <v>45000</v>
      </c>
      <c r="O254" s="17">
        <v>36867</v>
      </c>
      <c r="P254" s="17">
        <v>10415</v>
      </c>
      <c r="Q254" s="17">
        <v>11745</v>
      </c>
      <c r="R254" s="17">
        <v>159923</v>
      </c>
      <c r="S254" s="17">
        <v>113991</v>
      </c>
      <c r="T254" s="17">
        <v>610021</v>
      </c>
      <c r="U254" s="17">
        <v>424362</v>
      </c>
      <c r="V254" s="17">
        <v>212908</v>
      </c>
      <c r="W254" s="17">
        <v>280697</v>
      </c>
      <c r="X254" s="17">
        <v>37056</v>
      </c>
      <c r="Y254" s="17">
        <v>40425</v>
      </c>
      <c r="Z254" s="17">
        <v>6203</v>
      </c>
      <c r="AA254" s="17">
        <v>4771</v>
      </c>
      <c r="AB254" s="17">
        <v>343.96551724137902</v>
      </c>
      <c r="AC254" s="17">
        <v>37972</v>
      </c>
      <c r="AD254" s="17">
        <v>0</v>
      </c>
      <c r="AE254" s="17">
        <v>4228</v>
      </c>
      <c r="AF254" s="17">
        <f t="shared" si="96"/>
        <v>4692987</v>
      </c>
      <c r="AG254" s="18">
        <f t="shared" si="97"/>
        <v>0.76593986617787024</v>
      </c>
      <c r="AH254" s="17">
        <f t="shared" si="98"/>
        <v>-1434108.8821069803</v>
      </c>
      <c r="AI254" s="20">
        <f t="shared" si="99"/>
        <v>-1.0790544135321878E-2</v>
      </c>
      <c r="AJ254" s="20">
        <f t="shared" si="100"/>
        <v>0.16005897113035517</v>
      </c>
      <c r="AK254" s="21">
        <f t="shared" si="197"/>
        <v>0.1436748378066397</v>
      </c>
      <c r="AL254" s="21">
        <f t="shared" si="101"/>
        <v>0.10201514861777561</v>
      </c>
      <c r="AM254" s="31"/>
      <c r="AO254" s="38">
        <f t="shared" si="102"/>
        <v>46273</v>
      </c>
      <c r="AP254" s="17">
        <f>+Tabla22[[#This Row],[Web + APP 2025]]+Tabla22[[#This Row],[Afiliados 2025]]+Tabla22[[#This Row],[TMK 2025]]+Tabla22[[#This Row],[WA 2025]]+Tabla22[[#This Row],[Ent. en Tienda 2025]]</f>
        <v>3766732.2413793104</v>
      </c>
      <c r="AQ254" s="17">
        <f>+Tabla22[[#This Row],[Meli Drop 2025]]+Tabla22[[#This Row],[Meli Full 2025]]+Tabla22[[#This Row],[Amazon Drop 2025]]+Tabla22[[#This Row],[Amazon Full 2025]]+Tabla22[[#This Row],[TikTok 2025]]+Tabla22[[#This Row],[Shein 2025]]</f>
        <v>866531.96551724139</v>
      </c>
      <c r="AR254" s="17">
        <f t="shared" si="103"/>
        <v>3900532</v>
      </c>
      <c r="AS254" s="17">
        <f t="shared" si="104"/>
        <v>792455</v>
      </c>
      <c r="AT254" s="18">
        <f t="shared" si="105"/>
        <v>3.5521441410365506E-2</v>
      </c>
      <c r="AU254" s="18">
        <f t="shared" si="106"/>
        <v>-8.5486708471307349E-2</v>
      </c>
      <c r="AV254" s="49">
        <f t="shared" si="107"/>
        <v>4902567.0005274704</v>
      </c>
      <c r="AW254" s="49">
        <f t="shared" si="108"/>
        <v>1224528.8815795099</v>
      </c>
      <c r="AX254" s="39">
        <f t="shared" si="109"/>
        <v>0.79561013640004086</v>
      </c>
      <c r="AY254" s="39">
        <f t="shared" si="110"/>
        <v>0.64715092630385218</v>
      </c>
      <c r="AZ254" s="39">
        <f t="shared" si="111"/>
        <v>0.76593986617787024</v>
      </c>
      <c r="BA254" s="18">
        <v>3.8628671343202102E-2</v>
      </c>
      <c r="BB254" s="20">
        <v>4.0564158108523499E-2</v>
      </c>
      <c r="BC254" s="17">
        <f t="shared" ref="BC254" si="210">+AR254-AV254</f>
        <v>-1002035.0005274704</v>
      </c>
      <c r="BD254" s="17">
        <f t="shared" ref="BD254" si="211">+AS254-AW254</f>
        <v>-432073.88157950994</v>
      </c>
      <c r="BE254" s="17">
        <f t="shared" ref="BE254" si="212">AR254-AP254</f>
        <v>133799.75862068962</v>
      </c>
      <c r="BF254" s="17">
        <f t="shared" ref="BF254" si="213">AS254-AQ254</f>
        <v>-74076.965517241391</v>
      </c>
    </row>
    <row r="255" spans="1:66" ht="14.25" customHeight="1" x14ac:dyDescent="0.35">
      <c r="A255" s="19">
        <v>45909</v>
      </c>
      <c r="B255" s="17">
        <f>+'BD MD'!B254</f>
        <v>29640196</v>
      </c>
      <c r="C255" s="17">
        <f t="shared" si="94"/>
        <v>4744179.2758620689</v>
      </c>
      <c r="D255" s="18">
        <f t="shared" si="196"/>
        <v>4.1149611933491745E-2</v>
      </c>
      <c r="E255" s="17">
        <v>33989444</v>
      </c>
      <c r="F255" s="19">
        <v>46274</v>
      </c>
      <c r="G255" s="17">
        <f t="shared" si="95"/>
        <v>6267893.7942838604</v>
      </c>
      <c r="H255" s="17">
        <v>5088482.8383087805</v>
      </c>
      <c r="I255" s="17">
        <v>1179410.9559750799</v>
      </c>
      <c r="J255" s="17">
        <v>3709022</v>
      </c>
      <c r="K255" s="17">
        <v>3992374</v>
      </c>
      <c r="L255" s="17">
        <v>28638.793103448301</v>
      </c>
      <c r="M255" s="17">
        <v>42255</v>
      </c>
      <c r="N255" s="17">
        <v>39009</v>
      </c>
      <c r="O255" s="17">
        <v>41214</v>
      </c>
      <c r="P255" s="17">
        <v>6468</v>
      </c>
      <c r="Q255" s="17">
        <v>23756</v>
      </c>
      <c r="R255" s="17">
        <v>126437</v>
      </c>
      <c r="S255" s="17">
        <v>136924</v>
      </c>
      <c r="T255" s="17">
        <v>512439</v>
      </c>
      <c r="U255" s="17">
        <v>757503</v>
      </c>
      <c r="V255" s="17">
        <v>272574</v>
      </c>
      <c r="W255" s="17">
        <v>472947</v>
      </c>
      <c r="X255" s="17">
        <v>41801</v>
      </c>
      <c r="Y255" s="17">
        <v>44298</v>
      </c>
      <c r="Z255" s="17">
        <v>6981</v>
      </c>
      <c r="AA255" s="17">
        <v>6888</v>
      </c>
      <c r="AB255" s="17">
        <v>809.48275862068999</v>
      </c>
      <c r="AC255" s="17">
        <v>32292</v>
      </c>
      <c r="AD255" s="17">
        <v>0</v>
      </c>
      <c r="AE255" s="17">
        <v>5813</v>
      </c>
      <c r="AF255" s="17">
        <f t="shared" si="96"/>
        <v>5556264</v>
      </c>
      <c r="AG255" s="18">
        <f t="shared" si="97"/>
        <v>0.88646428646687558</v>
      </c>
      <c r="AH255" s="17">
        <f t="shared" si="98"/>
        <v>-711629.79428386036</v>
      </c>
      <c r="AI255" s="20">
        <f t="shared" si="99"/>
        <v>0.3374188945491936</v>
      </c>
      <c r="AJ255" s="20">
        <f t="shared" si="100"/>
        <v>0.12769944866425717</v>
      </c>
      <c r="AK255" s="21">
        <f t="shared" si="197"/>
        <v>0.16347028212641548</v>
      </c>
      <c r="AL255" s="21">
        <f t="shared" si="101"/>
        <v>4.4762713109029573E-2</v>
      </c>
      <c r="AM255" s="31"/>
      <c r="AO255" s="38">
        <f t="shared" si="102"/>
        <v>46274</v>
      </c>
      <c r="AP255" s="17">
        <f>+Tabla22[[#This Row],[Web + APP 2025]]+Tabla22[[#This Row],[Afiliados 2025]]+Tabla22[[#This Row],[TMK 2025]]+Tabla22[[#This Row],[WA 2025]]+Tabla22[[#This Row],[Ent. en Tienda 2025]]</f>
        <v>3909574.7931034481</v>
      </c>
      <c r="AQ255" s="17">
        <f>+Tabla22[[#This Row],[Meli Drop 2025]]+Tabla22[[#This Row],[Meli Full 2025]]+Tabla22[[#This Row],[Amazon Drop 2025]]+Tabla22[[#This Row],[Amazon Full 2025]]+Tabla22[[#This Row],[TikTok 2025]]+Tabla22[[#This Row],[Shein 2025]]</f>
        <v>834604.48275862064</v>
      </c>
      <c r="AR255" s="17">
        <f t="shared" si="103"/>
        <v>4236523</v>
      </c>
      <c r="AS255" s="17">
        <f t="shared" si="104"/>
        <v>1319741</v>
      </c>
      <c r="AT255" s="18">
        <f t="shared" si="105"/>
        <v>8.3627561614448176E-2</v>
      </c>
      <c r="AU255" s="18">
        <f t="shared" si="106"/>
        <v>0.58127715254758305</v>
      </c>
      <c r="AV255" s="49">
        <f t="shared" si="107"/>
        <v>5088482.8383087805</v>
      </c>
      <c r="AW255" s="49">
        <f t="shared" si="108"/>
        <v>1179410.9559750799</v>
      </c>
      <c r="AX255" s="39">
        <f t="shared" si="109"/>
        <v>0.83257095181794116</v>
      </c>
      <c r="AY255" s="39">
        <f t="shared" si="110"/>
        <v>1.1189831613094539</v>
      </c>
      <c r="AZ255" s="39">
        <f t="shared" si="111"/>
        <v>0.88646428646687558</v>
      </c>
      <c r="BA255" s="18">
        <v>3.7205392932967797E-2</v>
      </c>
      <c r="BB255" s="20">
        <v>4.2102437837862897E-2</v>
      </c>
      <c r="BC255" s="17">
        <f t="shared" ref="BC255:BD262" si="214">+AR255-AV255</f>
        <v>-851959.83830878045</v>
      </c>
      <c r="BD255" s="17">
        <f t="shared" si="214"/>
        <v>140330.04402492009</v>
      </c>
      <c r="BE255" s="17">
        <f t="shared" ref="BE255:BF262" si="215">AR255-AP255</f>
        <v>326948.20689655188</v>
      </c>
      <c r="BF255" s="17">
        <f t="shared" si="215"/>
        <v>485136.51724137936</v>
      </c>
    </row>
    <row r="256" spans="1:66" ht="14.25" customHeight="1" x14ac:dyDescent="0.35">
      <c r="A256" s="16">
        <v>45910</v>
      </c>
      <c r="B256" s="17">
        <f>+'BD MD'!B255</f>
        <v>32533171</v>
      </c>
      <c r="C256" s="17">
        <f t="shared" si="94"/>
        <v>4154468.0000000005</v>
      </c>
      <c r="D256" s="18">
        <f t="shared" si="196"/>
        <v>3.6034630238345133E-2</v>
      </c>
      <c r="E256" s="17">
        <v>40552085</v>
      </c>
      <c r="F256" s="19">
        <v>46275</v>
      </c>
      <c r="G256" s="17">
        <f t="shared" si="95"/>
        <v>5520536.0320603298</v>
      </c>
      <c r="H256" s="17">
        <v>4085615.3785323901</v>
      </c>
      <c r="I256" s="17">
        <v>1434920.6535279399</v>
      </c>
      <c r="J256" s="17">
        <v>2984548</v>
      </c>
      <c r="K256" s="17">
        <v>3230365</v>
      </c>
      <c r="L256" s="17">
        <v>24654.310344827602</v>
      </c>
      <c r="M256" s="17">
        <v>38566</v>
      </c>
      <c r="N256" s="17">
        <v>17827</v>
      </c>
      <c r="O256" s="17">
        <v>28329</v>
      </c>
      <c r="P256" s="17">
        <v>2299</v>
      </c>
      <c r="Q256" s="17">
        <v>4546</v>
      </c>
      <c r="R256" s="17">
        <v>109725</v>
      </c>
      <c r="S256" s="17">
        <v>137660</v>
      </c>
      <c r="T256" s="17">
        <v>666967</v>
      </c>
      <c r="U256" s="17">
        <v>811921</v>
      </c>
      <c r="V256" s="17">
        <v>299912</v>
      </c>
      <c r="W256" s="17">
        <v>427046</v>
      </c>
      <c r="X256" s="17">
        <v>40233</v>
      </c>
      <c r="Y256" s="17">
        <v>47155</v>
      </c>
      <c r="Z256" s="17">
        <v>7382</v>
      </c>
      <c r="AA256" s="17">
        <v>6735</v>
      </c>
      <c r="AB256" s="17">
        <v>920.68965517241395</v>
      </c>
      <c r="AC256" s="17">
        <v>45688</v>
      </c>
      <c r="AD256" s="17">
        <v>0</v>
      </c>
      <c r="AE256" s="17">
        <v>2713</v>
      </c>
      <c r="AF256" s="17">
        <f t="shared" si="96"/>
        <v>4780724</v>
      </c>
      <c r="AG256" s="18">
        <f t="shared" si="97"/>
        <v>0.86598909457996542</v>
      </c>
      <c r="AH256" s="17">
        <f t="shared" si="98"/>
        <v>-739812.0320603298</v>
      </c>
      <c r="AI256" s="20">
        <f t="shared" si="99"/>
        <v>0.51236882239163339</v>
      </c>
      <c r="AJ256" s="20">
        <f t="shared" si="100"/>
        <v>8.6359322116965009E-2</v>
      </c>
      <c r="AK256" s="21">
        <f t="shared" si="197"/>
        <v>0.11789095431221354</v>
      </c>
      <c r="AL256" s="21">
        <f t="shared" si="101"/>
        <v>0.10786401768098308</v>
      </c>
      <c r="AM256" s="31"/>
      <c r="AO256" s="38">
        <f t="shared" si="102"/>
        <v>46275</v>
      </c>
      <c r="AP256" s="17">
        <f>+Tabla22[[#This Row],[Web + APP 2025]]+Tabla22[[#This Row],[Afiliados 2025]]+Tabla22[[#This Row],[TMK 2025]]+Tabla22[[#This Row],[WA 2025]]+Tabla22[[#This Row],[Ent. en Tienda 2025]]</f>
        <v>3139053.3103448278</v>
      </c>
      <c r="AQ256" s="17">
        <f>+Tabla22[[#This Row],[Meli Drop 2025]]+Tabla22[[#This Row],[Meli Full 2025]]+Tabla22[[#This Row],[Amazon Drop 2025]]+Tabla22[[#This Row],[Amazon Full 2025]]+Tabla22[[#This Row],[TikTok 2025]]+Tabla22[[#This Row],[Shein 2025]]</f>
        <v>1015414.6896551724</v>
      </c>
      <c r="AR256" s="17">
        <f t="shared" si="103"/>
        <v>3439466</v>
      </c>
      <c r="AS256" s="17">
        <f t="shared" si="104"/>
        <v>1341258</v>
      </c>
      <c r="AT256" s="18">
        <f t="shared" si="105"/>
        <v>9.570168453818706E-2</v>
      </c>
      <c r="AU256" s="18">
        <f t="shared" si="106"/>
        <v>0.32089678597763993</v>
      </c>
      <c r="AV256" s="49">
        <f t="shared" si="107"/>
        <v>4085615.3785323901</v>
      </c>
      <c r="AW256" s="49">
        <f t="shared" si="108"/>
        <v>1434920.6535279399</v>
      </c>
      <c r="AX256" s="39">
        <f t="shared" si="109"/>
        <v>0.84184772215036652</v>
      </c>
      <c r="AY256" s="39">
        <f t="shared" si="110"/>
        <v>0.93472624894090273</v>
      </c>
      <c r="AZ256" s="39">
        <f t="shared" si="111"/>
        <v>0.86598909457996542</v>
      </c>
      <c r="BA256" s="18">
        <v>4.5265635757979102E-2</v>
      </c>
      <c r="BB256" s="20">
        <v>3.3804647273065702E-2</v>
      </c>
      <c r="BC256" s="17">
        <f t="shared" si="214"/>
        <v>-646149.37853239011</v>
      </c>
      <c r="BD256" s="17">
        <f t="shared" si="214"/>
        <v>-93662.653527939925</v>
      </c>
      <c r="BE256" s="17">
        <f t="shared" si="215"/>
        <v>300412.68965517217</v>
      </c>
      <c r="BF256" s="17">
        <f t="shared" si="215"/>
        <v>325843.31034482759</v>
      </c>
    </row>
    <row r="257" spans="1:58" ht="14.25" customHeight="1" x14ac:dyDescent="0.35">
      <c r="A257" s="19">
        <v>45911</v>
      </c>
      <c r="B257" s="17">
        <f>+'BD MD'!B256</f>
        <v>36603847</v>
      </c>
      <c r="C257" s="17">
        <f t="shared" si="94"/>
        <v>3161083.4137931033</v>
      </c>
      <c r="D257" s="18">
        <f t="shared" si="196"/>
        <v>2.7418305296514546E-2</v>
      </c>
      <c r="E257" s="17">
        <v>40490621</v>
      </c>
      <c r="F257" s="19">
        <v>46276</v>
      </c>
      <c r="G257" s="17">
        <f t="shared" si="95"/>
        <v>4184986.054014463</v>
      </c>
      <c r="H257" s="17">
        <v>3289726.9989228998</v>
      </c>
      <c r="I257" s="17">
        <v>895259.05509156303</v>
      </c>
      <c r="J257" s="17">
        <v>2427761</v>
      </c>
      <c r="K257" s="17">
        <v>2905562</v>
      </c>
      <c r="L257" s="17">
        <v>25539.655172413801</v>
      </c>
      <c r="M257" s="17">
        <v>36103</v>
      </c>
      <c r="N257" s="17">
        <v>22302</v>
      </c>
      <c r="O257" s="17">
        <v>39509</v>
      </c>
      <c r="P257" s="17">
        <v>3261</v>
      </c>
      <c r="Q257" s="17">
        <v>14623</v>
      </c>
      <c r="R257" s="17">
        <v>48694</v>
      </c>
      <c r="S257" s="17">
        <v>152144</v>
      </c>
      <c r="T257" s="17">
        <v>356119</v>
      </c>
      <c r="U257" s="17">
        <v>560489</v>
      </c>
      <c r="V257" s="17">
        <v>246603</v>
      </c>
      <c r="W257" s="17">
        <v>299825</v>
      </c>
      <c r="X257" s="17">
        <v>27305</v>
      </c>
      <c r="Y257" s="17">
        <v>33924</v>
      </c>
      <c r="Z257" s="17">
        <v>3241</v>
      </c>
      <c r="AA257" s="17">
        <v>5465</v>
      </c>
      <c r="AB257" s="17">
        <v>257.758620689655</v>
      </c>
      <c r="AC257" s="17">
        <v>37335</v>
      </c>
      <c r="AD257" s="17">
        <v>0</v>
      </c>
      <c r="AE257" s="17">
        <v>4134</v>
      </c>
      <c r="AF257" s="17">
        <f t="shared" si="96"/>
        <v>4089113</v>
      </c>
      <c r="AG257" s="18">
        <f t="shared" si="97"/>
        <v>0.97709118912773996</v>
      </c>
      <c r="AH257" s="17">
        <f t="shared" si="98"/>
        <v>-95873.054014462978</v>
      </c>
      <c r="AI257" s="20">
        <f t="shared" si="99"/>
        <v>0.51567921132921324</v>
      </c>
      <c r="AJ257" s="20">
        <f t="shared" si="100"/>
        <v>7.3126037849472289E-2</v>
      </c>
      <c r="AK257" s="21">
        <f t="shared" si="197"/>
        <v>0.1009891401764374</v>
      </c>
      <c r="AL257" s="21">
        <f t="shared" si="101"/>
        <v>9.7500336983543434E-2</v>
      </c>
      <c r="AM257" s="31"/>
      <c r="AO257" s="38">
        <f t="shared" si="102"/>
        <v>46276</v>
      </c>
      <c r="AP257" s="17">
        <f>+Tabla22[[#This Row],[Web + APP 2025]]+Tabla22[[#This Row],[Afiliados 2025]]+Tabla22[[#This Row],[TMK 2025]]+Tabla22[[#This Row],[WA 2025]]+Tabla22[[#This Row],[Ent. en Tienda 2025]]</f>
        <v>2527557.6551724137</v>
      </c>
      <c r="AQ257" s="17">
        <f>+Tabla22[[#This Row],[Meli Drop 2025]]+Tabla22[[#This Row],[Meli Full 2025]]+Tabla22[[#This Row],[Amazon Drop 2025]]+Tabla22[[#This Row],[Amazon Full 2025]]+Tabla22[[#This Row],[TikTok 2025]]+Tabla22[[#This Row],[Shein 2025]]</f>
        <v>633525.75862068962</v>
      </c>
      <c r="AR257" s="17">
        <f t="shared" si="103"/>
        <v>3147941</v>
      </c>
      <c r="AS257" s="17">
        <f t="shared" si="104"/>
        <v>941172</v>
      </c>
      <c r="AT257" s="18">
        <f t="shared" si="105"/>
        <v>0.24544775212467607</v>
      </c>
      <c r="AU257" s="18">
        <f t="shared" si="106"/>
        <v>0.48560968073203026</v>
      </c>
      <c r="AV257" s="49">
        <f t="shared" si="107"/>
        <v>3289726.9989228998</v>
      </c>
      <c r="AW257" s="49">
        <f t="shared" si="108"/>
        <v>895259.05509156303</v>
      </c>
      <c r="AX257" s="39">
        <f t="shared" si="109"/>
        <v>0.95690037532922267</v>
      </c>
      <c r="AY257" s="39">
        <f t="shared" si="110"/>
        <v>1.0512845356294567</v>
      </c>
      <c r="AZ257" s="39">
        <f t="shared" si="111"/>
        <v>0.97709118912773996</v>
      </c>
      <c r="BA257" s="18">
        <v>2.8241610570711801E-2</v>
      </c>
      <c r="BB257" s="20">
        <v>2.7219415074557701E-2</v>
      </c>
      <c r="BC257" s="17">
        <f t="shared" si="214"/>
        <v>-141785.99892289983</v>
      </c>
      <c r="BD257" s="17">
        <f t="shared" si="214"/>
        <v>45912.94490843697</v>
      </c>
      <c r="BE257" s="17">
        <f t="shared" si="215"/>
        <v>620383.34482758632</v>
      </c>
      <c r="BF257" s="17">
        <f t="shared" si="215"/>
        <v>307646.24137931038</v>
      </c>
    </row>
    <row r="258" spans="1:58" ht="14.25" customHeight="1" x14ac:dyDescent="0.35">
      <c r="A258" s="16">
        <v>45912</v>
      </c>
      <c r="B258" s="17">
        <f>+'BD MD'!B257</f>
        <v>36893493</v>
      </c>
      <c r="C258" s="17">
        <f t="shared" si="94"/>
        <v>2697874.965517241</v>
      </c>
      <c r="D258" s="18">
        <f t="shared" si="196"/>
        <v>2.3400571820917117E-2</v>
      </c>
      <c r="E258" s="17">
        <v>54002972</v>
      </c>
      <c r="F258" s="19">
        <v>46277</v>
      </c>
      <c r="G258" s="17">
        <f t="shared" si="95"/>
        <v>3553299.6401585471</v>
      </c>
      <c r="H258" s="17">
        <v>3022745.76213062</v>
      </c>
      <c r="I258" s="17">
        <v>530553.87802792701</v>
      </c>
      <c r="J258" s="17">
        <v>2178584</v>
      </c>
      <c r="K258" s="17">
        <v>2513555</v>
      </c>
      <c r="L258" s="17">
        <v>26887.068965517199</v>
      </c>
      <c r="M258" s="17">
        <v>45190</v>
      </c>
      <c r="N258" s="17">
        <v>27326</v>
      </c>
      <c r="O258" s="17">
        <v>6769</v>
      </c>
      <c r="P258" s="17">
        <v>1339</v>
      </c>
      <c r="Q258" s="17">
        <v>4017</v>
      </c>
      <c r="R258" s="17">
        <v>88295</v>
      </c>
      <c r="S258" s="17">
        <v>138307</v>
      </c>
      <c r="T258" s="17">
        <v>120118</v>
      </c>
      <c r="U258" s="17">
        <v>181050</v>
      </c>
      <c r="V258" s="17">
        <v>219269</v>
      </c>
      <c r="W258" s="17">
        <v>162021</v>
      </c>
      <c r="X258" s="17">
        <v>32816</v>
      </c>
      <c r="Y258" s="17">
        <v>15193</v>
      </c>
      <c r="Z258" s="17">
        <v>2209</v>
      </c>
      <c r="AA258" s="17">
        <v>6535</v>
      </c>
      <c r="AB258" s="17">
        <v>1031.89655172414</v>
      </c>
      <c r="AC258" s="17">
        <v>19202</v>
      </c>
      <c r="AD258" s="17">
        <v>0</v>
      </c>
      <c r="AE258" s="17">
        <v>3445</v>
      </c>
      <c r="AF258" s="17">
        <f t="shared" si="96"/>
        <v>3095284</v>
      </c>
      <c r="AG258" s="18">
        <f t="shared" si="97"/>
        <v>0.87110131805880842</v>
      </c>
      <c r="AH258" s="17">
        <f t="shared" si="98"/>
        <v>-458015.64015854709</v>
      </c>
      <c r="AI258" s="20">
        <f t="shared" si="99"/>
        <v>0.14166306942144846</v>
      </c>
      <c r="AJ258" s="20">
        <f t="shared" si="100"/>
        <v>5.2984761813140803E-2</v>
      </c>
      <c r="AK258" s="21">
        <f t="shared" si="197"/>
        <v>5.7316919520651564E-2</v>
      </c>
      <c r="AL258" s="21">
        <f t="shared" si="101"/>
        <v>5.5373287853677677E-2</v>
      </c>
      <c r="AM258" s="31"/>
      <c r="AO258" s="38">
        <f t="shared" si="102"/>
        <v>46277</v>
      </c>
      <c r="AP258" s="17">
        <f>+Tabla22[[#This Row],[Web + APP 2025]]+Tabla22[[#This Row],[Afiliados 2025]]+Tabla22[[#This Row],[TMK 2025]]+Tabla22[[#This Row],[WA 2025]]+Tabla22[[#This Row],[Ent. en Tienda 2025]]</f>
        <v>2322431.068965517</v>
      </c>
      <c r="AQ258" s="17">
        <f>+Tabla22[[#This Row],[Meli Drop 2025]]+Tabla22[[#This Row],[Meli Full 2025]]+Tabla22[[#This Row],[Amazon Drop 2025]]+Tabla22[[#This Row],[Amazon Full 2025]]+Tabla22[[#This Row],[TikTok 2025]]+Tabla22[[#This Row],[Shein 2025]]</f>
        <v>375443.89655172412</v>
      </c>
      <c r="AR258" s="17">
        <f t="shared" si="103"/>
        <v>2707838</v>
      </c>
      <c r="AS258" s="17">
        <f t="shared" si="104"/>
        <v>387446</v>
      </c>
      <c r="AT258" s="18">
        <f t="shared" si="105"/>
        <v>0.16594978261557425</v>
      </c>
      <c r="AU258" s="18">
        <f t="shared" si="106"/>
        <v>3.1967768176575984E-2</v>
      </c>
      <c r="AV258" s="49">
        <f t="shared" si="107"/>
        <v>3022745.76213062</v>
      </c>
      <c r="AW258" s="49">
        <f t="shared" si="108"/>
        <v>530553.87802792701</v>
      </c>
      <c r="AX258" s="39">
        <f t="shared" si="109"/>
        <v>0.89582062571195098</v>
      </c>
      <c r="AY258" s="39">
        <f t="shared" si="110"/>
        <v>0.73026702102365149</v>
      </c>
      <c r="AZ258" s="39">
        <f t="shared" si="111"/>
        <v>0.87110131805880842</v>
      </c>
      <c r="BA258" s="18">
        <v>1.67367153952027E-2</v>
      </c>
      <c r="BB258" s="20">
        <v>2.50103949632394E-2</v>
      </c>
      <c r="BC258" s="17">
        <f t="shared" si="214"/>
        <v>-314907.76213061996</v>
      </c>
      <c r="BD258" s="17">
        <f t="shared" si="214"/>
        <v>-143107.87802792701</v>
      </c>
      <c r="BE258" s="17">
        <f t="shared" si="215"/>
        <v>385406.93103448302</v>
      </c>
      <c r="BF258" s="17">
        <f t="shared" si="215"/>
        <v>12002.103448275884</v>
      </c>
    </row>
    <row r="259" spans="1:58" ht="14.25" customHeight="1" x14ac:dyDescent="0.35">
      <c r="A259" s="19">
        <v>45913</v>
      </c>
      <c r="B259" s="17">
        <f>+'BD MD'!B258</f>
        <v>51169546</v>
      </c>
      <c r="C259" s="17">
        <f t="shared" si="94"/>
        <v>2711206.2068965519</v>
      </c>
      <c r="D259" s="18">
        <f t="shared" si="196"/>
        <v>2.3516203077126478E-2</v>
      </c>
      <c r="E259" s="17">
        <v>54261087</v>
      </c>
      <c r="F259" s="19">
        <v>46278</v>
      </c>
      <c r="G259" s="17">
        <f t="shared" si="95"/>
        <v>3618510.3301902404</v>
      </c>
      <c r="H259" s="17">
        <v>2481900.6800431302</v>
      </c>
      <c r="I259" s="17">
        <v>1136609.65014711</v>
      </c>
      <c r="J259" s="17">
        <v>1799983</v>
      </c>
      <c r="K259" s="17">
        <v>2633697</v>
      </c>
      <c r="L259" s="17">
        <v>29600.8620689655</v>
      </c>
      <c r="M259" s="17">
        <v>54180</v>
      </c>
      <c r="N259" s="17">
        <v>7912</v>
      </c>
      <c r="O259" s="17">
        <v>4878</v>
      </c>
      <c r="P259" s="17">
        <v>4922</v>
      </c>
      <c r="Q259" s="17">
        <v>2881</v>
      </c>
      <c r="R259" s="17">
        <v>64472</v>
      </c>
      <c r="S259" s="17">
        <v>121234</v>
      </c>
      <c r="T259" s="17">
        <v>592754</v>
      </c>
      <c r="U259" s="17">
        <v>715602</v>
      </c>
      <c r="V259" s="17">
        <v>169324</v>
      </c>
      <c r="W259" s="17">
        <v>185820</v>
      </c>
      <c r="X259" s="17">
        <v>37170</v>
      </c>
      <c r="Y259" s="17">
        <v>58760</v>
      </c>
      <c r="Z259" s="17">
        <v>3458</v>
      </c>
      <c r="AA259" s="17">
        <v>1939</v>
      </c>
      <c r="AB259" s="17">
        <v>576.72413793103499</v>
      </c>
      <c r="AC259" s="17">
        <v>65818</v>
      </c>
      <c r="AD259" s="17">
        <v>1033.6206896551701</v>
      </c>
      <c r="AE259" s="17">
        <v>6045</v>
      </c>
      <c r="AF259" s="17">
        <f t="shared" si="96"/>
        <v>3850854</v>
      </c>
      <c r="AG259" s="18">
        <f t="shared" si="97"/>
        <v>1.064209757222814</v>
      </c>
      <c r="AH259" s="17">
        <f t="shared" si="98"/>
        <v>232343.66980975959</v>
      </c>
      <c r="AI259" s="20">
        <f t="shared" si="99"/>
        <v>0.64840394862911577</v>
      </c>
      <c r="AJ259" s="20">
        <f t="shared" si="100"/>
        <v>4.7331187172263957E-2</v>
      </c>
      <c r="AK259" s="21">
        <f t="shared" si="197"/>
        <v>7.0968980035361257E-2</v>
      </c>
      <c r="AL259" s="21">
        <f t="shared" si="101"/>
        <v>9.9366452627453361E-2</v>
      </c>
      <c r="AM259" s="31"/>
      <c r="AO259" s="38">
        <f t="shared" si="102"/>
        <v>46278</v>
      </c>
      <c r="AP259" s="17">
        <f>+Tabla22[[#This Row],[Web + APP 2025]]+Tabla22[[#This Row],[Afiliados 2025]]+Tabla22[[#This Row],[TMK 2025]]+Tabla22[[#This Row],[WA 2025]]+Tabla22[[#This Row],[Ent. en Tienda 2025]]</f>
        <v>1906889.8620689656</v>
      </c>
      <c r="AQ259" s="17">
        <f>+Tabla22[[#This Row],[Meli Drop 2025]]+Tabla22[[#This Row],[Meli Full 2025]]+Tabla22[[#This Row],[Amazon Drop 2025]]+Tabla22[[#This Row],[Amazon Full 2025]]+Tabla22[[#This Row],[TikTok 2025]]+Tabla22[[#This Row],[Shein 2025]]</f>
        <v>804316.3448275862</v>
      </c>
      <c r="AR259" s="17">
        <f t="shared" si="103"/>
        <v>2816870</v>
      </c>
      <c r="AS259" s="17">
        <f t="shared" si="104"/>
        <v>1033984</v>
      </c>
      <c r="AT259" s="18">
        <f t="shared" si="105"/>
        <v>0.47720644806602031</v>
      </c>
      <c r="AU259" s="18">
        <f t="shared" si="106"/>
        <v>0.28554393634962816</v>
      </c>
      <c r="AV259" s="49">
        <f t="shared" si="107"/>
        <v>2481900.6800431302</v>
      </c>
      <c r="AW259" s="49">
        <f t="shared" si="108"/>
        <v>1136609.65014711</v>
      </c>
      <c r="AX259" s="39">
        <f t="shared" si="109"/>
        <v>1.1349648366876022</v>
      </c>
      <c r="AY259" s="39">
        <f t="shared" si="110"/>
        <v>0.90970897516678018</v>
      </c>
      <c r="AZ259" s="39">
        <f t="shared" si="111"/>
        <v>1.064209757222814</v>
      </c>
      <c r="BA259" s="18">
        <v>3.5855194010949901E-2</v>
      </c>
      <c r="BB259" s="20">
        <v>2.0535407590368399E-2</v>
      </c>
      <c r="BC259" s="17">
        <f t="shared" si="214"/>
        <v>334969.31995686982</v>
      </c>
      <c r="BD259" s="17">
        <f t="shared" si="214"/>
        <v>-102625.65014710999</v>
      </c>
      <c r="BE259" s="17">
        <f t="shared" si="215"/>
        <v>909980.13793103443</v>
      </c>
      <c r="BF259" s="17">
        <f t="shared" si="215"/>
        <v>229667.6551724138</v>
      </c>
    </row>
    <row r="260" spans="1:58" ht="14.25" customHeight="1" x14ac:dyDescent="0.35">
      <c r="A260" s="16">
        <v>45914</v>
      </c>
      <c r="B260" s="17">
        <f>+'BD MD'!B259</f>
        <v>49356688</v>
      </c>
      <c r="C260" s="17">
        <f t="shared" ref="C260:C323" si="216">+J260+L260+N260+P260+R260+T260+V260+X260+Z260+AB260+AD260</f>
        <v>2336110.6379310344</v>
      </c>
      <c r="D260" s="18">
        <f t="shared" si="196"/>
        <v>2.0262734731308407E-2</v>
      </c>
      <c r="E260" s="17">
        <v>35581461</v>
      </c>
      <c r="F260" s="19">
        <v>46279</v>
      </c>
      <c r="G260" s="17">
        <f t="shared" ref="G260:G323" si="217">+H260+I260</f>
        <v>4967720.0838129297</v>
      </c>
      <c r="H260" s="17">
        <v>3965889.5507743401</v>
      </c>
      <c r="I260" s="17">
        <v>1001830.53303859</v>
      </c>
      <c r="J260" s="17">
        <v>1780921</v>
      </c>
      <c r="K260" s="17">
        <v>3779157</v>
      </c>
      <c r="L260" s="17">
        <v>27704.310344827602</v>
      </c>
      <c r="M260" s="17">
        <v>40528</v>
      </c>
      <c r="N260" s="17">
        <v>12528</v>
      </c>
      <c r="O260" s="17">
        <v>39406</v>
      </c>
      <c r="P260" s="17">
        <v>4369</v>
      </c>
      <c r="Q260" s="17">
        <v>12423</v>
      </c>
      <c r="R260" s="17">
        <v>50344</v>
      </c>
      <c r="S260" s="17">
        <v>107758</v>
      </c>
      <c r="T260" s="17">
        <v>241106</v>
      </c>
      <c r="U260" s="17">
        <v>456778</v>
      </c>
      <c r="V260" s="17">
        <v>174010</v>
      </c>
      <c r="W260" s="17">
        <v>127198</v>
      </c>
      <c r="X260" s="17">
        <v>37039</v>
      </c>
      <c r="Y260" s="17">
        <v>42019</v>
      </c>
      <c r="Z260" s="17">
        <v>6282</v>
      </c>
      <c r="AA260" s="17">
        <v>7069</v>
      </c>
      <c r="AB260" s="17">
        <v>773.70689655172396</v>
      </c>
      <c r="AC260" s="17">
        <v>21201</v>
      </c>
      <c r="AD260" s="17">
        <v>1033.6206896551701</v>
      </c>
      <c r="AE260" s="17">
        <v>8181</v>
      </c>
      <c r="AF260" s="17">
        <f t="shared" ref="AF260:AF323" si="218">+AE260+AC260+AA260+Y260+W260+U260+S260+Q260+O260+M260+K260</f>
        <v>4641718</v>
      </c>
      <c r="AG260" s="18">
        <f t="shared" ref="AG260:AG323" si="219">+AF260/G260</f>
        <v>0.93437591524627339</v>
      </c>
      <c r="AH260" s="17">
        <f t="shared" ref="AH260:AH323" si="220">+AF260-G260</f>
        <v>-326002.08381292969</v>
      </c>
      <c r="AI260" s="20">
        <f t="shared" ref="AI260:AI323" si="221">+AF260/C261-1</f>
        <v>0.50406452158170634</v>
      </c>
      <c r="AJ260" s="20">
        <f t="shared" ref="AJ260:AJ323" si="222">+C261/B261</f>
        <v>0.11130421100196954</v>
      </c>
      <c r="AK260" s="21">
        <f t="shared" si="197"/>
        <v>0.1304532717192248</v>
      </c>
      <c r="AL260" s="21">
        <f t="shared" ref="AL260:AL323" si="223">+E260/B261-1</f>
        <v>0.28328490856880295</v>
      </c>
      <c r="AM260" s="31"/>
      <c r="AO260" s="38">
        <f t="shared" ref="AO260:AO323" si="224">+F260</f>
        <v>46279</v>
      </c>
      <c r="AP260" s="17">
        <f>+Tabla22[[#This Row],[Web + APP 2025]]+Tabla22[[#This Row],[Afiliados 2025]]+Tabla22[[#This Row],[TMK 2025]]+Tabla22[[#This Row],[WA 2025]]+Tabla22[[#This Row],[Ent. en Tienda 2025]]</f>
        <v>1875866.3103448276</v>
      </c>
      <c r="AQ260" s="17">
        <f>+Tabla22[[#This Row],[Meli Drop 2025]]+Tabla22[[#This Row],[Meli Full 2025]]+Tabla22[[#This Row],[Amazon Drop 2025]]+Tabla22[[#This Row],[Amazon Full 2025]]+Tabla22[[#This Row],[TikTok 2025]]+Tabla22[[#This Row],[Shein 2025]]</f>
        <v>460244.3275862069</v>
      </c>
      <c r="AR260" s="17">
        <f t="shared" ref="AR260:AR323" si="225">+K260+M260+O260+Q260+S260</f>
        <v>3979272</v>
      </c>
      <c r="AS260" s="17">
        <f t="shared" ref="AS260:AS323" si="226">+U260+W260+Y260+AA260+AC260+AE260</f>
        <v>662446</v>
      </c>
      <c r="AT260" s="18">
        <f t="shared" ref="AT260:AT323" si="227">+AR260/AP260-1</f>
        <v>1.1212982919174648</v>
      </c>
      <c r="AU260" s="18">
        <f t="shared" ref="AU260:AU323" si="228">+AS260/AQ260-1</f>
        <v>0.43933550137219091</v>
      </c>
      <c r="AV260" s="49">
        <f t="shared" ref="AV260:AV323" si="229">+H260</f>
        <v>3965889.5507743401</v>
      </c>
      <c r="AW260" s="49">
        <f t="shared" ref="AW260:AW323" si="230">+I260</f>
        <v>1001830.53303859</v>
      </c>
      <c r="AX260" s="39">
        <f t="shared" ref="AX260:AX323" si="231">+AR260/AV260</f>
        <v>1.0033743877771499</v>
      </c>
      <c r="AY260" s="39">
        <f t="shared" ref="AY260:AY323" si="232">+AS260/AW260</f>
        <v>0.66123558641278002</v>
      </c>
      <c r="AZ260" s="39">
        <f t="shared" ref="AZ260:AZ323" si="233">+(AR260+AS260)/(AV260+AW260)</f>
        <v>0.93437591524627339</v>
      </c>
      <c r="BA260" s="18">
        <v>2.0516989072974799E-2</v>
      </c>
      <c r="BB260" s="20">
        <v>2.02013131614092E-2</v>
      </c>
      <c r="BC260" s="17">
        <f t="shared" si="214"/>
        <v>13382.449225659948</v>
      </c>
      <c r="BD260" s="17">
        <f t="shared" si="214"/>
        <v>-339384.53303858999</v>
      </c>
      <c r="BE260" s="17">
        <f t="shared" si="215"/>
        <v>2103405.6896551726</v>
      </c>
      <c r="BF260" s="17">
        <f t="shared" si="215"/>
        <v>202201.6724137931</v>
      </c>
    </row>
    <row r="261" spans="1:58" ht="14.25" customHeight="1" x14ac:dyDescent="0.35">
      <c r="A261" s="19">
        <v>45915</v>
      </c>
      <c r="B261" s="17">
        <f>+'BD MD'!B260</f>
        <v>27726860</v>
      </c>
      <c r="C261" s="17">
        <f t="shared" si="216"/>
        <v>3086116.2758620689</v>
      </c>
      <c r="D261" s="18">
        <f t="shared" si="196"/>
        <v>2.6768062450650325E-2</v>
      </c>
      <c r="E261" s="17">
        <v>27689769</v>
      </c>
      <c r="F261" s="19">
        <v>46280</v>
      </c>
      <c r="G261" s="17">
        <f t="shared" si="217"/>
        <v>5282207.5297296103</v>
      </c>
      <c r="H261" s="17">
        <v>4255954.5196211003</v>
      </c>
      <c r="I261" s="17">
        <v>1026253.01010851</v>
      </c>
      <c r="J261" s="17">
        <v>2148281</v>
      </c>
      <c r="K261" s="17">
        <v>2887256</v>
      </c>
      <c r="L261" s="17">
        <v>18573.275862069</v>
      </c>
      <c r="M261" s="17">
        <v>35264</v>
      </c>
      <c r="N261" s="17">
        <v>21024</v>
      </c>
      <c r="O261" s="17">
        <v>19922</v>
      </c>
      <c r="P261" s="17">
        <v>2539</v>
      </c>
      <c r="Q261" s="17">
        <v>4232</v>
      </c>
      <c r="R261" s="17">
        <v>119375</v>
      </c>
      <c r="S261" s="17">
        <v>110075</v>
      </c>
      <c r="T261" s="17">
        <v>616987</v>
      </c>
      <c r="U261" s="17">
        <v>345272</v>
      </c>
      <c r="V261" s="17">
        <v>121950</v>
      </c>
      <c r="W261" s="17">
        <v>105758</v>
      </c>
      <c r="X261" s="17">
        <v>30964</v>
      </c>
      <c r="Y261" s="17">
        <v>40323</v>
      </c>
      <c r="Z261" s="17">
        <v>6423</v>
      </c>
      <c r="AA261" s="17">
        <v>4728</v>
      </c>
      <c r="AB261" s="17">
        <v>0</v>
      </c>
      <c r="AC261" s="17">
        <v>22439</v>
      </c>
      <c r="AD261" s="17">
        <v>0</v>
      </c>
      <c r="AE261" s="17">
        <v>3574</v>
      </c>
      <c r="AF261" s="17">
        <f t="shared" si="218"/>
        <v>3578843</v>
      </c>
      <c r="AG261" s="18">
        <f t="shared" si="219"/>
        <v>0.67752790473629809</v>
      </c>
      <c r="AH261" s="17">
        <f t="shared" si="220"/>
        <v>-1703364.5297296103</v>
      </c>
      <c r="AI261" s="20">
        <f t="shared" si="221"/>
        <v>0.11389427620175696</v>
      </c>
      <c r="AJ261" s="20">
        <f t="shared" si="222"/>
        <v>0.14324340261017793</v>
      </c>
      <c r="AK261" s="21">
        <f t="shared" si="197"/>
        <v>0.12924784601850597</v>
      </c>
      <c r="AL261" s="21">
        <f t="shared" si="223"/>
        <v>0.23451191788755366</v>
      </c>
      <c r="AM261" s="31"/>
      <c r="AO261" s="38">
        <f t="shared" si="224"/>
        <v>46280</v>
      </c>
      <c r="AP261" s="17">
        <f>+Tabla22[[#This Row],[Web + APP 2025]]+Tabla22[[#This Row],[Afiliados 2025]]+Tabla22[[#This Row],[TMK 2025]]+Tabla22[[#This Row],[WA 2025]]+Tabla22[[#This Row],[Ent. en Tienda 2025]]</f>
        <v>2309792.2758620689</v>
      </c>
      <c r="AQ261" s="17">
        <f>+Tabla22[[#This Row],[Meli Drop 2025]]+Tabla22[[#This Row],[Meli Full 2025]]+Tabla22[[#This Row],[Amazon Drop 2025]]+Tabla22[[#This Row],[Amazon Full 2025]]+Tabla22[[#This Row],[TikTok 2025]]+Tabla22[[#This Row],[Shein 2025]]</f>
        <v>776324</v>
      </c>
      <c r="AR261" s="17">
        <f t="shared" si="225"/>
        <v>3056749</v>
      </c>
      <c r="AS261" s="17">
        <f t="shared" si="226"/>
        <v>522094</v>
      </c>
      <c r="AT261" s="18">
        <f t="shared" si="227"/>
        <v>0.32338696944475198</v>
      </c>
      <c r="AU261" s="18">
        <f t="shared" si="228"/>
        <v>-0.32747924835506825</v>
      </c>
      <c r="AV261" s="49">
        <f t="shared" si="229"/>
        <v>4255954.5196211003</v>
      </c>
      <c r="AW261" s="49">
        <f t="shared" si="230"/>
        <v>1026253.01010851</v>
      </c>
      <c r="AX261" s="39">
        <f t="shared" si="231"/>
        <v>0.71822877474549152</v>
      </c>
      <c r="AY261" s="39">
        <f t="shared" si="232"/>
        <v>0.50873809368393164</v>
      </c>
      <c r="AZ261" s="39">
        <f t="shared" si="233"/>
        <v>0.67752790473629809</v>
      </c>
      <c r="BA261" s="18">
        <v>3.4607338038521902E-2</v>
      </c>
      <c r="BB261" s="20">
        <v>2.4874287066819999E-2</v>
      </c>
      <c r="BC261" s="17">
        <f t="shared" si="214"/>
        <v>-1199205.5196211003</v>
      </c>
      <c r="BD261" s="17">
        <f t="shared" si="214"/>
        <v>-504159.01010851003</v>
      </c>
      <c r="BE261" s="17">
        <f t="shared" si="215"/>
        <v>746956.72413793113</v>
      </c>
      <c r="BF261" s="17">
        <f t="shared" si="215"/>
        <v>-254230</v>
      </c>
    </row>
    <row r="262" spans="1:58" ht="14.25" customHeight="1" x14ac:dyDescent="0.35">
      <c r="A262" s="16">
        <v>45916</v>
      </c>
      <c r="B262" s="17">
        <f>+'BD MD'!B261</f>
        <v>22429730</v>
      </c>
      <c r="C262" s="17">
        <f t="shared" si="216"/>
        <v>3212910.8448275863</v>
      </c>
      <c r="D262" s="18">
        <f t="shared" si="196"/>
        <v>2.7867841148886241E-2</v>
      </c>
      <c r="E262" s="17">
        <v>25822362</v>
      </c>
      <c r="F262" s="19">
        <v>46281</v>
      </c>
      <c r="G262" s="17">
        <f t="shared" si="217"/>
        <v>4361061.8551802728</v>
      </c>
      <c r="H262" s="17">
        <v>3503971.3414703701</v>
      </c>
      <c r="I262" s="17">
        <v>857090.513709903</v>
      </c>
      <c r="J262" s="17">
        <v>2565352</v>
      </c>
      <c r="K262" s="17">
        <v>3017053</v>
      </c>
      <c r="L262" s="17">
        <v>27786.206896551699</v>
      </c>
      <c r="M262" s="17">
        <v>51909</v>
      </c>
      <c r="N262" s="17">
        <v>61867</v>
      </c>
      <c r="O262" s="17">
        <v>14516</v>
      </c>
      <c r="P262" s="17">
        <v>895</v>
      </c>
      <c r="Q262" s="17">
        <v>6927</v>
      </c>
      <c r="R262" s="17">
        <v>42777</v>
      </c>
      <c r="S262" s="17">
        <v>95484</v>
      </c>
      <c r="T262" s="17">
        <v>318804</v>
      </c>
      <c r="U262" s="17">
        <v>529899</v>
      </c>
      <c r="V262" s="17">
        <v>152090</v>
      </c>
      <c r="W262" s="17">
        <v>149538</v>
      </c>
      <c r="X262" s="17">
        <v>39436</v>
      </c>
      <c r="Y262" s="17">
        <v>38792</v>
      </c>
      <c r="Z262" s="17">
        <v>2132</v>
      </c>
      <c r="AA262" s="17">
        <v>1486</v>
      </c>
      <c r="AB262" s="17">
        <v>1771.6379310344801</v>
      </c>
      <c r="AC262" s="17">
        <v>26853</v>
      </c>
      <c r="AD262" s="17">
        <v>0</v>
      </c>
      <c r="AE262" s="17">
        <v>491</v>
      </c>
      <c r="AF262" s="17">
        <f t="shared" si="218"/>
        <v>3932948</v>
      </c>
      <c r="AG262" s="18">
        <f t="shared" si="219"/>
        <v>0.90183265695446646</v>
      </c>
      <c r="AH262" s="17">
        <f t="shared" si="220"/>
        <v>-428113.85518027283</v>
      </c>
      <c r="AI262" s="20">
        <f t="shared" si="221"/>
        <v>4.7108996906591427E-2</v>
      </c>
      <c r="AJ262" s="20">
        <f t="shared" si="222"/>
        <v>0.13515784763233887</v>
      </c>
      <c r="AK262" s="21">
        <f t="shared" si="197"/>
        <v>0.15230783303247009</v>
      </c>
      <c r="AL262" s="21">
        <f t="shared" si="223"/>
        <v>-7.0796324518772713E-2</v>
      </c>
      <c r="AM262" s="31"/>
      <c r="AO262" s="38">
        <f t="shared" si="224"/>
        <v>46281</v>
      </c>
      <c r="AP262" s="17">
        <f>+Tabla22[[#This Row],[Web + APP 2025]]+Tabla22[[#This Row],[Afiliados 2025]]+Tabla22[[#This Row],[TMK 2025]]+Tabla22[[#This Row],[WA 2025]]+Tabla22[[#This Row],[Ent. en Tienda 2025]]</f>
        <v>2698677.2068965519</v>
      </c>
      <c r="AQ262" s="17">
        <f>+Tabla22[[#This Row],[Meli Drop 2025]]+Tabla22[[#This Row],[Meli Full 2025]]+Tabla22[[#This Row],[Amazon Drop 2025]]+Tabla22[[#This Row],[Amazon Full 2025]]+Tabla22[[#This Row],[TikTok 2025]]+Tabla22[[#This Row],[Shein 2025]]</f>
        <v>514233.63793103449</v>
      </c>
      <c r="AR262" s="17">
        <f t="shared" si="225"/>
        <v>3185889</v>
      </c>
      <c r="AS262" s="17">
        <f t="shared" si="226"/>
        <v>747059</v>
      </c>
      <c r="AT262" s="18">
        <f t="shared" si="227"/>
        <v>0.18053726168448869</v>
      </c>
      <c r="AU262" s="18">
        <f t="shared" si="228"/>
        <v>0.45276182827267797</v>
      </c>
      <c r="AV262" s="49">
        <f t="shared" si="229"/>
        <v>3503971.3414703701</v>
      </c>
      <c r="AW262" s="49">
        <f t="shared" si="230"/>
        <v>857090.513709903</v>
      </c>
      <c r="AX262" s="39">
        <f t="shared" si="231"/>
        <v>0.9092223336116404</v>
      </c>
      <c r="AY262" s="39">
        <f t="shared" si="232"/>
        <v>0.87162206097272821</v>
      </c>
      <c r="AZ262" s="39">
        <f t="shared" si="233"/>
        <v>0.90183265695446646</v>
      </c>
      <c r="BA262" s="18">
        <v>2.2923750056237101E-2</v>
      </c>
      <c r="BB262" s="20">
        <v>2.9062211457943798E-2</v>
      </c>
      <c r="BC262" s="17">
        <f t="shared" si="214"/>
        <v>-318082.34147037007</v>
      </c>
      <c r="BD262" s="17">
        <f t="shared" si="214"/>
        <v>-110031.513709903</v>
      </c>
      <c r="BE262" s="17">
        <f t="shared" si="215"/>
        <v>487211.79310344812</v>
      </c>
      <c r="BF262" s="17">
        <f t="shared" si="215"/>
        <v>232825.36206896551</v>
      </c>
    </row>
    <row r="263" spans="1:58" ht="14.25" customHeight="1" x14ac:dyDescent="0.35">
      <c r="A263" s="19">
        <v>45917</v>
      </c>
      <c r="B263" s="17">
        <f>+'BD MD'!B262</f>
        <v>27789776</v>
      </c>
      <c r="C263" s="17">
        <f t="shared" si="216"/>
        <v>3756006.3103448274</v>
      </c>
      <c r="D263" s="18">
        <f t="shared" si="196"/>
        <v>3.2578491052564808E-2</v>
      </c>
      <c r="E263" s="17">
        <v>34826656</v>
      </c>
      <c r="F263" s="19">
        <v>46282</v>
      </c>
      <c r="G263" s="17">
        <f t="shared" si="217"/>
        <v>4239129.4675608054</v>
      </c>
      <c r="H263" s="17">
        <v>3512446.5907780901</v>
      </c>
      <c r="I263" s="17">
        <v>726682.87678271497</v>
      </c>
      <c r="J263" s="17">
        <v>2881595</v>
      </c>
      <c r="K263" s="17">
        <v>3371374</v>
      </c>
      <c r="L263" s="17">
        <v>29182.758620689699</v>
      </c>
      <c r="M263" s="17">
        <v>47470</v>
      </c>
      <c r="N263" s="17">
        <v>37711</v>
      </c>
      <c r="O263" s="17">
        <v>40640</v>
      </c>
      <c r="P263" s="17">
        <v>8906</v>
      </c>
      <c r="Q263" s="17">
        <v>4827</v>
      </c>
      <c r="R263" s="17">
        <v>89671</v>
      </c>
      <c r="S263" s="17">
        <v>102089</v>
      </c>
      <c r="T263" s="17">
        <v>560772</v>
      </c>
      <c r="U263" s="17">
        <v>502242</v>
      </c>
      <c r="V263" s="17">
        <v>112089</v>
      </c>
      <c r="W263" s="17">
        <v>148099</v>
      </c>
      <c r="X263" s="17">
        <v>30343</v>
      </c>
      <c r="Y263" s="17">
        <v>48000</v>
      </c>
      <c r="Z263" s="17">
        <v>5195</v>
      </c>
      <c r="AA263" s="17">
        <v>4858</v>
      </c>
      <c r="AB263" s="17">
        <v>885.51724137931001</v>
      </c>
      <c r="AC263" s="17">
        <v>25641</v>
      </c>
      <c r="AD263" s="17">
        <v>-343.96551724137902</v>
      </c>
      <c r="AE263" s="17">
        <v>1077</v>
      </c>
      <c r="AF263" s="17">
        <f t="shared" si="218"/>
        <v>4296317</v>
      </c>
      <c r="AG263" s="18">
        <f t="shared" si="219"/>
        <v>1.0134903953457455</v>
      </c>
      <c r="AH263" s="17">
        <f t="shared" si="220"/>
        <v>57187.53243919462</v>
      </c>
      <c r="AI263" s="20">
        <f t="shared" si="221"/>
        <v>7.5113778233104833E-2</v>
      </c>
      <c r="AJ263" s="20">
        <f t="shared" si="222"/>
        <v>0.11479893708704396</v>
      </c>
      <c r="AK263" s="21">
        <f t="shared" si="197"/>
        <v>0.12336289191819048</v>
      </c>
      <c r="AL263" s="21">
        <f t="shared" si="223"/>
        <v>4.7848319448440257E-4</v>
      </c>
      <c r="AM263" s="31"/>
      <c r="AO263" s="38">
        <f t="shared" si="224"/>
        <v>46282</v>
      </c>
      <c r="AP263" s="17">
        <f>+Tabla22[[#This Row],[Web + APP 2025]]+Tabla22[[#This Row],[Afiliados 2025]]+Tabla22[[#This Row],[TMK 2025]]+Tabla22[[#This Row],[WA 2025]]+Tabla22[[#This Row],[Ent. en Tienda 2025]]</f>
        <v>3047065.7586206896</v>
      </c>
      <c r="AQ263" s="17">
        <f>+Tabla22[[#This Row],[Meli Drop 2025]]+Tabla22[[#This Row],[Meli Full 2025]]+Tabla22[[#This Row],[Amazon Drop 2025]]+Tabla22[[#This Row],[Amazon Full 2025]]+Tabla22[[#This Row],[TikTok 2025]]+Tabla22[[#This Row],[Shein 2025]]</f>
        <v>708940.55172413797</v>
      </c>
      <c r="AR263" s="17">
        <f t="shared" si="225"/>
        <v>3566400</v>
      </c>
      <c r="AS263" s="17">
        <f t="shared" si="226"/>
        <v>729917</v>
      </c>
      <c r="AT263" s="18">
        <f t="shared" si="227"/>
        <v>0.17043749053003587</v>
      </c>
      <c r="AU263" s="18">
        <f t="shared" si="228"/>
        <v>2.9588444651455603E-2</v>
      </c>
      <c r="AV263" s="49">
        <f t="shared" si="229"/>
        <v>3512446.5907780901</v>
      </c>
      <c r="AW263" s="49">
        <f t="shared" si="230"/>
        <v>726682.87678271497</v>
      </c>
      <c r="AX263" s="39">
        <f t="shared" si="231"/>
        <v>1.0153606347676758</v>
      </c>
      <c r="AY263" s="39">
        <f t="shared" si="232"/>
        <v>1.0044505290004955</v>
      </c>
      <c r="AZ263" s="39">
        <f t="shared" si="233"/>
        <v>1.0134903953457455</v>
      </c>
      <c r="BA263" s="18">
        <v>3.1603486846643297E-2</v>
      </c>
      <c r="BB263" s="20">
        <v>3.2814027990080097E-2</v>
      </c>
      <c r="BC263" s="17">
        <f t="shared" ref="BC263:BC266" si="234">+AR263-AV263</f>
        <v>53953.40922190994</v>
      </c>
      <c r="BD263" s="17">
        <f t="shared" ref="BD263:BD266" si="235">+AS263-AW263</f>
        <v>3234.1232172850287</v>
      </c>
      <c r="BE263" s="17">
        <f t="shared" ref="BE263:BE266" si="236">AR263-AP263</f>
        <v>519334.24137931038</v>
      </c>
      <c r="BF263" s="17">
        <f t="shared" ref="BF263:BF266" si="237">AS263-AQ263</f>
        <v>20976.448275862029</v>
      </c>
    </row>
    <row r="264" spans="1:58" ht="14.25" customHeight="1" x14ac:dyDescent="0.35">
      <c r="A264" s="16">
        <v>45918</v>
      </c>
      <c r="B264" s="17">
        <f>+'BD MD'!B263</f>
        <v>34810000</v>
      </c>
      <c r="C264" s="17">
        <f t="shared" si="216"/>
        <v>3996151</v>
      </c>
      <c r="D264" s="18">
        <f t="shared" si="196"/>
        <v>3.4661435269592429E-2</v>
      </c>
      <c r="E264" s="17">
        <v>37710655</v>
      </c>
      <c r="F264" s="19">
        <v>46283</v>
      </c>
      <c r="G264" s="17">
        <f t="shared" si="217"/>
        <v>4103348.4351300402</v>
      </c>
      <c r="H264" s="17">
        <v>3006295.81930889</v>
      </c>
      <c r="I264" s="17">
        <v>1097052.6158211499</v>
      </c>
      <c r="J264" s="17">
        <v>3137096</v>
      </c>
      <c r="K264" s="17">
        <v>2976604</v>
      </c>
      <c r="L264" s="17">
        <v>30500</v>
      </c>
      <c r="M264" s="17">
        <v>45052</v>
      </c>
      <c r="N264" s="17">
        <v>48555</v>
      </c>
      <c r="O264" s="17">
        <v>45739</v>
      </c>
      <c r="P264" s="17">
        <v>554</v>
      </c>
      <c r="Q264" s="17">
        <v>12969</v>
      </c>
      <c r="R264" s="17">
        <v>53223</v>
      </c>
      <c r="S264" s="17">
        <v>113494</v>
      </c>
      <c r="T264" s="17">
        <v>582614</v>
      </c>
      <c r="U264" s="17">
        <v>360057</v>
      </c>
      <c r="V264" s="17">
        <v>109550</v>
      </c>
      <c r="W264" s="17">
        <v>264636</v>
      </c>
      <c r="X264" s="17">
        <v>24701</v>
      </c>
      <c r="Y264" s="17">
        <v>23309</v>
      </c>
      <c r="Z264" s="17">
        <v>9358</v>
      </c>
      <c r="AA264" s="17">
        <v>2111</v>
      </c>
      <c r="AB264" s="17">
        <v>0</v>
      </c>
      <c r="AC264" s="17">
        <v>37522</v>
      </c>
      <c r="AD264" s="17">
        <v>0</v>
      </c>
      <c r="AE264" s="17">
        <v>2239</v>
      </c>
      <c r="AF264" s="17">
        <f t="shared" si="218"/>
        <v>3883732</v>
      </c>
      <c r="AG264" s="18">
        <f t="shared" si="219"/>
        <v>0.94647872619106976</v>
      </c>
      <c r="AH264" s="17">
        <f t="shared" si="220"/>
        <v>-219616.43513004016</v>
      </c>
      <c r="AI264" s="20">
        <f t="shared" si="221"/>
        <v>0.17735889631952806</v>
      </c>
      <c r="AJ264" s="20">
        <f t="shared" si="222"/>
        <v>9.112243630224505E-2</v>
      </c>
      <c r="AK264" s="21">
        <f t="shared" si="197"/>
        <v>0.10298765693674639</v>
      </c>
      <c r="AL264" s="21">
        <f t="shared" si="223"/>
        <v>4.1715232929806279E-2</v>
      </c>
      <c r="AM264" s="31"/>
      <c r="AO264" s="38">
        <f t="shared" si="224"/>
        <v>46283</v>
      </c>
      <c r="AP264" s="17">
        <f>+Tabla22[[#This Row],[Web + APP 2025]]+Tabla22[[#This Row],[Afiliados 2025]]+Tabla22[[#This Row],[TMK 2025]]+Tabla22[[#This Row],[WA 2025]]+Tabla22[[#This Row],[Ent. en Tienda 2025]]</f>
        <v>3269928</v>
      </c>
      <c r="AQ264" s="17">
        <f>+Tabla22[[#This Row],[Meli Drop 2025]]+Tabla22[[#This Row],[Meli Full 2025]]+Tabla22[[#This Row],[Amazon Drop 2025]]+Tabla22[[#This Row],[Amazon Full 2025]]+Tabla22[[#This Row],[TikTok 2025]]+Tabla22[[#This Row],[Shein 2025]]</f>
        <v>726223</v>
      </c>
      <c r="AR264" s="17">
        <f t="shared" si="225"/>
        <v>3193858</v>
      </c>
      <c r="AS264" s="17">
        <f t="shared" si="226"/>
        <v>689874</v>
      </c>
      <c r="AT264" s="18">
        <f t="shared" si="227"/>
        <v>-2.3263509165951102E-2</v>
      </c>
      <c r="AU264" s="18">
        <f t="shared" si="228"/>
        <v>-5.0052118977228721E-2</v>
      </c>
      <c r="AV264" s="49">
        <f t="shared" si="229"/>
        <v>3006295.81930889</v>
      </c>
      <c r="AW264" s="49">
        <f t="shared" si="230"/>
        <v>1097052.6158211499</v>
      </c>
      <c r="AX264" s="39">
        <f t="shared" si="231"/>
        <v>1.0623897952711214</v>
      </c>
      <c r="AY264" s="39">
        <f t="shared" si="232"/>
        <v>0.62884312935494491</v>
      </c>
      <c r="AZ264" s="39">
        <f t="shared" si="233"/>
        <v>0.94647872619106976</v>
      </c>
      <c r="BA264" s="18">
        <v>3.23739119908047E-2</v>
      </c>
      <c r="BB264" s="20">
        <v>3.5214044401233303E-2</v>
      </c>
      <c r="BC264" s="17">
        <f t="shared" si="234"/>
        <v>187562.18069110997</v>
      </c>
      <c r="BD264" s="17">
        <f t="shared" si="235"/>
        <v>-407178.6158211499</v>
      </c>
      <c r="BE264" s="17">
        <f t="shared" si="236"/>
        <v>-76070</v>
      </c>
      <c r="BF264" s="17">
        <f t="shared" si="237"/>
        <v>-36349</v>
      </c>
    </row>
    <row r="265" spans="1:58" ht="14.25" customHeight="1" x14ac:dyDescent="0.35">
      <c r="A265" s="19">
        <v>45919</v>
      </c>
      <c r="B265" s="17">
        <f>+'BD MD'!B264</f>
        <v>36200541</v>
      </c>
      <c r="C265" s="17">
        <f t="shared" si="216"/>
        <v>3298681.4913793104</v>
      </c>
      <c r="D265" s="18">
        <f t="shared" si="196"/>
        <v>2.8611790442464907E-2</v>
      </c>
      <c r="E265" s="17">
        <v>50738084</v>
      </c>
      <c r="F265" s="19">
        <v>46284</v>
      </c>
      <c r="G265" s="17">
        <f t="shared" si="217"/>
        <v>3091910.722210601</v>
      </c>
      <c r="H265" s="17">
        <v>2441522.1685973001</v>
      </c>
      <c r="I265" s="17">
        <v>650388.55361330102</v>
      </c>
      <c r="J265" s="17">
        <v>2528021</v>
      </c>
      <c r="K265" s="17">
        <v>2832509</v>
      </c>
      <c r="L265" s="17">
        <v>32440.517241379301</v>
      </c>
      <c r="M265" s="17">
        <v>50268</v>
      </c>
      <c r="N265" s="17">
        <v>31205</v>
      </c>
      <c r="O265" s="17">
        <v>289</v>
      </c>
      <c r="P265" s="17">
        <v>6171</v>
      </c>
      <c r="Q265" s="17">
        <v>4622</v>
      </c>
      <c r="R265" s="17">
        <v>94328</v>
      </c>
      <c r="S265" s="17">
        <v>121150</v>
      </c>
      <c r="T265" s="17">
        <v>458250</v>
      </c>
      <c r="U265" s="17">
        <v>366847</v>
      </c>
      <c r="V265" s="17">
        <v>104253</v>
      </c>
      <c r="W265" s="17">
        <v>260109</v>
      </c>
      <c r="X265" s="17">
        <v>32064</v>
      </c>
      <c r="Y265" s="17">
        <v>29761</v>
      </c>
      <c r="Z265" s="17">
        <v>11786</v>
      </c>
      <c r="AA265" s="17">
        <v>4759</v>
      </c>
      <c r="AB265" s="17">
        <v>162.97413793103499</v>
      </c>
      <c r="AC265" s="17">
        <v>15674</v>
      </c>
      <c r="AD265" s="17">
        <v>0</v>
      </c>
      <c r="AE265" s="17">
        <v>3272</v>
      </c>
      <c r="AF265" s="17">
        <f t="shared" si="218"/>
        <v>3689260</v>
      </c>
      <c r="AG265" s="18">
        <f t="shared" si="219"/>
        <v>1.1931974534382146</v>
      </c>
      <c r="AH265" s="17">
        <f t="shared" si="220"/>
        <v>597349.27778939903</v>
      </c>
      <c r="AI265" s="20">
        <f t="shared" si="221"/>
        <v>0.14776776104867739</v>
      </c>
      <c r="AJ265" s="20">
        <f t="shared" si="222"/>
        <v>6.4863648186702011E-2</v>
      </c>
      <c r="AK265" s="21">
        <f t="shared" si="197"/>
        <v>7.2711850924445626E-2</v>
      </c>
      <c r="AL265" s="21">
        <f t="shared" si="223"/>
        <v>2.3882672579176756E-2</v>
      </c>
      <c r="AM265" s="31"/>
      <c r="AO265" s="38">
        <f t="shared" si="224"/>
        <v>46284</v>
      </c>
      <c r="AP265" s="17">
        <f>+Tabla22[[#This Row],[Web + APP 2025]]+Tabla22[[#This Row],[Afiliados 2025]]+Tabla22[[#This Row],[TMK 2025]]+Tabla22[[#This Row],[WA 2025]]+Tabla22[[#This Row],[Ent. en Tienda 2025]]</f>
        <v>2692165.5172413792</v>
      </c>
      <c r="AQ265" s="17">
        <f>+Tabla22[[#This Row],[Meli Drop 2025]]+Tabla22[[#This Row],[Meli Full 2025]]+Tabla22[[#This Row],[Amazon Drop 2025]]+Tabla22[[#This Row],[Amazon Full 2025]]+Tabla22[[#This Row],[TikTok 2025]]+Tabla22[[#This Row],[Shein 2025]]</f>
        <v>606515.97413793101</v>
      </c>
      <c r="AR265" s="17">
        <f t="shared" si="225"/>
        <v>3008838</v>
      </c>
      <c r="AS265" s="17">
        <f t="shared" si="226"/>
        <v>680422</v>
      </c>
      <c r="AT265" s="18">
        <f t="shared" si="227"/>
        <v>0.11762741953663758</v>
      </c>
      <c r="AU265" s="18">
        <f t="shared" si="228"/>
        <v>0.12185338723702199</v>
      </c>
      <c r="AV265" s="49">
        <f t="shared" si="229"/>
        <v>2441522.1685973001</v>
      </c>
      <c r="AW265" s="49">
        <f t="shared" si="230"/>
        <v>650388.55361330102</v>
      </c>
      <c r="AX265" s="39">
        <f t="shared" si="231"/>
        <v>1.2323615319571861</v>
      </c>
      <c r="AY265" s="39">
        <f t="shared" si="232"/>
        <v>1.0461776982695115</v>
      </c>
      <c r="AZ265" s="39">
        <f t="shared" si="233"/>
        <v>1.1931974534382146</v>
      </c>
      <c r="BA265" s="18">
        <v>2.70375556375364E-2</v>
      </c>
      <c r="BB265" s="20">
        <v>2.8992086694143399E-2</v>
      </c>
      <c r="BC265" s="17">
        <f t="shared" si="234"/>
        <v>567315.83140269993</v>
      </c>
      <c r="BD265" s="17">
        <f t="shared" si="235"/>
        <v>30033.446386698983</v>
      </c>
      <c r="BE265" s="17">
        <f t="shared" si="236"/>
        <v>316672.48275862075</v>
      </c>
      <c r="BF265" s="17">
        <f t="shared" si="237"/>
        <v>73906.025862068986</v>
      </c>
    </row>
    <row r="266" spans="1:58" ht="14.25" customHeight="1" x14ac:dyDescent="0.35">
      <c r="A266" s="16">
        <v>45920</v>
      </c>
      <c r="B266" s="17">
        <f>+'BD MD'!B265</f>
        <v>49554588</v>
      </c>
      <c r="C266" s="17">
        <f t="shared" si="216"/>
        <v>3214291.3620689656</v>
      </c>
      <c r="D266" s="18">
        <f t="shared" si="196"/>
        <v>2.7879815348309793E-2</v>
      </c>
      <c r="E266" s="17">
        <v>50714241</v>
      </c>
      <c r="F266" s="19">
        <v>46285</v>
      </c>
      <c r="G266" s="17">
        <f t="shared" si="217"/>
        <v>4245549.8398925532</v>
      </c>
      <c r="H266" s="17">
        <v>3460317.6521310401</v>
      </c>
      <c r="I266" s="17">
        <v>785232.18776151305</v>
      </c>
      <c r="J266" s="17">
        <v>2508912</v>
      </c>
      <c r="K266" s="17">
        <v>3153105</v>
      </c>
      <c r="L266" s="17">
        <v>33902.5862068965</v>
      </c>
      <c r="M266" s="17">
        <v>54916</v>
      </c>
      <c r="N266" s="17">
        <v>41569</v>
      </c>
      <c r="O266" s="17">
        <v>13513</v>
      </c>
      <c r="P266" s="17">
        <v>834</v>
      </c>
      <c r="Q266" s="17">
        <v>5859</v>
      </c>
      <c r="R266" s="17">
        <v>73408</v>
      </c>
      <c r="S266" s="17">
        <v>128472</v>
      </c>
      <c r="T266" s="17">
        <v>439924</v>
      </c>
      <c r="U266" s="17">
        <v>409226</v>
      </c>
      <c r="V266" s="17">
        <v>75203</v>
      </c>
      <c r="W266" s="17">
        <v>267109</v>
      </c>
      <c r="X266" s="17">
        <v>28962</v>
      </c>
      <c r="Y266" s="17">
        <v>44591</v>
      </c>
      <c r="Z266" s="17">
        <v>9571</v>
      </c>
      <c r="AA266" s="17">
        <v>1420</v>
      </c>
      <c r="AB266" s="17">
        <v>714.39655172413802</v>
      </c>
      <c r="AC266" s="17">
        <v>14426</v>
      </c>
      <c r="AD266" s="17">
        <v>1291.3793103448299</v>
      </c>
      <c r="AE266" s="17">
        <v>6761</v>
      </c>
      <c r="AF266" s="17">
        <f t="shared" si="218"/>
        <v>4099398</v>
      </c>
      <c r="AG266" s="18">
        <f t="shared" si="219"/>
        <v>0.9655752857923694</v>
      </c>
      <c r="AH266" s="17">
        <f t="shared" si="220"/>
        <v>-146151.83989255317</v>
      </c>
      <c r="AI266" s="20">
        <f t="shared" si="221"/>
        <v>8.7800257058687325E-2</v>
      </c>
      <c r="AJ266" s="20">
        <f t="shared" si="222"/>
        <v>7.5517659242318791E-2</v>
      </c>
      <c r="AK266" s="21">
        <f t="shared" si="197"/>
        <v>8.0833271269898324E-2</v>
      </c>
      <c r="AL266" s="21">
        <f t="shared" si="223"/>
        <v>1.6266295372064699E-2</v>
      </c>
      <c r="AM266" s="31"/>
      <c r="AO266" s="38">
        <f t="shared" si="224"/>
        <v>46285</v>
      </c>
      <c r="AP266" s="17">
        <f>+Tabla22[[#This Row],[Web + APP 2025]]+Tabla22[[#This Row],[Afiliados 2025]]+Tabla22[[#This Row],[TMK 2025]]+Tabla22[[#This Row],[WA 2025]]+Tabla22[[#This Row],[Ent. en Tienda 2025]]</f>
        <v>2658625.5862068967</v>
      </c>
      <c r="AQ266" s="17">
        <f>+Tabla22[[#This Row],[Meli Drop 2025]]+Tabla22[[#This Row],[Meli Full 2025]]+Tabla22[[#This Row],[Amazon Drop 2025]]+Tabla22[[#This Row],[Amazon Full 2025]]+Tabla22[[#This Row],[TikTok 2025]]+Tabla22[[#This Row],[Shein 2025]]</f>
        <v>555665.77586206899</v>
      </c>
      <c r="AR266" s="17">
        <f t="shared" si="225"/>
        <v>3355865</v>
      </c>
      <c r="AS266" s="17">
        <f t="shared" si="226"/>
        <v>743533</v>
      </c>
      <c r="AT266" s="18">
        <f t="shared" si="227"/>
        <v>0.26225558702602636</v>
      </c>
      <c r="AU266" s="18">
        <f t="shared" si="228"/>
        <v>0.33809392677904393</v>
      </c>
      <c r="AV266" s="49">
        <f t="shared" si="229"/>
        <v>3460317.6521310401</v>
      </c>
      <c r="AW266" s="49">
        <f t="shared" si="230"/>
        <v>785232.18776151305</v>
      </c>
      <c r="AX266" s="39">
        <f t="shared" si="231"/>
        <v>0.96981414348861505</v>
      </c>
      <c r="AY266" s="39">
        <f t="shared" si="232"/>
        <v>0.94689572280475887</v>
      </c>
      <c r="AZ266" s="39">
        <f t="shared" si="233"/>
        <v>0.9655752857923694</v>
      </c>
      <c r="BA266" s="18">
        <v>2.4770731475126598E-2</v>
      </c>
      <c r="BB266" s="20">
        <v>2.86308932303538E-2</v>
      </c>
      <c r="BC266" s="17">
        <f t="shared" si="234"/>
        <v>-104452.65213104011</v>
      </c>
      <c r="BD266" s="17">
        <f t="shared" si="235"/>
        <v>-41699.187761513051</v>
      </c>
      <c r="BE266" s="17">
        <f t="shared" si="236"/>
        <v>697239.4137931033</v>
      </c>
      <c r="BF266" s="17">
        <f t="shared" si="237"/>
        <v>187867.22413793101</v>
      </c>
    </row>
    <row r="267" spans="1:58" ht="14.25" customHeight="1" x14ac:dyDescent="0.35">
      <c r="A267" s="19">
        <v>45921</v>
      </c>
      <c r="B267" s="17">
        <f>+'BD MD'!B266</f>
        <v>49902512</v>
      </c>
      <c r="C267" s="17">
        <f t="shared" si="216"/>
        <v>3768520.8965517241</v>
      </c>
      <c r="D267" s="18">
        <f t="shared" si="196"/>
        <v>3.2687038882648331E-2</v>
      </c>
      <c r="E267" s="17">
        <v>31058679</v>
      </c>
      <c r="F267" s="19">
        <v>46286</v>
      </c>
      <c r="G267" s="17">
        <f t="shared" si="217"/>
        <v>6691164.0781895295</v>
      </c>
      <c r="H267" s="17">
        <v>4911835.9222691599</v>
      </c>
      <c r="I267" s="17">
        <v>1779328.15592037</v>
      </c>
      <c r="J267" s="17">
        <v>3005335</v>
      </c>
      <c r="K267" s="17">
        <v>4321094</v>
      </c>
      <c r="L267" s="17">
        <v>40560.344827586203</v>
      </c>
      <c r="M267" s="17">
        <v>36627</v>
      </c>
      <c r="N267" s="17">
        <v>7591</v>
      </c>
      <c r="O267" s="17">
        <v>22436</v>
      </c>
      <c r="P267" s="17">
        <v>8870</v>
      </c>
      <c r="Q267" s="17">
        <v>20330</v>
      </c>
      <c r="R267" s="17">
        <v>114424</v>
      </c>
      <c r="S267" s="17">
        <v>176536</v>
      </c>
      <c r="T267" s="17">
        <v>457192</v>
      </c>
      <c r="U267" s="17">
        <v>452289</v>
      </c>
      <c r="V267" s="17">
        <v>90772</v>
      </c>
      <c r="W267" s="17">
        <v>251202</v>
      </c>
      <c r="X267" s="17">
        <v>35716</v>
      </c>
      <c r="Y267" s="17">
        <v>28276</v>
      </c>
      <c r="Z267" s="17">
        <v>7889</v>
      </c>
      <c r="AA267" s="17">
        <v>2779</v>
      </c>
      <c r="AB267" s="17">
        <v>171.55172413793099</v>
      </c>
      <c r="AC267" s="17">
        <v>13093</v>
      </c>
      <c r="AD267" s="17">
        <v>0</v>
      </c>
      <c r="AE267" s="17">
        <v>5659</v>
      </c>
      <c r="AF267" s="17">
        <f t="shared" si="218"/>
        <v>5330321</v>
      </c>
      <c r="AG267" s="18">
        <f t="shared" si="219"/>
        <v>0.79662087758013234</v>
      </c>
      <c r="AH267" s="17">
        <f t="shared" si="220"/>
        <v>-1360843.0781895295</v>
      </c>
      <c r="AI267" s="20">
        <f t="shared" si="221"/>
        <v>1.322412846014176E-2</v>
      </c>
      <c r="AJ267" s="20">
        <f t="shared" si="222"/>
        <v>0.17991389026770591</v>
      </c>
      <c r="AK267" s="21">
        <f t="shared" si="197"/>
        <v>0.17162098233476059</v>
      </c>
      <c r="AL267" s="21">
        <f t="shared" si="223"/>
        <v>6.2184193240384156E-2</v>
      </c>
      <c r="AM267" s="31"/>
      <c r="AO267" s="38">
        <f t="shared" si="224"/>
        <v>46286</v>
      </c>
      <c r="AP267" s="17">
        <f>+Tabla22[[#This Row],[Web + APP 2025]]+Tabla22[[#This Row],[Afiliados 2025]]+Tabla22[[#This Row],[TMK 2025]]+Tabla22[[#This Row],[WA 2025]]+Tabla22[[#This Row],[Ent. en Tienda 2025]]</f>
        <v>3176780.3448275863</v>
      </c>
      <c r="AQ267" s="17">
        <f>+Tabla22[[#This Row],[Meli Drop 2025]]+Tabla22[[#This Row],[Meli Full 2025]]+Tabla22[[#This Row],[Amazon Drop 2025]]+Tabla22[[#This Row],[Amazon Full 2025]]+Tabla22[[#This Row],[TikTok 2025]]+Tabla22[[#This Row],[Shein 2025]]</f>
        <v>591740.55172413797</v>
      </c>
      <c r="AR267" s="17">
        <f t="shared" si="225"/>
        <v>4577023</v>
      </c>
      <c r="AS267" s="17">
        <f t="shared" si="226"/>
        <v>753298</v>
      </c>
      <c r="AT267" s="18">
        <f t="shared" si="227"/>
        <v>0.44077414966769113</v>
      </c>
      <c r="AU267" s="18">
        <f t="shared" si="228"/>
        <v>0.27302074837551116</v>
      </c>
      <c r="AV267" s="49">
        <f t="shared" si="229"/>
        <v>4911835.9222691599</v>
      </c>
      <c r="AW267" s="49">
        <f t="shared" si="230"/>
        <v>1779328.15592037</v>
      </c>
      <c r="AX267" s="39">
        <f t="shared" si="231"/>
        <v>0.93183548319454368</v>
      </c>
      <c r="AY267" s="39">
        <f t="shared" si="232"/>
        <v>0.42336091714928847</v>
      </c>
      <c r="AZ267" s="39">
        <f t="shared" si="233"/>
        <v>0.79662087758013234</v>
      </c>
      <c r="BA267" s="18">
        <v>2.63788898766735E-2</v>
      </c>
      <c r="BB267" s="20">
        <v>3.4210931896887002E-2</v>
      </c>
      <c r="BC267" s="17">
        <f t="shared" ref="BC267" si="238">+AR267-AV267</f>
        <v>-334812.92226915993</v>
      </c>
      <c r="BD267" s="17">
        <f t="shared" ref="BD267" si="239">+AS267-AW267</f>
        <v>-1026030.15592037</v>
      </c>
      <c r="BE267" s="17">
        <f t="shared" ref="BE267" si="240">AR267-AP267</f>
        <v>1400242.6551724137</v>
      </c>
      <c r="BF267" s="17">
        <f t="shared" ref="BF267" si="241">AS267-AQ267</f>
        <v>161557.44827586203</v>
      </c>
    </row>
    <row r="268" spans="1:58" ht="14.25" customHeight="1" x14ac:dyDescent="0.35">
      <c r="A268" s="16">
        <v>45922</v>
      </c>
      <c r="B268" s="17">
        <f>+'BD MD'!B267</f>
        <v>29240389</v>
      </c>
      <c r="C268" s="17">
        <f t="shared" si="216"/>
        <v>5260752.1379310349</v>
      </c>
      <c r="D268" s="18">
        <f t="shared" si="196"/>
        <v>4.5630212596637749E-2</v>
      </c>
      <c r="E268" s="17">
        <v>31976240</v>
      </c>
      <c r="F268" s="19">
        <v>46287</v>
      </c>
      <c r="G268" s="17">
        <f t="shared" si="217"/>
        <v>6941785.4112114906</v>
      </c>
      <c r="H268" s="17">
        <v>5742753.9171086904</v>
      </c>
      <c r="I268" s="17">
        <v>1199031.4941028</v>
      </c>
      <c r="J268" s="17">
        <v>4228644</v>
      </c>
      <c r="K268" s="17">
        <v>4287790</v>
      </c>
      <c r="L268" s="17">
        <v>30948.275862069</v>
      </c>
      <c r="M268" s="17">
        <v>38529</v>
      </c>
      <c r="N268" s="17">
        <v>30977</v>
      </c>
      <c r="O268" s="17">
        <v>36826</v>
      </c>
      <c r="P268" s="17">
        <v>3889</v>
      </c>
      <c r="Q268" s="17">
        <v>953</v>
      </c>
      <c r="R268" s="17">
        <v>117805</v>
      </c>
      <c r="S268" s="17">
        <v>121356</v>
      </c>
      <c r="T268" s="17">
        <v>708970</v>
      </c>
      <c r="U268" s="17">
        <v>406577</v>
      </c>
      <c r="V268" s="17">
        <v>87697</v>
      </c>
      <c r="W268" s="17">
        <v>254184</v>
      </c>
      <c r="X268" s="17">
        <v>40001</v>
      </c>
      <c r="Y268" s="17">
        <v>30081</v>
      </c>
      <c r="Z268" s="17">
        <v>9770</v>
      </c>
      <c r="AA268" s="17">
        <v>5533</v>
      </c>
      <c r="AB268" s="17">
        <v>1103.44827586207</v>
      </c>
      <c r="AC268" s="17">
        <v>887</v>
      </c>
      <c r="AD268" s="17">
        <v>947.41379310344803</v>
      </c>
      <c r="AE268" s="17">
        <v>344</v>
      </c>
      <c r="AF268" s="17">
        <f t="shared" si="218"/>
        <v>5183060</v>
      </c>
      <c r="AG268" s="18">
        <f t="shared" si="219"/>
        <v>0.74664653154345273</v>
      </c>
      <c r="AH268" s="17">
        <f t="shared" si="220"/>
        <v>-1758725.4112114906</v>
      </c>
      <c r="AI268" s="20">
        <f t="shared" si="221"/>
        <v>0.2283507168461254</v>
      </c>
      <c r="AJ268" s="20">
        <f t="shared" si="222"/>
        <v>0.13989631202743075</v>
      </c>
      <c r="AK268" s="21">
        <f t="shared" si="197"/>
        <v>0.16209097755083149</v>
      </c>
      <c r="AL268" s="21">
        <f t="shared" si="223"/>
        <v>6.0156078762215293E-2</v>
      </c>
      <c r="AM268" s="31"/>
      <c r="AO268" s="38">
        <f t="shared" si="224"/>
        <v>46287</v>
      </c>
      <c r="AP268" s="17">
        <f>+Tabla22[[#This Row],[Web + APP 2025]]+Tabla22[[#This Row],[Afiliados 2025]]+Tabla22[[#This Row],[TMK 2025]]+Tabla22[[#This Row],[WA 2025]]+Tabla22[[#This Row],[Ent. en Tienda 2025]]</f>
        <v>4412263.2758620689</v>
      </c>
      <c r="AQ268" s="17">
        <f>+Tabla22[[#This Row],[Meli Drop 2025]]+Tabla22[[#This Row],[Meli Full 2025]]+Tabla22[[#This Row],[Amazon Drop 2025]]+Tabla22[[#This Row],[Amazon Full 2025]]+Tabla22[[#This Row],[TikTok 2025]]+Tabla22[[#This Row],[Shein 2025]]</f>
        <v>848488.86206896545</v>
      </c>
      <c r="AR268" s="17">
        <f t="shared" si="225"/>
        <v>4485454</v>
      </c>
      <c r="AS268" s="17">
        <f t="shared" si="226"/>
        <v>697606</v>
      </c>
      <c r="AT268" s="18">
        <f t="shared" si="227"/>
        <v>1.6588022872146224E-2</v>
      </c>
      <c r="AU268" s="18">
        <f t="shared" si="228"/>
        <v>-0.17782538912891666</v>
      </c>
      <c r="AV268" s="49">
        <f t="shared" si="229"/>
        <v>5742753.9171086904</v>
      </c>
      <c r="AW268" s="49">
        <f t="shared" si="230"/>
        <v>1199031.4941028</v>
      </c>
      <c r="AX268" s="39">
        <f t="shared" si="231"/>
        <v>0.78106324330510324</v>
      </c>
      <c r="AY268" s="39">
        <f t="shared" si="232"/>
        <v>0.58180790365477264</v>
      </c>
      <c r="AZ268" s="39">
        <f t="shared" si="233"/>
        <v>0.74664653154345273</v>
      </c>
      <c r="BA268" s="18">
        <v>3.7824337353400801E-2</v>
      </c>
      <c r="BB268" s="20">
        <v>4.7515919282056902E-2</v>
      </c>
      <c r="BC268" s="17">
        <f t="shared" ref="BC268" si="242">+AR268-AV268</f>
        <v>-1257299.9171086904</v>
      </c>
      <c r="BD268" s="17">
        <f t="shared" ref="BD268" si="243">+AS268-AW268</f>
        <v>-501425.49410280003</v>
      </c>
      <c r="BE268" s="17">
        <f t="shared" ref="BE268" si="244">AR268-AP268</f>
        <v>73190.724137931131</v>
      </c>
      <c r="BF268" s="17">
        <f t="shared" ref="BF268" si="245">AS268-AQ268</f>
        <v>-150882.86206896545</v>
      </c>
    </row>
    <row r="269" spans="1:58" ht="14.25" customHeight="1" x14ac:dyDescent="0.35">
      <c r="A269" s="19">
        <v>45923</v>
      </c>
      <c r="B269" s="17">
        <f>+'BD MD'!B268</f>
        <v>30161823</v>
      </c>
      <c r="C269" s="17">
        <f t="shared" si="216"/>
        <v>4219527.8017241377</v>
      </c>
      <c r="D269" s="18">
        <f t="shared" si="196"/>
        <v>3.6598939771722044E-2</v>
      </c>
      <c r="E269" s="17">
        <v>34275787</v>
      </c>
      <c r="F269" s="19">
        <v>46288</v>
      </c>
      <c r="G269" s="17">
        <f t="shared" si="217"/>
        <v>5513156.1922506103</v>
      </c>
      <c r="H269" s="17">
        <v>5243987.3870758396</v>
      </c>
      <c r="I269" s="17">
        <v>269168.805174771</v>
      </c>
      <c r="J269" s="17">
        <v>3819612</v>
      </c>
      <c r="K269" s="17">
        <v>3978542</v>
      </c>
      <c r="L269" s="17">
        <v>28138.793103448301</v>
      </c>
      <c r="M269" s="17">
        <v>36165</v>
      </c>
      <c r="N269" s="17">
        <v>70945</v>
      </c>
      <c r="O269" s="17">
        <v>24340</v>
      </c>
      <c r="P269" s="17">
        <v>2241</v>
      </c>
      <c r="Q269" s="17">
        <v>3228</v>
      </c>
      <c r="R269" s="17">
        <v>108115</v>
      </c>
      <c r="S269" s="17">
        <v>149484</v>
      </c>
      <c r="T269" s="17">
        <v>130750</v>
      </c>
      <c r="U269" s="17">
        <v>441246</v>
      </c>
      <c r="V269" s="17">
        <v>23990</v>
      </c>
      <c r="W269" s="17">
        <v>228040</v>
      </c>
      <c r="X269" s="17">
        <v>26470</v>
      </c>
      <c r="Y269" s="17">
        <v>41186</v>
      </c>
      <c r="Z269" s="17">
        <v>9026</v>
      </c>
      <c r="AA269" s="17">
        <v>3984</v>
      </c>
      <c r="AB269" s="17">
        <v>240.008620689655</v>
      </c>
      <c r="AC269" s="17">
        <v>13780</v>
      </c>
      <c r="AD269" s="17">
        <v>0</v>
      </c>
      <c r="AE269" s="17">
        <v>1809</v>
      </c>
      <c r="AF269" s="17">
        <f t="shared" si="218"/>
        <v>4921804</v>
      </c>
      <c r="AG269" s="18">
        <f t="shared" si="219"/>
        <v>0.89273799405831722</v>
      </c>
      <c r="AH269" s="17">
        <f t="shared" si="220"/>
        <v>-591352.19225061033</v>
      </c>
      <c r="AI269" s="20">
        <f t="shared" si="221"/>
        <v>-2.2090804174925593E-2</v>
      </c>
      <c r="AJ269" s="20">
        <f t="shared" si="222"/>
        <v>0.14624918591141906</v>
      </c>
      <c r="AK269" s="21">
        <f t="shared" si="197"/>
        <v>0.14359419376716281</v>
      </c>
      <c r="AL269" s="21">
        <f t="shared" si="223"/>
        <v>-4.0097023935995457E-3</v>
      </c>
      <c r="AM269" s="31"/>
      <c r="AO269" s="38">
        <f t="shared" si="224"/>
        <v>46288</v>
      </c>
      <c r="AP269" s="17">
        <f>+Tabla22[[#This Row],[Web + APP 2025]]+Tabla22[[#This Row],[Afiliados 2025]]+Tabla22[[#This Row],[TMK 2025]]+Tabla22[[#This Row],[WA 2025]]+Tabla22[[#This Row],[Ent. en Tienda 2025]]</f>
        <v>4029051.7931034481</v>
      </c>
      <c r="AQ269" s="17">
        <f>+Tabla22[[#This Row],[Meli Drop 2025]]+Tabla22[[#This Row],[Meli Full 2025]]+Tabla22[[#This Row],[Amazon Drop 2025]]+Tabla22[[#This Row],[Amazon Full 2025]]+Tabla22[[#This Row],[TikTok 2025]]+Tabla22[[#This Row],[Shein 2025]]</f>
        <v>190476.00862068965</v>
      </c>
      <c r="AR269" s="17">
        <f t="shared" si="225"/>
        <v>4191759</v>
      </c>
      <c r="AS269" s="17">
        <f t="shared" si="226"/>
        <v>730045</v>
      </c>
      <c r="AT269" s="18">
        <f t="shared" si="227"/>
        <v>4.0383498463598455E-2</v>
      </c>
      <c r="AU269" s="18">
        <f t="shared" si="228"/>
        <v>2.8327399092753875</v>
      </c>
      <c r="AV269" s="49">
        <f t="shared" si="229"/>
        <v>5243987.3870758396</v>
      </c>
      <c r="AW269" s="49">
        <f t="shared" si="230"/>
        <v>269168.805174771</v>
      </c>
      <c r="AX269" s="39">
        <f t="shared" si="231"/>
        <v>0.79934574410511983</v>
      </c>
      <c r="AY269" s="39">
        <f t="shared" si="232"/>
        <v>2.7122199376929381</v>
      </c>
      <c r="AZ269" s="39">
        <f t="shared" si="233"/>
        <v>0.89273799405831722</v>
      </c>
      <c r="BA269" s="18">
        <v>8.4911295007814008E-3</v>
      </c>
      <c r="BB269" s="20">
        <v>4.3389092584672599E-2</v>
      </c>
      <c r="BC269" s="17">
        <f t="shared" ref="BC269:BC270" si="246">+AR269-AV269</f>
        <v>-1052228.3870758396</v>
      </c>
      <c r="BD269" s="17">
        <f t="shared" ref="BD269:BD270" si="247">+AS269-AW269</f>
        <v>460876.194825229</v>
      </c>
      <c r="BE269" s="17">
        <f t="shared" ref="BE269:BE270" si="248">AR269-AP269</f>
        <v>162707.20689655188</v>
      </c>
      <c r="BF269" s="17">
        <f t="shared" ref="BF269:BF270" si="249">AS269-AQ269</f>
        <v>539568.99137931038</v>
      </c>
    </row>
    <row r="270" spans="1:58" ht="14.25" customHeight="1" x14ac:dyDescent="0.35">
      <c r="A270" s="16">
        <v>45924</v>
      </c>
      <c r="B270" s="17">
        <f>+'BD MD'!B269</f>
        <v>34413776</v>
      </c>
      <c r="C270" s="17">
        <f t="shared" si="216"/>
        <v>5032986.7241379311</v>
      </c>
      <c r="D270" s="18">
        <f t="shared" si="196"/>
        <v>4.3654642567666969E-2</v>
      </c>
      <c r="E270" s="17">
        <v>39541570</v>
      </c>
      <c r="F270" s="19">
        <v>46289</v>
      </c>
      <c r="G270" s="17">
        <f t="shared" si="217"/>
        <v>5242448.90920828</v>
      </c>
      <c r="H270" s="17">
        <v>4215496.8832882997</v>
      </c>
      <c r="I270" s="17">
        <v>1026952.02591998</v>
      </c>
      <c r="J270" s="17">
        <v>3568039</v>
      </c>
      <c r="K270" s="17">
        <v>3234339</v>
      </c>
      <c r="L270" s="17">
        <v>27351.724137931</v>
      </c>
      <c r="M270" s="17">
        <v>37435</v>
      </c>
      <c r="N270" s="17">
        <v>49010</v>
      </c>
      <c r="O270" s="17">
        <v>58016</v>
      </c>
      <c r="P270" s="17">
        <v>1023</v>
      </c>
      <c r="Q270" s="17">
        <v>6453</v>
      </c>
      <c r="R270" s="17">
        <v>128430</v>
      </c>
      <c r="S270" s="17">
        <v>128367</v>
      </c>
      <c r="T270" s="17">
        <v>1012262</v>
      </c>
      <c r="U270" s="17">
        <v>455726</v>
      </c>
      <c r="V270" s="17">
        <v>207202</v>
      </c>
      <c r="W270" s="17">
        <v>249212</v>
      </c>
      <c r="X270" s="17">
        <v>31837</v>
      </c>
      <c r="Y270" s="17">
        <v>37432</v>
      </c>
      <c r="Z270" s="17">
        <v>7832</v>
      </c>
      <c r="AA270" s="17">
        <v>3326</v>
      </c>
      <c r="AB270" s="17">
        <v>0</v>
      </c>
      <c r="AC270" s="17">
        <v>13556</v>
      </c>
      <c r="AD270" s="17">
        <v>0</v>
      </c>
      <c r="AE270" s="17">
        <v>2368</v>
      </c>
      <c r="AF270" s="17">
        <f t="shared" si="218"/>
        <v>4226230</v>
      </c>
      <c r="AG270" s="18">
        <f t="shared" si="219"/>
        <v>0.8061556866251367</v>
      </c>
      <c r="AH270" s="17">
        <f t="shared" si="220"/>
        <v>-1016218.90920828</v>
      </c>
      <c r="AI270" s="20">
        <f t="shared" si="221"/>
        <v>6.5733112983318298E-2</v>
      </c>
      <c r="AJ270" s="20">
        <f t="shared" si="222"/>
        <v>0.1063717820812342</v>
      </c>
      <c r="AK270" s="21">
        <f t="shared" si="197"/>
        <v>0.10688068278523083</v>
      </c>
      <c r="AL270" s="21">
        <f t="shared" si="223"/>
        <v>6.0658741101174307E-2</v>
      </c>
      <c r="AM270" s="31"/>
      <c r="AO270" s="38">
        <f t="shared" si="224"/>
        <v>46289</v>
      </c>
      <c r="AP270" s="17">
        <f>+Tabla22[[#This Row],[Web + APP 2025]]+Tabla22[[#This Row],[Afiliados 2025]]+Tabla22[[#This Row],[TMK 2025]]+Tabla22[[#This Row],[WA 2025]]+Tabla22[[#This Row],[Ent. en Tienda 2025]]</f>
        <v>3773853.7241379311</v>
      </c>
      <c r="AQ270" s="17">
        <f>+Tabla22[[#This Row],[Meli Drop 2025]]+Tabla22[[#This Row],[Meli Full 2025]]+Tabla22[[#This Row],[Amazon Drop 2025]]+Tabla22[[#This Row],[Amazon Full 2025]]+Tabla22[[#This Row],[TikTok 2025]]+Tabla22[[#This Row],[Shein 2025]]</f>
        <v>1259133</v>
      </c>
      <c r="AR270" s="17">
        <f t="shared" si="225"/>
        <v>3464610</v>
      </c>
      <c r="AS270" s="17">
        <f t="shared" si="226"/>
        <v>761620</v>
      </c>
      <c r="AT270" s="18">
        <f t="shared" si="227"/>
        <v>-8.1943749478147088E-2</v>
      </c>
      <c r="AU270" s="18">
        <f t="shared" si="228"/>
        <v>-0.39512346987967117</v>
      </c>
      <c r="AV270" s="49">
        <f t="shared" si="229"/>
        <v>4215496.8832882997</v>
      </c>
      <c r="AW270" s="49">
        <f t="shared" si="230"/>
        <v>1026952.02591998</v>
      </c>
      <c r="AX270" s="39">
        <f t="shared" si="231"/>
        <v>0.82187464394409182</v>
      </c>
      <c r="AY270" s="39">
        <f t="shared" si="232"/>
        <v>0.74163152783861919</v>
      </c>
      <c r="AZ270" s="39">
        <f t="shared" si="233"/>
        <v>0.8061556866251367</v>
      </c>
      <c r="BA270" s="18">
        <v>5.6130225738812899E-2</v>
      </c>
      <c r="BB270" s="20">
        <v>4.0640849769644098E-2</v>
      </c>
      <c r="BC270" s="17">
        <f t="shared" si="246"/>
        <v>-750886.88328829966</v>
      </c>
      <c r="BD270" s="17">
        <f t="shared" si="247"/>
        <v>-265332.02591998002</v>
      </c>
      <c r="BE270" s="17">
        <f t="shared" si="248"/>
        <v>-309243.72413793113</v>
      </c>
      <c r="BF270" s="17">
        <f t="shared" si="249"/>
        <v>-497513</v>
      </c>
    </row>
    <row r="271" spans="1:58" ht="14.25" customHeight="1" x14ac:dyDescent="0.35">
      <c r="A271" s="19">
        <v>45925</v>
      </c>
      <c r="B271" s="17">
        <f>+'BD MD'!B270</f>
        <v>37280200</v>
      </c>
      <c r="C271" s="17">
        <f t="shared" si="216"/>
        <v>3965561.3103448274</v>
      </c>
      <c r="D271" s="18">
        <f t="shared" si="196"/>
        <v>3.4396109322725132E-2</v>
      </c>
      <c r="E271" s="17">
        <v>43436352</v>
      </c>
      <c r="F271" s="19">
        <v>46290</v>
      </c>
      <c r="G271" s="17">
        <f t="shared" si="217"/>
        <v>4970929.575501441</v>
      </c>
      <c r="H271" s="17">
        <v>4134718.76641089</v>
      </c>
      <c r="I271" s="17">
        <v>836210.80909055099</v>
      </c>
      <c r="J271" s="17">
        <v>3032045</v>
      </c>
      <c r="K271" s="17">
        <v>2520346</v>
      </c>
      <c r="L271" s="17">
        <v>32489.655172413801</v>
      </c>
      <c r="M271" s="17">
        <v>38602</v>
      </c>
      <c r="N271" s="17">
        <v>32271</v>
      </c>
      <c r="O271" s="17">
        <v>31954</v>
      </c>
      <c r="P271" s="17">
        <v>854</v>
      </c>
      <c r="Q271" s="17">
        <v>6862</v>
      </c>
      <c r="R271" s="17">
        <v>141184</v>
      </c>
      <c r="S271" s="17">
        <v>159606</v>
      </c>
      <c r="T271" s="17">
        <v>537518</v>
      </c>
      <c r="U271" s="17">
        <v>391280</v>
      </c>
      <c r="V271" s="17">
        <v>147100</v>
      </c>
      <c r="W271" s="17">
        <v>234119</v>
      </c>
      <c r="X271" s="17">
        <v>28015</v>
      </c>
      <c r="Y271" s="17">
        <v>17727</v>
      </c>
      <c r="Z271" s="17">
        <v>5570</v>
      </c>
      <c r="AA271" s="17">
        <v>1869</v>
      </c>
      <c r="AB271" s="17">
        <v>8514.6551724137898</v>
      </c>
      <c r="AC271" s="17">
        <v>16945</v>
      </c>
      <c r="AD271" s="17">
        <v>0</v>
      </c>
      <c r="AE271" s="17">
        <v>1042</v>
      </c>
      <c r="AF271" s="17">
        <f t="shared" si="218"/>
        <v>3420352</v>
      </c>
      <c r="AG271" s="18">
        <f t="shared" si="219"/>
        <v>0.68807090264499937</v>
      </c>
      <c r="AH271" s="17">
        <f t="shared" si="220"/>
        <v>-1550577.575501441</v>
      </c>
      <c r="AI271" s="20">
        <f t="shared" si="221"/>
        <v>7.9569409980039474E-2</v>
      </c>
      <c r="AJ271" s="20">
        <f t="shared" si="222"/>
        <v>7.4994828748070924E-2</v>
      </c>
      <c r="AK271" s="21">
        <f t="shared" si="197"/>
        <v>7.8743997654314987E-2</v>
      </c>
      <c r="AL271" s="21">
        <f t="shared" si="223"/>
        <v>2.8168818384501693E-2</v>
      </c>
      <c r="AM271" s="31"/>
      <c r="AO271" s="38">
        <f t="shared" si="224"/>
        <v>46290</v>
      </c>
      <c r="AP271" s="17">
        <f>+Tabla22[[#This Row],[Web + APP 2025]]+Tabla22[[#This Row],[Afiliados 2025]]+Tabla22[[#This Row],[TMK 2025]]+Tabla22[[#This Row],[WA 2025]]+Tabla22[[#This Row],[Ent. en Tienda 2025]]</f>
        <v>3238843.6551724137</v>
      </c>
      <c r="AQ271" s="17">
        <f>+Tabla22[[#This Row],[Meli Drop 2025]]+Tabla22[[#This Row],[Meli Full 2025]]+Tabla22[[#This Row],[Amazon Drop 2025]]+Tabla22[[#This Row],[Amazon Full 2025]]+Tabla22[[#This Row],[TikTok 2025]]+Tabla22[[#This Row],[Shein 2025]]</f>
        <v>726717.6551724138</v>
      </c>
      <c r="AR271" s="17">
        <f t="shared" si="225"/>
        <v>2757370</v>
      </c>
      <c r="AS271" s="17">
        <f t="shared" si="226"/>
        <v>662982</v>
      </c>
      <c r="AT271" s="18">
        <f t="shared" si="227"/>
        <v>-0.14865603481770517</v>
      </c>
      <c r="AU271" s="18">
        <f t="shared" si="228"/>
        <v>-8.770346326221079E-2</v>
      </c>
      <c r="AV271" s="49">
        <f t="shared" si="229"/>
        <v>4134718.76641089</v>
      </c>
      <c r="AW271" s="49">
        <f t="shared" si="230"/>
        <v>836210.80909055099</v>
      </c>
      <c r="AX271" s="39">
        <f t="shared" si="231"/>
        <v>0.66688211599782232</v>
      </c>
      <c r="AY271" s="39">
        <f t="shared" si="232"/>
        <v>0.79284074397585014</v>
      </c>
      <c r="AZ271" s="39">
        <f t="shared" si="233"/>
        <v>0.68807090264499937</v>
      </c>
      <c r="BA271" s="18">
        <v>3.2395962962775499E-2</v>
      </c>
      <c r="BB271" s="20">
        <v>3.4879295287814902E-2</v>
      </c>
      <c r="BC271" s="17">
        <f t="shared" ref="BC271:BC273" si="250">+AR271-AV271</f>
        <v>-1377348.76641089</v>
      </c>
      <c r="BD271" s="17">
        <f t="shared" ref="BD271:BD273" si="251">+AS271-AW271</f>
        <v>-173228.80909055099</v>
      </c>
      <c r="BE271" s="17">
        <f t="shared" ref="BE271:BE273" si="252">AR271-AP271</f>
        <v>-481473.65517241368</v>
      </c>
      <c r="BF271" s="17">
        <f t="shared" ref="BF271:BF273" si="253">AS271-AQ271</f>
        <v>-63735.655172413797</v>
      </c>
    </row>
    <row r="272" spans="1:58" ht="14.25" customHeight="1" x14ac:dyDescent="0.35">
      <c r="A272" s="16">
        <v>45926</v>
      </c>
      <c r="B272" s="17">
        <f>+'BD MD'!B271</f>
        <v>42246323</v>
      </c>
      <c r="C272" s="17">
        <f t="shared" si="216"/>
        <v>3168255.7586206896</v>
      </c>
      <c r="D272" s="18">
        <f t="shared" si="196"/>
        <v>2.7480516100353687E-2</v>
      </c>
      <c r="E272" s="17">
        <v>51098491</v>
      </c>
      <c r="F272" s="19">
        <v>46291</v>
      </c>
      <c r="G272" s="17">
        <f t="shared" si="217"/>
        <v>3687250.413163099</v>
      </c>
      <c r="H272" s="17">
        <v>2723766.0260986299</v>
      </c>
      <c r="I272" s="17">
        <v>963484.38706446905</v>
      </c>
      <c r="J272" s="17">
        <v>2325415</v>
      </c>
      <c r="K272" s="17">
        <v>2395891</v>
      </c>
      <c r="L272" s="17">
        <v>32150.8620689655</v>
      </c>
      <c r="M272" s="17">
        <v>50172</v>
      </c>
      <c r="N272" s="17">
        <v>53906</v>
      </c>
      <c r="O272" s="17">
        <v>-1377</v>
      </c>
      <c r="P272" s="17">
        <v>1765</v>
      </c>
      <c r="Q272" s="17">
        <v>1406</v>
      </c>
      <c r="R272" s="17">
        <v>83502</v>
      </c>
      <c r="S272" s="17">
        <v>123639</v>
      </c>
      <c r="T272" s="17">
        <v>491681</v>
      </c>
      <c r="U272" s="17">
        <v>275259</v>
      </c>
      <c r="V272" s="17">
        <v>151968</v>
      </c>
      <c r="W272" s="17">
        <v>216106</v>
      </c>
      <c r="X272" s="17">
        <v>22504</v>
      </c>
      <c r="Y272" s="17">
        <v>13220</v>
      </c>
      <c r="Z272" s="17">
        <v>4607</v>
      </c>
      <c r="AA272" s="17">
        <v>1521</v>
      </c>
      <c r="AB272" s="17">
        <v>756.89655172413802</v>
      </c>
      <c r="AC272" s="17">
        <v>4624</v>
      </c>
      <c r="AD272" s="17">
        <v>0</v>
      </c>
      <c r="AE272" s="17">
        <v>2712</v>
      </c>
      <c r="AF272" s="17">
        <f t="shared" si="218"/>
        <v>3083173</v>
      </c>
      <c r="AG272" s="18">
        <f t="shared" si="219"/>
        <v>0.83617130775642312</v>
      </c>
      <c r="AH272" s="17">
        <f t="shared" si="220"/>
        <v>-604077.41316309897</v>
      </c>
      <c r="AI272" s="20">
        <f t="shared" si="221"/>
        <v>0.1112437326400435</v>
      </c>
      <c r="AJ272" s="20">
        <f t="shared" si="222"/>
        <v>5.671854473915483E-2</v>
      </c>
      <c r="AK272" s="21">
        <f t="shared" si="197"/>
        <v>6.0337848332938052E-2</v>
      </c>
      <c r="AL272" s="21">
        <f t="shared" si="223"/>
        <v>4.4586923585126614E-2</v>
      </c>
      <c r="AM272" s="31"/>
      <c r="AO272" s="38">
        <f t="shared" si="224"/>
        <v>46291</v>
      </c>
      <c r="AP272" s="17">
        <f>+Tabla22[[#This Row],[Web + APP 2025]]+Tabla22[[#This Row],[Afiliados 2025]]+Tabla22[[#This Row],[TMK 2025]]+Tabla22[[#This Row],[WA 2025]]+Tabla22[[#This Row],[Ent. en Tienda 2025]]</f>
        <v>2496738.8620689656</v>
      </c>
      <c r="AQ272" s="17">
        <f>+Tabla22[[#This Row],[Meli Drop 2025]]+Tabla22[[#This Row],[Meli Full 2025]]+Tabla22[[#This Row],[Amazon Drop 2025]]+Tabla22[[#This Row],[Amazon Full 2025]]+Tabla22[[#This Row],[TikTok 2025]]+Tabla22[[#This Row],[Shein 2025]]</f>
        <v>671516.89655172417</v>
      </c>
      <c r="AR272" s="17">
        <f t="shared" si="225"/>
        <v>2569731</v>
      </c>
      <c r="AS272" s="17">
        <f t="shared" si="226"/>
        <v>513442</v>
      </c>
      <c r="AT272" s="18">
        <f t="shared" si="227"/>
        <v>2.9234990907518466E-2</v>
      </c>
      <c r="AU272" s="18">
        <f t="shared" si="228"/>
        <v>-0.23539973061504094</v>
      </c>
      <c r="AV272" s="49">
        <f t="shared" si="229"/>
        <v>2723766.0260986299</v>
      </c>
      <c r="AW272" s="49">
        <f t="shared" si="230"/>
        <v>963484.38706446905</v>
      </c>
      <c r="AX272" s="39">
        <f t="shared" si="231"/>
        <v>0.94344777612221664</v>
      </c>
      <c r="AY272" s="39">
        <f t="shared" si="232"/>
        <v>0.53290121448085737</v>
      </c>
      <c r="AZ272" s="39">
        <f t="shared" si="233"/>
        <v>0.83617130775642312</v>
      </c>
      <c r="BA272" s="18">
        <v>2.99351974659352E-2</v>
      </c>
      <c r="BB272" s="20">
        <v>2.6887525703067801E-2</v>
      </c>
      <c r="BC272" s="17">
        <f t="shared" si="250"/>
        <v>-154035.02609862993</v>
      </c>
      <c r="BD272" s="17">
        <f t="shared" si="251"/>
        <v>-450042.38706446905</v>
      </c>
      <c r="BE272" s="17">
        <f t="shared" si="252"/>
        <v>72992.137931034435</v>
      </c>
      <c r="BF272" s="17">
        <f t="shared" si="253"/>
        <v>-158074.89655172417</v>
      </c>
    </row>
    <row r="273" spans="1:58" ht="14.25" customHeight="1" x14ac:dyDescent="0.35">
      <c r="A273" s="19">
        <v>45927</v>
      </c>
      <c r="B273" s="17">
        <f>+'BD MD'!B272</f>
        <v>48917414</v>
      </c>
      <c r="C273" s="17">
        <f t="shared" si="216"/>
        <v>2774524.534482759</v>
      </c>
      <c r="D273" s="18">
        <f t="shared" si="196"/>
        <v>2.4065407577408916E-2</v>
      </c>
      <c r="E273" s="17">
        <v>49281359</v>
      </c>
      <c r="F273" s="19">
        <v>46292</v>
      </c>
      <c r="G273" s="17">
        <f t="shared" si="217"/>
        <v>4198560.7494607661</v>
      </c>
      <c r="H273" s="17">
        <v>3249614.9897906198</v>
      </c>
      <c r="I273" s="17">
        <v>948945.75967014604</v>
      </c>
      <c r="J273" s="17">
        <v>1949302</v>
      </c>
      <c r="K273" s="17">
        <v>2720888</v>
      </c>
      <c r="L273" s="17">
        <v>33178.448275862102</v>
      </c>
      <c r="M273" s="17">
        <v>46074</v>
      </c>
      <c r="N273" s="17">
        <v>11242</v>
      </c>
      <c r="O273" s="17">
        <v>21115</v>
      </c>
      <c r="P273" s="17">
        <v>4281</v>
      </c>
      <c r="Q273" s="17">
        <v>1523</v>
      </c>
      <c r="R273" s="17">
        <v>94716</v>
      </c>
      <c r="S273" s="17">
        <v>56968</v>
      </c>
      <c r="T273" s="17">
        <v>515813</v>
      </c>
      <c r="U273" s="17">
        <v>355928</v>
      </c>
      <c r="V273" s="17">
        <v>133564</v>
      </c>
      <c r="W273" s="17">
        <v>232846</v>
      </c>
      <c r="X273" s="17">
        <v>17092</v>
      </c>
      <c r="Y273" s="17">
        <v>33802</v>
      </c>
      <c r="Z273" s="17">
        <v>8878</v>
      </c>
      <c r="AA273" s="17">
        <v>2191</v>
      </c>
      <c r="AB273" s="17">
        <v>6458.0862068965498</v>
      </c>
      <c r="AC273" s="17">
        <v>15640</v>
      </c>
      <c r="AD273" s="17">
        <v>0</v>
      </c>
      <c r="AE273" s="17">
        <v>0</v>
      </c>
      <c r="AF273" s="17">
        <f t="shared" si="218"/>
        <v>3486975</v>
      </c>
      <c r="AG273" s="18">
        <f t="shared" si="219"/>
        <v>0.83051674325489822</v>
      </c>
      <c r="AH273" s="17">
        <f t="shared" si="220"/>
        <v>-711585.74946076609</v>
      </c>
      <c r="AI273" s="20">
        <f t="shared" si="221"/>
        <v>2.7342556031325183E-2</v>
      </c>
      <c r="AJ273" s="20">
        <f t="shared" si="222"/>
        <v>6.7618035616147321E-2</v>
      </c>
      <c r="AK273" s="21">
        <f t="shared" si="197"/>
        <v>7.0756470007249592E-2</v>
      </c>
      <c r="AL273" s="21">
        <f t="shared" si="223"/>
        <v>-1.8225675523489082E-2</v>
      </c>
      <c r="AM273" s="31"/>
      <c r="AO273" s="38">
        <f t="shared" si="224"/>
        <v>46292</v>
      </c>
      <c r="AP273" s="17">
        <f>+Tabla22[[#This Row],[Web + APP 2025]]+Tabla22[[#This Row],[Afiliados 2025]]+Tabla22[[#This Row],[TMK 2025]]+Tabla22[[#This Row],[WA 2025]]+Tabla22[[#This Row],[Ent. en Tienda 2025]]</f>
        <v>2092719.448275862</v>
      </c>
      <c r="AQ273" s="17">
        <f>+Tabla22[[#This Row],[Meli Drop 2025]]+Tabla22[[#This Row],[Meli Full 2025]]+Tabla22[[#This Row],[Amazon Drop 2025]]+Tabla22[[#This Row],[Amazon Full 2025]]+Tabla22[[#This Row],[TikTok 2025]]+Tabla22[[#This Row],[Shein 2025]]</f>
        <v>681805.08620689658</v>
      </c>
      <c r="AR273" s="17">
        <f t="shared" si="225"/>
        <v>2846568</v>
      </c>
      <c r="AS273" s="17">
        <f t="shared" si="226"/>
        <v>640407</v>
      </c>
      <c r="AT273" s="18">
        <f t="shared" si="227"/>
        <v>0.36022437328864809</v>
      </c>
      <c r="AU273" s="18">
        <f t="shared" si="228"/>
        <v>-6.0718359314694492E-2</v>
      </c>
      <c r="AV273" s="49">
        <f t="shared" si="229"/>
        <v>3249614.9897906198</v>
      </c>
      <c r="AW273" s="49">
        <f t="shared" si="230"/>
        <v>948945.75967014604</v>
      </c>
      <c r="AX273" s="39">
        <f t="shared" si="231"/>
        <v>0.87597084852917018</v>
      </c>
      <c r="AY273" s="39">
        <f t="shared" si="232"/>
        <v>0.67486154342752502</v>
      </c>
      <c r="AZ273" s="39">
        <f t="shared" si="233"/>
        <v>0.83051674325489822</v>
      </c>
      <c r="BA273" s="18">
        <v>3.0393829244935899E-2</v>
      </c>
      <c r="BB273" s="20">
        <v>2.2536617188791502E-2</v>
      </c>
      <c r="BC273" s="17">
        <f t="shared" si="250"/>
        <v>-403046.98979061982</v>
      </c>
      <c r="BD273" s="17">
        <f t="shared" si="251"/>
        <v>-308538.75967014604</v>
      </c>
      <c r="BE273" s="17">
        <f t="shared" si="252"/>
        <v>753848.55172413797</v>
      </c>
      <c r="BF273" s="17">
        <f t="shared" si="253"/>
        <v>-41398.08620689658</v>
      </c>
    </row>
    <row r="274" spans="1:58" ht="14.25" customHeight="1" x14ac:dyDescent="0.35">
      <c r="A274" s="16">
        <v>45928</v>
      </c>
      <c r="B274" s="17">
        <f>+'BD MD'!B273</f>
        <v>50196219</v>
      </c>
      <c r="C274" s="17">
        <f t="shared" si="216"/>
        <v>3394169.7241379311</v>
      </c>
      <c r="D274" s="18">
        <f t="shared" si="196"/>
        <v>2.9440027212990022E-2</v>
      </c>
      <c r="E274" s="17">
        <v>28250956</v>
      </c>
      <c r="F274" s="19">
        <v>46293</v>
      </c>
      <c r="G274" s="17">
        <f t="shared" si="217"/>
        <v>5847755.3289961405</v>
      </c>
      <c r="H274" s="17">
        <v>4655469.1791051803</v>
      </c>
      <c r="I274" s="17">
        <v>1192286.14989096</v>
      </c>
      <c r="J274" s="17">
        <v>2625801</v>
      </c>
      <c r="K274" s="17">
        <v>3993936</v>
      </c>
      <c r="L274" s="17">
        <v>32585.344827586199</v>
      </c>
      <c r="M274" s="17">
        <v>35279</v>
      </c>
      <c r="N274" s="17">
        <v>-5250</v>
      </c>
      <c r="O274" s="17">
        <v>4752</v>
      </c>
      <c r="P274" s="17">
        <v>868</v>
      </c>
      <c r="Q274" s="17">
        <v>3691</v>
      </c>
      <c r="R274" s="17">
        <v>97488</v>
      </c>
      <c r="S274" s="17">
        <v>127676</v>
      </c>
      <c r="T274" s="17">
        <v>448438</v>
      </c>
      <c r="U274" s="17">
        <v>347151</v>
      </c>
      <c r="V274" s="17">
        <v>152669</v>
      </c>
      <c r="W274" s="17">
        <v>297484</v>
      </c>
      <c r="X274" s="17">
        <v>32751</v>
      </c>
      <c r="Y274" s="17">
        <v>20256</v>
      </c>
      <c r="Z274" s="17">
        <v>8303</v>
      </c>
      <c r="AA274" s="17">
        <v>3267</v>
      </c>
      <c r="AB274" s="17">
        <v>516.37931034482801</v>
      </c>
      <c r="AC274" s="17">
        <v>8346</v>
      </c>
      <c r="AD274" s="17">
        <v>0</v>
      </c>
      <c r="AE274" s="17">
        <v>4221</v>
      </c>
      <c r="AF274" s="17">
        <f t="shared" si="218"/>
        <v>4846059</v>
      </c>
      <c r="AG274" s="18">
        <f t="shared" si="219"/>
        <v>0.82870413130501175</v>
      </c>
      <c r="AH274" s="17">
        <f t="shared" si="220"/>
        <v>-1001696.3289961405</v>
      </c>
      <c r="AI274" s="20">
        <f t="shared" si="221"/>
        <v>9.6245123397332266E-2</v>
      </c>
      <c r="AJ274" s="20">
        <f t="shared" si="222"/>
        <v>0.15569618443092395</v>
      </c>
      <c r="AK274" s="21">
        <f t="shared" si="197"/>
        <v>0.17153610660113591</v>
      </c>
      <c r="AL274" s="21">
        <f t="shared" si="223"/>
        <v>-4.9839284807354778E-3</v>
      </c>
      <c r="AM274" s="31"/>
      <c r="AO274" s="38">
        <f t="shared" si="224"/>
        <v>46293</v>
      </c>
      <c r="AP274" s="17">
        <f>+Tabla22[[#This Row],[Web + APP 2025]]+Tabla22[[#This Row],[Afiliados 2025]]+Tabla22[[#This Row],[TMK 2025]]+Tabla22[[#This Row],[WA 2025]]+Tabla22[[#This Row],[Ent. en Tienda 2025]]</f>
        <v>2751492.3448275863</v>
      </c>
      <c r="AQ274" s="17">
        <f>+Tabla22[[#This Row],[Meli Drop 2025]]+Tabla22[[#This Row],[Meli Full 2025]]+Tabla22[[#This Row],[Amazon Drop 2025]]+Tabla22[[#This Row],[Amazon Full 2025]]+Tabla22[[#This Row],[TikTok 2025]]+Tabla22[[#This Row],[Shein 2025]]</f>
        <v>642677.37931034481</v>
      </c>
      <c r="AR274" s="17">
        <f t="shared" si="225"/>
        <v>4165334</v>
      </c>
      <c r="AS274" s="17">
        <f t="shared" si="226"/>
        <v>680725</v>
      </c>
      <c r="AT274" s="18">
        <f t="shared" si="227"/>
        <v>0.51384538933216906</v>
      </c>
      <c r="AU274" s="18">
        <f t="shared" si="228"/>
        <v>5.9201742451996608E-2</v>
      </c>
      <c r="AV274" s="49">
        <f t="shared" si="229"/>
        <v>4655469.1791051803</v>
      </c>
      <c r="AW274" s="49">
        <f t="shared" si="230"/>
        <v>1192286.14989096</v>
      </c>
      <c r="AX274" s="39">
        <f t="shared" si="231"/>
        <v>0.89471841392377371</v>
      </c>
      <c r="AY274" s="39">
        <f t="shared" si="232"/>
        <v>0.57094096082744517</v>
      </c>
      <c r="AZ274" s="39">
        <f t="shared" si="233"/>
        <v>0.82870413130501175</v>
      </c>
      <c r="BA274" s="18">
        <v>2.8649575841407E-2</v>
      </c>
      <c r="BB274" s="20">
        <v>2.96309807434329E-2</v>
      </c>
      <c r="BC274" s="17">
        <f t="shared" ref="BC274" si="254">+AR274-AV274</f>
        <v>-490135.17910518032</v>
      </c>
      <c r="BD274" s="17">
        <f t="shared" ref="BD274" si="255">+AS274-AW274</f>
        <v>-511561.14989095996</v>
      </c>
      <c r="BE274" s="17">
        <f t="shared" ref="BE274" si="256">AR274-AP274</f>
        <v>1413841.6551724137</v>
      </c>
      <c r="BF274" s="17">
        <f t="shared" ref="BF274" si="257">AS274-AQ274</f>
        <v>38047.620689655188</v>
      </c>
    </row>
    <row r="275" spans="1:58" ht="14.25" customHeight="1" x14ac:dyDescent="0.35">
      <c r="A275" s="19">
        <v>45929</v>
      </c>
      <c r="B275" s="17">
        <f>+'BD MD'!B274</f>
        <v>28392462</v>
      </c>
      <c r="C275" s="17">
        <f t="shared" si="216"/>
        <v>4420598</v>
      </c>
      <c r="D275" s="18">
        <f t="shared" si="196"/>
        <v>3.834296337397905E-2</v>
      </c>
      <c r="E275" s="17">
        <v>28894817</v>
      </c>
      <c r="F275" s="19">
        <v>46294</v>
      </c>
      <c r="G275" s="17">
        <f t="shared" si="217"/>
        <v>6675436.1487542298</v>
      </c>
      <c r="H275" s="17">
        <v>5465858.3723724801</v>
      </c>
      <c r="I275" s="17">
        <v>1209577.7763817499</v>
      </c>
      <c r="J275" s="17">
        <v>3385820</v>
      </c>
      <c r="K275" s="17">
        <v>4698947</v>
      </c>
      <c r="L275" s="17">
        <v>30803.448275862102</v>
      </c>
      <c r="M275" s="17">
        <v>40798</v>
      </c>
      <c r="N275" s="17">
        <v>62947</v>
      </c>
      <c r="O275" s="17">
        <v>22091</v>
      </c>
      <c r="P275" s="17">
        <v>3822</v>
      </c>
      <c r="Q275" s="17">
        <v>9017</v>
      </c>
      <c r="R275" s="17">
        <v>93490</v>
      </c>
      <c r="S275" s="17">
        <v>186089</v>
      </c>
      <c r="T275" s="17">
        <v>662792</v>
      </c>
      <c r="U275" s="17">
        <v>362290</v>
      </c>
      <c r="V275" s="17">
        <v>132803</v>
      </c>
      <c r="W275" s="17">
        <v>296251</v>
      </c>
      <c r="X275" s="17">
        <v>35780</v>
      </c>
      <c r="Y275" s="17">
        <v>29431</v>
      </c>
      <c r="Z275" s="17">
        <v>6759</v>
      </c>
      <c r="AA275" s="17">
        <v>1005</v>
      </c>
      <c r="AB275" s="17">
        <v>5581.5517241379303</v>
      </c>
      <c r="AC275" s="17">
        <v>7011</v>
      </c>
      <c r="AD275" s="17">
        <v>0</v>
      </c>
      <c r="AE275" s="17">
        <v>1334</v>
      </c>
      <c r="AF275" s="17">
        <f t="shared" si="218"/>
        <v>5654264</v>
      </c>
      <c r="AG275" s="18">
        <f t="shared" si="219"/>
        <v>0.84702540388393932</v>
      </c>
      <c r="AH275" s="17">
        <f t="shared" si="220"/>
        <v>-1021172.1487542298</v>
      </c>
      <c r="AI275" s="20">
        <f t="shared" si="221"/>
        <v>0.11844450095201808</v>
      </c>
      <c r="AJ275" s="20">
        <f t="shared" si="222"/>
        <v>0.1606790171733688</v>
      </c>
      <c r="AK275" s="21">
        <f t="shared" si="197"/>
        <v>0.19568436789199944</v>
      </c>
      <c r="AL275" s="21">
        <f t="shared" si="223"/>
        <v>-8.1630458723644161E-2</v>
      </c>
      <c r="AM275" s="31"/>
      <c r="AO275" s="38">
        <f t="shared" si="224"/>
        <v>46294</v>
      </c>
      <c r="AP275" s="17">
        <f>+Tabla22[[#This Row],[Web + APP 2025]]+Tabla22[[#This Row],[Afiliados 2025]]+Tabla22[[#This Row],[TMK 2025]]+Tabla22[[#This Row],[WA 2025]]+Tabla22[[#This Row],[Ent. en Tienda 2025]]</f>
        <v>3576882.4482758623</v>
      </c>
      <c r="AQ275" s="17">
        <f>+Tabla22[[#This Row],[Meli Drop 2025]]+Tabla22[[#This Row],[Meli Full 2025]]+Tabla22[[#This Row],[Amazon Drop 2025]]+Tabla22[[#This Row],[Amazon Full 2025]]+Tabla22[[#This Row],[TikTok 2025]]+Tabla22[[#This Row],[Shein 2025]]</f>
        <v>843715.55172413797</v>
      </c>
      <c r="AR275" s="17">
        <f t="shared" si="225"/>
        <v>4956942</v>
      </c>
      <c r="AS275" s="17">
        <f t="shared" si="226"/>
        <v>697322</v>
      </c>
      <c r="AT275" s="18">
        <f t="shared" si="227"/>
        <v>0.38582748292143543</v>
      </c>
      <c r="AU275" s="18">
        <f t="shared" si="228"/>
        <v>-0.17351055272713867</v>
      </c>
      <c r="AV275" s="49">
        <f t="shared" si="229"/>
        <v>5465858.3723724801</v>
      </c>
      <c r="AW275" s="49">
        <f t="shared" si="230"/>
        <v>1209577.7763817499</v>
      </c>
      <c r="AX275" s="39">
        <f t="shared" si="231"/>
        <v>0.90689177477688965</v>
      </c>
      <c r="AY275" s="39">
        <f t="shared" si="232"/>
        <v>0.57650034054521271</v>
      </c>
      <c r="AZ275" s="39">
        <f t="shared" si="233"/>
        <v>0.84702540388393932</v>
      </c>
      <c r="BA275" s="18">
        <v>3.7611550469746201E-2</v>
      </c>
      <c r="BB275" s="20">
        <v>3.8519654668720003E-2</v>
      </c>
      <c r="BC275" s="17"/>
      <c r="BD275" s="17"/>
      <c r="BE275" s="17"/>
      <c r="BF275" s="17"/>
    </row>
    <row r="276" spans="1:58" ht="14.25" customHeight="1" x14ac:dyDescent="0.35">
      <c r="A276" s="16">
        <v>45930</v>
      </c>
      <c r="B276" s="17">
        <f>+'BD MD'!B275</f>
        <v>31463170</v>
      </c>
      <c r="C276" s="17">
        <f t="shared" si="216"/>
        <v>5055471.2327586217</v>
      </c>
      <c r="D276" s="18">
        <f t="shared" si="196"/>
        <v>4.3849666564539126E-2</v>
      </c>
      <c r="E276" s="17"/>
      <c r="F276" s="19">
        <v>46295</v>
      </c>
      <c r="G276" s="17">
        <f t="shared" si="217"/>
        <v>4489379.3603481036</v>
      </c>
      <c r="H276" s="17">
        <v>3581187.8061755002</v>
      </c>
      <c r="I276" s="17">
        <v>908191.55417260295</v>
      </c>
      <c r="J276" s="17">
        <v>4032670</v>
      </c>
      <c r="K276" s="17"/>
      <c r="L276" s="17">
        <v>36310.344827586203</v>
      </c>
      <c r="M276" s="17"/>
      <c r="N276" s="17">
        <v>32319</v>
      </c>
      <c r="O276" s="17"/>
      <c r="P276" s="17">
        <v>5531</v>
      </c>
      <c r="Q276" s="17"/>
      <c r="R276" s="17">
        <v>92689</v>
      </c>
      <c r="S276" s="17"/>
      <c r="T276" s="17">
        <v>711212</v>
      </c>
      <c r="U276" s="17"/>
      <c r="V276" s="17">
        <v>102182</v>
      </c>
      <c r="W276" s="17"/>
      <c r="X276" s="17">
        <v>36207</v>
      </c>
      <c r="Y276" s="17"/>
      <c r="Z276" s="17">
        <v>5283</v>
      </c>
      <c r="AA276" s="17"/>
      <c r="AB276" s="17">
        <v>1067.8879310344801</v>
      </c>
      <c r="AC276" s="17"/>
      <c r="AD276" s="17">
        <v>0</v>
      </c>
      <c r="AE276" s="17"/>
      <c r="AF276" s="17">
        <f t="shared" si="218"/>
        <v>0</v>
      </c>
      <c r="AG276" s="18">
        <f t="shared" si="219"/>
        <v>0</v>
      </c>
      <c r="AH276" s="17">
        <f t="shared" si="220"/>
        <v>-4489379.3603481036</v>
      </c>
      <c r="AI276" s="20">
        <f t="shared" si="221"/>
        <v>-1</v>
      </c>
      <c r="AJ276" s="20">
        <f t="shared" si="222"/>
        <v>0.13411267102576951</v>
      </c>
      <c r="AK276" s="21" t="e">
        <f t="shared" si="197"/>
        <v>#DIV/0!</v>
      </c>
      <c r="AL276" s="21">
        <f t="shared" si="223"/>
        <v>-1</v>
      </c>
      <c r="AM276" s="31"/>
      <c r="AO276" s="38">
        <f t="shared" si="224"/>
        <v>46295</v>
      </c>
      <c r="AP276" s="17">
        <f>+Tabla22[[#This Row],[Web + APP 2025]]+Tabla22[[#This Row],[Afiliados 2025]]+Tabla22[[#This Row],[TMK 2025]]+Tabla22[[#This Row],[WA 2025]]+Tabla22[[#This Row],[Ent. en Tienda 2025]]</f>
        <v>4199519.3448275868</v>
      </c>
      <c r="AQ276" s="17">
        <f>+Tabla22[[#This Row],[Meli Drop 2025]]+Tabla22[[#This Row],[Meli Full 2025]]+Tabla22[[#This Row],[Amazon Drop 2025]]+Tabla22[[#This Row],[Amazon Full 2025]]+Tabla22[[#This Row],[TikTok 2025]]+Tabla22[[#This Row],[Shein 2025]]</f>
        <v>855951.88793103443</v>
      </c>
      <c r="AR276" s="17">
        <f t="shared" si="225"/>
        <v>0</v>
      </c>
      <c r="AS276" s="17">
        <f t="shared" si="226"/>
        <v>0</v>
      </c>
      <c r="AT276" s="18">
        <f t="shared" si="227"/>
        <v>-1</v>
      </c>
      <c r="AU276" s="18">
        <f t="shared" si="228"/>
        <v>-1</v>
      </c>
      <c r="AV276" s="49">
        <f t="shared" si="229"/>
        <v>3581187.8061755002</v>
      </c>
      <c r="AW276" s="49">
        <f t="shared" si="230"/>
        <v>908191.55417260295</v>
      </c>
      <c r="AX276" s="39">
        <f t="shared" si="231"/>
        <v>0</v>
      </c>
      <c r="AY276" s="39">
        <f t="shared" si="232"/>
        <v>0</v>
      </c>
      <c r="AZ276" s="39">
        <f t="shared" si="233"/>
        <v>0</v>
      </c>
      <c r="BA276" s="18">
        <v>3.8157027646112097E-2</v>
      </c>
      <c r="BB276" s="20">
        <v>4.5224867542220097E-2</v>
      </c>
      <c r="BC276" s="17"/>
      <c r="BD276" s="17"/>
      <c r="BE276" s="17"/>
      <c r="BF276" s="17"/>
    </row>
    <row r="277" spans="1:58" ht="14.25" hidden="1" customHeight="1" x14ac:dyDescent="0.35">
      <c r="A277" s="19">
        <v>45931</v>
      </c>
      <c r="B277" s="17">
        <f>+'BD MD'!B276</f>
        <v>35229204</v>
      </c>
      <c r="C277" s="17">
        <f t="shared" si="216"/>
        <v>4724682.6465517236</v>
      </c>
      <c r="D277" s="18">
        <f t="shared" ref="D277:D307" si="258">+C277/(SUM($C$277:$C$307))</f>
        <v>3.504005182694659E-2</v>
      </c>
      <c r="E277" s="17"/>
      <c r="F277" s="19">
        <v>46296</v>
      </c>
      <c r="G277" s="17">
        <f t="shared" si="217"/>
        <v>6234160.2586209103</v>
      </c>
      <c r="H277" s="17">
        <v>5054886.4743162701</v>
      </c>
      <c r="I277" s="17">
        <v>1179273.78430464</v>
      </c>
      <c r="J277" s="17">
        <v>3666861</v>
      </c>
      <c r="K277" s="17"/>
      <c r="L277" s="17">
        <v>32700</v>
      </c>
      <c r="M277" s="17"/>
      <c r="N277" s="17">
        <v>61161</v>
      </c>
      <c r="O277" s="17"/>
      <c r="P277" s="17">
        <v>4101</v>
      </c>
      <c r="Q277" s="17"/>
      <c r="R277" s="17">
        <v>118698</v>
      </c>
      <c r="S277" s="17"/>
      <c r="T277" s="17">
        <v>660285</v>
      </c>
      <c r="U277" s="17"/>
      <c r="V277" s="17">
        <v>134226</v>
      </c>
      <c r="W277" s="17"/>
      <c r="X277" s="17">
        <v>33430</v>
      </c>
      <c r="Y277" s="17"/>
      <c r="Z277" s="17">
        <v>4950</v>
      </c>
      <c r="AA277" s="17"/>
      <c r="AB277" s="17">
        <v>7668.0603448275897</v>
      </c>
      <c r="AC277" s="17"/>
      <c r="AD277" s="17">
        <v>602.58620689655197</v>
      </c>
      <c r="AE277" s="17"/>
      <c r="AF277" s="17">
        <f t="shared" si="218"/>
        <v>0</v>
      </c>
      <c r="AG277" s="18">
        <f t="shared" si="219"/>
        <v>0</v>
      </c>
      <c r="AH277" s="17">
        <f t="shared" si="220"/>
        <v>-6234160.2586209103</v>
      </c>
      <c r="AI277" s="20">
        <f t="shared" si="221"/>
        <v>-1</v>
      </c>
      <c r="AJ277" s="20">
        <f t="shared" si="222"/>
        <v>0.10301436205853891</v>
      </c>
      <c r="AK277" s="21" t="e">
        <f t="shared" si="197"/>
        <v>#DIV/0!</v>
      </c>
      <c r="AL277" s="21">
        <f t="shared" si="223"/>
        <v>-1</v>
      </c>
      <c r="AM277" s="31"/>
      <c r="AO277" s="57">
        <f t="shared" si="224"/>
        <v>46296</v>
      </c>
      <c r="AP277" s="6">
        <f>+Tabla22[[#This Row],[Web + APP 2025]]+Tabla22[[#This Row],[Afiliados 2025]]+Tabla22[[#This Row],[TMK 2025]]+Tabla22[[#This Row],[WA 2025]]+Tabla22[[#This Row],[Ent. en Tienda 2025]]</f>
        <v>3883521</v>
      </c>
      <c r="AQ277" s="6">
        <f>+Tabla22[[#This Row],[Meli Drop 2025]]+Tabla22[[#This Row],[Meli Full 2025]]+Tabla22[[#This Row],[Amazon Drop 2025]]+Tabla22[[#This Row],[Amazon Full 2025]]+Tabla22[[#This Row],[TikTok 2025]]+Tabla22[[#This Row],[Shein 2025]]</f>
        <v>841161.64655172417</v>
      </c>
      <c r="AR277" s="58">
        <f t="shared" si="225"/>
        <v>0</v>
      </c>
      <c r="AS277" s="58">
        <f t="shared" si="226"/>
        <v>0</v>
      </c>
      <c r="AT277" s="59">
        <f t="shared" si="227"/>
        <v>-1</v>
      </c>
      <c r="AU277" s="59">
        <f t="shared" si="228"/>
        <v>-1</v>
      </c>
      <c r="AV277" s="58">
        <f t="shared" si="229"/>
        <v>5054886.4743162701</v>
      </c>
      <c r="AW277" s="58">
        <f t="shared" si="230"/>
        <v>1179273.78430464</v>
      </c>
      <c r="AX277" s="59">
        <f t="shared" si="231"/>
        <v>0</v>
      </c>
      <c r="AY277" s="59">
        <f t="shared" si="232"/>
        <v>0</v>
      </c>
      <c r="AZ277" s="59">
        <f t="shared" si="233"/>
        <v>0</v>
      </c>
      <c r="BA277" s="27">
        <v>3.5045283337433702E-2</v>
      </c>
      <c r="BB277" s="27">
        <v>3.5038918899685703E-2</v>
      </c>
      <c r="BC277" s="27"/>
      <c r="BD277" s="27"/>
    </row>
    <row r="278" spans="1:58" ht="14.25" hidden="1" customHeight="1" x14ac:dyDescent="0.35">
      <c r="A278" s="16">
        <v>45932</v>
      </c>
      <c r="B278" s="17">
        <f>+'BD MD'!B277</f>
        <v>40655242</v>
      </c>
      <c r="C278" s="17">
        <f t="shared" si="216"/>
        <v>4188073.8189655175</v>
      </c>
      <c r="D278" s="18">
        <f t="shared" si="258"/>
        <v>3.1060355721189984E-2</v>
      </c>
      <c r="E278" s="17"/>
      <c r="F278" s="19">
        <v>46297</v>
      </c>
      <c r="G278" s="17">
        <f t="shared" si="217"/>
        <v>5518562.2028435636</v>
      </c>
      <c r="H278" s="17">
        <v>4578711.6651646504</v>
      </c>
      <c r="I278" s="17">
        <v>939850.53767891298</v>
      </c>
      <c r="J278" s="17">
        <v>3300421</v>
      </c>
      <c r="K278" s="17"/>
      <c r="L278" s="17">
        <v>32825.8620689655</v>
      </c>
      <c r="M278" s="17"/>
      <c r="N278" s="17">
        <v>37692</v>
      </c>
      <c r="O278" s="17"/>
      <c r="P278" s="17">
        <v>7757</v>
      </c>
      <c r="Q278" s="17"/>
      <c r="R278" s="17">
        <v>138994</v>
      </c>
      <c r="S278" s="17"/>
      <c r="T278" s="17">
        <v>486606</v>
      </c>
      <c r="U278" s="17"/>
      <c r="V278" s="17">
        <v>138868</v>
      </c>
      <c r="W278" s="17"/>
      <c r="X278" s="17">
        <v>29586</v>
      </c>
      <c r="Y278" s="17"/>
      <c r="Z278" s="17">
        <v>6542</v>
      </c>
      <c r="AA278" s="17"/>
      <c r="AB278" s="17">
        <v>7145.75</v>
      </c>
      <c r="AC278" s="17"/>
      <c r="AD278" s="17">
        <v>1636.2068965517201</v>
      </c>
      <c r="AE278" s="17"/>
      <c r="AF278" s="17">
        <f t="shared" si="218"/>
        <v>0</v>
      </c>
      <c r="AG278" s="18">
        <f t="shared" si="219"/>
        <v>0</v>
      </c>
      <c r="AH278" s="17">
        <f t="shared" si="220"/>
        <v>-5518562.2028435636</v>
      </c>
      <c r="AI278" s="20">
        <f t="shared" si="221"/>
        <v>-1</v>
      </c>
      <c r="AJ278" s="20">
        <f t="shared" si="222"/>
        <v>8.1622369023297725E-2</v>
      </c>
      <c r="AK278" s="21" t="e">
        <f t="shared" si="197"/>
        <v>#DIV/0!</v>
      </c>
      <c r="AL278" s="21">
        <f t="shared" si="223"/>
        <v>-1</v>
      </c>
      <c r="AM278" s="31"/>
      <c r="AO278" s="60">
        <f t="shared" si="224"/>
        <v>46297</v>
      </c>
      <c r="AP278" s="6">
        <f>+Tabla22[[#This Row],[Web + APP 2025]]+Tabla22[[#This Row],[Afiliados 2025]]+Tabla22[[#This Row],[TMK 2025]]+Tabla22[[#This Row],[WA 2025]]+Tabla22[[#This Row],[Ent. en Tienda 2025]]</f>
        <v>3517689.8620689656</v>
      </c>
      <c r="AQ278" s="6">
        <f>+Tabla22[[#This Row],[Meli Drop 2025]]+Tabla22[[#This Row],[Meli Full 2025]]+Tabla22[[#This Row],[Amazon Drop 2025]]+Tabla22[[#This Row],[Amazon Full 2025]]+Tabla22[[#This Row],[TikTok 2025]]+Tabla22[[#This Row],[Shein 2025]]</f>
        <v>670383.95689655177</v>
      </c>
      <c r="AR278" s="58">
        <f t="shared" si="225"/>
        <v>0</v>
      </c>
      <c r="AS278" s="58">
        <f t="shared" si="226"/>
        <v>0</v>
      </c>
      <c r="AT278" s="59">
        <f t="shared" si="227"/>
        <v>-1</v>
      </c>
      <c r="AU278" s="59">
        <f t="shared" si="228"/>
        <v>-1</v>
      </c>
      <c r="AV278" s="58">
        <f t="shared" si="229"/>
        <v>4578711.6651646504</v>
      </c>
      <c r="AW278" s="58">
        <f t="shared" si="230"/>
        <v>939850.53767891298</v>
      </c>
      <c r="AX278" s="59">
        <f t="shared" si="231"/>
        <v>0</v>
      </c>
      <c r="AY278" s="59">
        <f t="shared" si="232"/>
        <v>0</v>
      </c>
      <c r="AZ278" s="59">
        <f t="shared" si="233"/>
        <v>0</v>
      </c>
      <c r="BA278" s="27">
        <v>2.7930179425822099E-2</v>
      </c>
      <c r="BB278" s="27">
        <v>3.1738221524045103E-2</v>
      </c>
      <c r="BC278" s="27"/>
      <c r="BD278" s="27"/>
    </row>
    <row r="279" spans="1:58" ht="14.25" hidden="1" customHeight="1" x14ac:dyDescent="0.35">
      <c r="A279" s="19">
        <v>45933</v>
      </c>
      <c r="B279" s="17">
        <f>+'BD MD'!B278</f>
        <v>40527045</v>
      </c>
      <c r="C279" s="17">
        <f t="shared" si="216"/>
        <v>3307913.4224137929</v>
      </c>
      <c r="D279" s="18">
        <f t="shared" si="258"/>
        <v>2.4532749907557765E-2</v>
      </c>
      <c r="E279" s="17"/>
      <c r="F279" s="19">
        <v>46298</v>
      </c>
      <c r="G279" s="17">
        <f t="shared" si="217"/>
        <v>4366021.8084425963</v>
      </c>
      <c r="H279" s="17">
        <v>3522611.92870137</v>
      </c>
      <c r="I279" s="17">
        <v>843409.87974122597</v>
      </c>
      <c r="J279" s="17">
        <v>2511111</v>
      </c>
      <c r="K279" s="17"/>
      <c r="L279" s="17">
        <v>29472.413793103398</v>
      </c>
      <c r="M279" s="17"/>
      <c r="N279" s="17">
        <v>35787</v>
      </c>
      <c r="O279" s="17"/>
      <c r="P279" s="17">
        <v>2591</v>
      </c>
      <c r="Q279" s="17"/>
      <c r="R279" s="17">
        <v>127358</v>
      </c>
      <c r="S279" s="17"/>
      <c r="T279" s="17">
        <v>439292</v>
      </c>
      <c r="U279" s="17"/>
      <c r="V279" s="17">
        <v>130492</v>
      </c>
      <c r="W279" s="17"/>
      <c r="X279" s="17">
        <v>25977</v>
      </c>
      <c r="Y279" s="17"/>
      <c r="Z279" s="17">
        <v>5364</v>
      </c>
      <c r="AA279" s="17"/>
      <c r="AB279" s="17">
        <v>469.008620689655</v>
      </c>
      <c r="AC279" s="17"/>
      <c r="AD279" s="17">
        <v>0</v>
      </c>
      <c r="AE279" s="17"/>
      <c r="AF279" s="17">
        <f t="shared" si="218"/>
        <v>0</v>
      </c>
      <c r="AG279" s="18">
        <f t="shared" si="219"/>
        <v>0</v>
      </c>
      <c r="AH279" s="17">
        <f t="shared" si="220"/>
        <v>-4366021.8084425963</v>
      </c>
      <c r="AI279" s="20">
        <f t="shared" si="221"/>
        <v>-1</v>
      </c>
      <c r="AJ279" s="20">
        <f t="shared" si="222"/>
        <v>5.5942387191759008E-2</v>
      </c>
      <c r="AK279" s="21" t="e">
        <f t="shared" si="197"/>
        <v>#DIV/0!</v>
      </c>
      <c r="AL279" s="21">
        <f t="shared" si="223"/>
        <v>-1</v>
      </c>
      <c r="AM279" s="31"/>
      <c r="AO279" s="57">
        <f t="shared" si="224"/>
        <v>46298</v>
      </c>
      <c r="AP279" s="6">
        <f>+Tabla22[[#This Row],[Web + APP 2025]]+Tabla22[[#This Row],[Afiliados 2025]]+Tabla22[[#This Row],[TMK 2025]]+Tabla22[[#This Row],[WA 2025]]+Tabla22[[#This Row],[Ent. en Tienda 2025]]</f>
        <v>2706319.4137931033</v>
      </c>
      <c r="AQ279" s="6">
        <f>+Tabla22[[#This Row],[Meli Drop 2025]]+Tabla22[[#This Row],[Meli Full 2025]]+Tabla22[[#This Row],[Amazon Drop 2025]]+Tabla22[[#This Row],[Amazon Full 2025]]+Tabla22[[#This Row],[TikTok 2025]]+Tabla22[[#This Row],[Shein 2025]]</f>
        <v>601594.00862068962</v>
      </c>
      <c r="AR279" s="58">
        <f t="shared" si="225"/>
        <v>0</v>
      </c>
      <c r="AS279" s="58">
        <f t="shared" si="226"/>
        <v>0</v>
      </c>
      <c r="AT279" s="59">
        <f t="shared" si="227"/>
        <v>-1</v>
      </c>
      <c r="AU279" s="59">
        <f t="shared" si="228"/>
        <v>-1</v>
      </c>
      <c r="AV279" s="58">
        <f t="shared" si="229"/>
        <v>3522611.92870137</v>
      </c>
      <c r="AW279" s="58">
        <f t="shared" si="230"/>
        <v>843409.87974122597</v>
      </c>
      <c r="AX279" s="59">
        <f t="shared" si="231"/>
        <v>0</v>
      </c>
      <c r="AY279" s="59">
        <f t="shared" si="232"/>
        <v>0</v>
      </c>
      <c r="AZ279" s="59">
        <f t="shared" si="233"/>
        <v>0</v>
      </c>
      <c r="BA279" s="27">
        <v>2.5064186619352901E-2</v>
      </c>
      <c r="BB279" s="27">
        <v>2.4417662851968999E-2</v>
      </c>
      <c r="BC279" s="27"/>
      <c r="BD279" s="27"/>
    </row>
    <row r="280" spans="1:58" ht="14.25" hidden="1" customHeight="1" x14ac:dyDescent="0.35">
      <c r="A280" s="16">
        <v>45934</v>
      </c>
      <c r="B280" s="17">
        <f>+'BD MD'!B279</f>
        <v>52851490</v>
      </c>
      <c r="C280" s="17">
        <f t="shared" si="216"/>
        <v>2956638.5172413792</v>
      </c>
      <c r="D280" s="18">
        <f t="shared" si="258"/>
        <v>2.192756098725419E-2</v>
      </c>
      <c r="E280" s="17"/>
      <c r="F280" s="19">
        <v>46299</v>
      </c>
      <c r="G280" s="17">
        <f t="shared" si="217"/>
        <v>3913033.7729016151</v>
      </c>
      <c r="H280" s="17">
        <v>3010378.3927468699</v>
      </c>
      <c r="I280" s="17">
        <v>902655.38015474495</v>
      </c>
      <c r="J280" s="17">
        <v>2157345</v>
      </c>
      <c r="K280" s="17"/>
      <c r="L280" s="17">
        <v>34722.413793103398</v>
      </c>
      <c r="M280" s="17"/>
      <c r="N280" s="17">
        <v>15783</v>
      </c>
      <c r="O280" s="17"/>
      <c r="P280" s="17">
        <v>-491</v>
      </c>
      <c r="Q280" s="17"/>
      <c r="R280" s="17">
        <v>105426</v>
      </c>
      <c r="S280" s="17"/>
      <c r="T280" s="17">
        <v>459901</v>
      </c>
      <c r="U280" s="17"/>
      <c r="V280" s="17">
        <v>150843</v>
      </c>
      <c r="W280" s="17"/>
      <c r="X280" s="17">
        <v>25838</v>
      </c>
      <c r="Y280" s="17"/>
      <c r="Z280" s="17">
        <v>5526</v>
      </c>
      <c r="AA280" s="17"/>
      <c r="AB280" s="17">
        <v>1745.10344827586</v>
      </c>
      <c r="AC280" s="17"/>
      <c r="AD280" s="17">
        <v>0</v>
      </c>
      <c r="AE280" s="17"/>
      <c r="AF280" s="17">
        <f t="shared" si="218"/>
        <v>0</v>
      </c>
      <c r="AG280" s="18">
        <f t="shared" si="219"/>
        <v>0</v>
      </c>
      <c r="AH280" s="17">
        <f t="shared" si="220"/>
        <v>-3913033.7729016151</v>
      </c>
      <c r="AI280" s="20">
        <f t="shared" si="221"/>
        <v>-1</v>
      </c>
      <c r="AJ280" s="20">
        <f t="shared" si="222"/>
        <v>6.411962314461904E-2</v>
      </c>
      <c r="AK280" s="21" t="e">
        <f t="shared" ref="AK280:AK311" si="259">+AF280/E280</f>
        <v>#DIV/0!</v>
      </c>
      <c r="AL280" s="21">
        <f t="shared" si="223"/>
        <v>-1</v>
      </c>
      <c r="AM280" s="31"/>
      <c r="AO280" s="57">
        <f t="shared" si="224"/>
        <v>46299</v>
      </c>
      <c r="AP280" s="6">
        <f>+Tabla22[[#This Row],[Web + APP 2025]]+Tabla22[[#This Row],[Afiliados 2025]]+Tabla22[[#This Row],[TMK 2025]]+Tabla22[[#This Row],[WA 2025]]+Tabla22[[#This Row],[Ent. en Tienda 2025]]</f>
        <v>2312785.4137931033</v>
      </c>
      <c r="AQ280" s="6">
        <f>+Tabla22[[#This Row],[Meli Drop 2025]]+Tabla22[[#This Row],[Meli Full 2025]]+Tabla22[[#This Row],[Amazon Drop 2025]]+Tabla22[[#This Row],[Amazon Full 2025]]+Tabla22[[#This Row],[TikTok 2025]]+Tabla22[[#This Row],[Shein 2025]]</f>
        <v>643853.10344827583</v>
      </c>
      <c r="AR280" s="58">
        <f t="shared" si="225"/>
        <v>0</v>
      </c>
      <c r="AS280" s="58">
        <f t="shared" si="226"/>
        <v>0</v>
      </c>
      <c r="AT280" s="59">
        <f t="shared" si="227"/>
        <v>-1</v>
      </c>
      <c r="AU280" s="59">
        <f t="shared" si="228"/>
        <v>-1</v>
      </c>
      <c r="AV280" s="58">
        <f t="shared" si="229"/>
        <v>3010378.3927468699</v>
      </c>
      <c r="AW280" s="58">
        <f t="shared" si="230"/>
        <v>902655.38015474495</v>
      </c>
      <c r="AX280" s="59">
        <f t="shared" si="231"/>
        <v>0</v>
      </c>
      <c r="AY280" s="59">
        <f t="shared" si="232"/>
        <v>0</v>
      </c>
      <c r="AZ280" s="59">
        <f t="shared" si="233"/>
        <v>0</v>
      </c>
      <c r="BA280" s="27">
        <v>2.68248255618052E-2</v>
      </c>
      <c r="BB280" s="27">
        <v>2.08670174684964E-2</v>
      </c>
      <c r="BC280" s="27"/>
      <c r="BD280" s="27"/>
    </row>
    <row r="281" spans="1:58" ht="14.25" hidden="1" customHeight="1" x14ac:dyDescent="0.35">
      <c r="A281" s="19">
        <v>45935</v>
      </c>
      <c r="B281" s="17">
        <f>+'BD MD'!B280</f>
        <v>51164374</v>
      </c>
      <c r="C281" s="17">
        <f t="shared" si="216"/>
        <v>3280640.3793103448</v>
      </c>
      <c r="D281" s="18">
        <f t="shared" si="258"/>
        <v>2.4330482598763841E-2</v>
      </c>
      <c r="E281" s="17"/>
      <c r="F281" s="19">
        <v>46300</v>
      </c>
      <c r="G281" s="17">
        <f t="shared" si="217"/>
        <v>4324654.7879951037</v>
      </c>
      <c r="H281" s="17">
        <v>3563234.60019344</v>
      </c>
      <c r="I281" s="17">
        <v>761420.187801664</v>
      </c>
      <c r="J281" s="17">
        <v>2589139</v>
      </c>
      <c r="K281" s="17"/>
      <c r="L281" s="17">
        <v>24383.620689655199</v>
      </c>
      <c r="M281" s="17"/>
      <c r="N281" s="17">
        <v>18991</v>
      </c>
      <c r="O281" s="17"/>
      <c r="P281" s="17">
        <v>-1894</v>
      </c>
      <c r="Q281" s="17"/>
      <c r="R281" s="17">
        <v>106909</v>
      </c>
      <c r="S281" s="17"/>
      <c r="T281" s="17">
        <v>323111</v>
      </c>
      <c r="U281" s="17"/>
      <c r="V281" s="17">
        <v>170727</v>
      </c>
      <c r="W281" s="17"/>
      <c r="X281" s="17">
        <v>38180</v>
      </c>
      <c r="Y281" s="17"/>
      <c r="Z281" s="17">
        <v>8511</v>
      </c>
      <c r="AA281" s="17"/>
      <c r="AB281" s="17">
        <v>1032.7586206896599</v>
      </c>
      <c r="AC281" s="17"/>
      <c r="AD281" s="17">
        <v>1550</v>
      </c>
      <c r="AE281" s="17"/>
      <c r="AF281" s="17">
        <f t="shared" si="218"/>
        <v>0</v>
      </c>
      <c r="AG281" s="18">
        <f t="shared" si="219"/>
        <v>0</v>
      </c>
      <c r="AH281" s="17">
        <f t="shared" si="220"/>
        <v>-4324654.7879951037</v>
      </c>
      <c r="AI281" s="20">
        <f t="shared" si="221"/>
        <v>-1</v>
      </c>
      <c r="AJ281" s="20">
        <f t="shared" si="222"/>
        <v>0.15058944151525389</v>
      </c>
      <c r="AK281" s="21" t="e">
        <f t="shared" si="259"/>
        <v>#DIV/0!</v>
      </c>
      <c r="AL281" s="21">
        <f t="shared" si="223"/>
        <v>-1</v>
      </c>
      <c r="AM281" s="31"/>
      <c r="AO281" s="57">
        <f t="shared" si="224"/>
        <v>46300</v>
      </c>
      <c r="AP281" s="6">
        <f>+Tabla22[[#This Row],[Web + APP 2025]]+Tabla22[[#This Row],[Afiliados 2025]]+Tabla22[[#This Row],[TMK 2025]]+Tabla22[[#This Row],[WA 2025]]+Tabla22[[#This Row],[Ent. en Tienda 2025]]</f>
        <v>2737528.6206896552</v>
      </c>
      <c r="AQ281" s="6">
        <f>+Tabla22[[#This Row],[Meli Drop 2025]]+Tabla22[[#This Row],[Meli Full 2025]]+Tabla22[[#This Row],[Amazon Drop 2025]]+Tabla22[[#This Row],[Amazon Full 2025]]+Tabla22[[#This Row],[TikTok 2025]]+Tabla22[[#This Row],[Shein 2025]]</f>
        <v>543111.75862068962</v>
      </c>
      <c r="AR281" s="58">
        <f t="shared" si="225"/>
        <v>0</v>
      </c>
      <c r="AS281" s="58">
        <f t="shared" si="226"/>
        <v>0</v>
      </c>
      <c r="AT281" s="59">
        <f t="shared" si="227"/>
        <v>-1</v>
      </c>
      <c r="AU281" s="59">
        <f t="shared" si="228"/>
        <v>-1</v>
      </c>
      <c r="AV281" s="58">
        <f t="shared" si="229"/>
        <v>3563234.60019344</v>
      </c>
      <c r="AW281" s="58">
        <f t="shared" si="230"/>
        <v>761420.187801664</v>
      </c>
      <c r="AX281" s="59">
        <f t="shared" si="231"/>
        <v>0</v>
      </c>
      <c r="AY281" s="59">
        <f t="shared" si="232"/>
        <v>0</v>
      </c>
      <c r="AZ281" s="59">
        <f t="shared" si="233"/>
        <v>0</v>
      </c>
      <c r="BA281" s="27">
        <v>2.26276430253095E-2</v>
      </c>
      <c r="BB281" s="27">
        <v>2.46992467211876E-2</v>
      </c>
      <c r="BC281" s="27"/>
      <c r="BD281" s="27"/>
    </row>
    <row r="282" spans="1:58" ht="14.25" hidden="1" customHeight="1" x14ac:dyDescent="0.35">
      <c r="A282" s="16">
        <v>45936</v>
      </c>
      <c r="B282" s="17">
        <f>+'BD MD'!B281</f>
        <v>28890790</v>
      </c>
      <c r="C282" s="17">
        <f t="shared" si="216"/>
        <v>4350647.9310344821</v>
      </c>
      <c r="D282" s="18">
        <f t="shared" si="258"/>
        <v>3.226606745651129E-2</v>
      </c>
      <c r="E282" s="17"/>
      <c r="F282" s="19">
        <v>46301</v>
      </c>
      <c r="G282" s="17">
        <f t="shared" si="217"/>
        <v>5760835.2214753805</v>
      </c>
      <c r="H282" s="17">
        <v>4392539.2660790402</v>
      </c>
      <c r="I282" s="17">
        <v>1368295.95539634</v>
      </c>
      <c r="J282" s="17">
        <v>3206472</v>
      </c>
      <c r="K282" s="17"/>
      <c r="L282" s="17">
        <v>24687.068965517199</v>
      </c>
      <c r="M282" s="17"/>
      <c r="N282" s="17">
        <v>60560</v>
      </c>
      <c r="O282" s="17"/>
      <c r="P282" s="17">
        <v>-2415</v>
      </c>
      <c r="Q282" s="17"/>
      <c r="R282" s="17">
        <v>85355</v>
      </c>
      <c r="S282" s="17"/>
      <c r="T282" s="17">
        <v>749807</v>
      </c>
      <c r="U282" s="17"/>
      <c r="V282" s="17">
        <v>180881</v>
      </c>
      <c r="W282" s="17"/>
      <c r="X282" s="17">
        <v>39968</v>
      </c>
      <c r="Y282" s="17"/>
      <c r="Z282" s="17">
        <v>4257</v>
      </c>
      <c r="AA282" s="17"/>
      <c r="AB282" s="17">
        <v>1075.8620689655199</v>
      </c>
      <c r="AC282" s="17"/>
      <c r="AD282" s="17">
        <v>0</v>
      </c>
      <c r="AE282" s="17"/>
      <c r="AF282" s="17">
        <f t="shared" si="218"/>
        <v>0</v>
      </c>
      <c r="AG282" s="18">
        <f t="shared" si="219"/>
        <v>0</v>
      </c>
      <c r="AH282" s="17">
        <f t="shared" si="220"/>
        <v>-5760835.2214753805</v>
      </c>
      <c r="AI282" s="20">
        <f t="shared" si="221"/>
        <v>-1</v>
      </c>
      <c r="AJ282" s="20">
        <f t="shared" si="222"/>
        <v>0.14008895755054906</v>
      </c>
      <c r="AK282" s="21" t="e">
        <f t="shared" si="259"/>
        <v>#DIV/0!</v>
      </c>
      <c r="AL282" s="21">
        <f t="shared" si="223"/>
        <v>-1</v>
      </c>
      <c r="AM282" s="31"/>
      <c r="AO282" s="57">
        <f t="shared" si="224"/>
        <v>46301</v>
      </c>
      <c r="AP282" s="6">
        <f>+Tabla22[[#This Row],[Web + APP 2025]]+Tabla22[[#This Row],[Afiliados 2025]]+Tabla22[[#This Row],[TMK 2025]]+Tabla22[[#This Row],[WA 2025]]+Tabla22[[#This Row],[Ent. en Tienda 2025]]</f>
        <v>3374659.068965517</v>
      </c>
      <c r="AQ282" s="6">
        <f>+Tabla22[[#This Row],[Meli Drop 2025]]+Tabla22[[#This Row],[Meli Full 2025]]+Tabla22[[#This Row],[Amazon Drop 2025]]+Tabla22[[#This Row],[Amazon Full 2025]]+Tabla22[[#This Row],[TikTok 2025]]+Tabla22[[#This Row],[Shein 2025]]</f>
        <v>975988.86206896557</v>
      </c>
      <c r="AR282" s="58">
        <f t="shared" si="225"/>
        <v>0</v>
      </c>
      <c r="AS282" s="58">
        <f t="shared" si="226"/>
        <v>0</v>
      </c>
      <c r="AT282" s="59">
        <f t="shared" si="227"/>
        <v>-1</v>
      </c>
      <c r="AU282" s="59">
        <f t="shared" si="228"/>
        <v>-1</v>
      </c>
      <c r="AV282" s="58">
        <f t="shared" si="229"/>
        <v>4392539.2660790402</v>
      </c>
      <c r="AW282" s="58">
        <f t="shared" si="230"/>
        <v>1368295.95539634</v>
      </c>
      <c r="AX282" s="59">
        <f t="shared" si="231"/>
        <v>0</v>
      </c>
      <c r="AY282" s="59">
        <f t="shared" si="232"/>
        <v>0</v>
      </c>
      <c r="AZ282" s="59">
        <f t="shared" si="233"/>
        <v>0</v>
      </c>
      <c r="BA282" s="27">
        <v>4.0662584112818499E-2</v>
      </c>
      <c r="BB282" s="27">
        <v>3.04477316928559E-2</v>
      </c>
      <c r="BC282" s="27"/>
      <c r="BD282" s="27"/>
    </row>
    <row r="283" spans="1:58" ht="14.25" hidden="1" customHeight="1" x14ac:dyDescent="0.35">
      <c r="A283" s="19">
        <v>45937</v>
      </c>
      <c r="B283" s="17">
        <f>+'BD MD'!B282</f>
        <v>32567490</v>
      </c>
      <c r="C283" s="17">
        <f t="shared" si="216"/>
        <v>4562345.7241379311</v>
      </c>
      <c r="D283" s="18">
        <f t="shared" si="258"/>
        <v>3.3836099180739154E-2</v>
      </c>
      <c r="E283" s="17"/>
      <c r="F283" s="19">
        <v>46302</v>
      </c>
      <c r="G283" s="17">
        <f t="shared" si="217"/>
        <v>6011868.5632571001</v>
      </c>
      <c r="H283" s="17">
        <v>4986156.6558287097</v>
      </c>
      <c r="I283" s="17">
        <v>1025711.90742839</v>
      </c>
      <c r="J283" s="17">
        <v>3626258</v>
      </c>
      <c r="K283" s="17"/>
      <c r="L283" s="17">
        <v>33481.896551724101</v>
      </c>
      <c r="M283" s="17"/>
      <c r="N283" s="17">
        <v>54703</v>
      </c>
      <c r="O283" s="17"/>
      <c r="P283" s="17">
        <v>2927</v>
      </c>
      <c r="Q283" s="17"/>
      <c r="R283" s="17">
        <v>113348</v>
      </c>
      <c r="S283" s="17"/>
      <c r="T283" s="17">
        <v>522052</v>
      </c>
      <c r="U283" s="17"/>
      <c r="V283" s="17">
        <v>144499</v>
      </c>
      <c r="W283" s="17"/>
      <c r="X283" s="17">
        <v>55307</v>
      </c>
      <c r="Y283" s="17"/>
      <c r="Z283" s="17">
        <v>7575</v>
      </c>
      <c r="AA283" s="17"/>
      <c r="AB283" s="17">
        <v>1506.03448275862</v>
      </c>
      <c r="AC283" s="17"/>
      <c r="AD283" s="17">
        <v>688.79310344827604</v>
      </c>
      <c r="AE283" s="17"/>
      <c r="AF283" s="17">
        <f t="shared" si="218"/>
        <v>0</v>
      </c>
      <c r="AG283" s="18">
        <f t="shared" si="219"/>
        <v>0</v>
      </c>
      <c r="AH283" s="17">
        <f t="shared" si="220"/>
        <v>-6011868.5632571001</v>
      </c>
      <c r="AI283" s="20">
        <f t="shared" si="221"/>
        <v>-1</v>
      </c>
      <c r="AJ283" s="20">
        <f t="shared" si="222"/>
        <v>0.14780999880499757</v>
      </c>
      <c r="AK283" s="21" t="e">
        <f t="shared" si="259"/>
        <v>#DIV/0!</v>
      </c>
      <c r="AL283" s="21">
        <f t="shared" si="223"/>
        <v>-1</v>
      </c>
      <c r="AM283" s="31"/>
      <c r="AO283" s="60">
        <f t="shared" si="224"/>
        <v>46302</v>
      </c>
      <c r="AP283" s="6">
        <f>+Tabla22[[#This Row],[Web + APP 2025]]+Tabla22[[#This Row],[Afiliados 2025]]+Tabla22[[#This Row],[TMK 2025]]+Tabla22[[#This Row],[WA 2025]]+Tabla22[[#This Row],[Ent. en Tienda 2025]]</f>
        <v>3830717.8965517241</v>
      </c>
      <c r="AQ283" s="6">
        <f>+Tabla22[[#This Row],[Meli Drop 2025]]+Tabla22[[#This Row],[Meli Full 2025]]+Tabla22[[#This Row],[Amazon Drop 2025]]+Tabla22[[#This Row],[Amazon Full 2025]]+Tabla22[[#This Row],[TikTok 2025]]+Tabla22[[#This Row],[Shein 2025]]</f>
        <v>731627.82758620684</v>
      </c>
      <c r="AR283" s="58">
        <f t="shared" si="225"/>
        <v>0</v>
      </c>
      <c r="AS283" s="58">
        <f t="shared" si="226"/>
        <v>0</v>
      </c>
      <c r="AT283" s="59">
        <f t="shared" si="227"/>
        <v>-1</v>
      </c>
      <c r="AU283" s="59">
        <f t="shared" si="228"/>
        <v>-1</v>
      </c>
      <c r="AV283" s="58">
        <f t="shared" si="229"/>
        <v>4986156.6558287097</v>
      </c>
      <c r="AW283" s="58">
        <f t="shared" si="230"/>
        <v>1025711.90742839</v>
      </c>
      <c r="AX283" s="59">
        <f t="shared" si="231"/>
        <v>0</v>
      </c>
      <c r="AY283" s="59">
        <f t="shared" si="232"/>
        <v>0</v>
      </c>
      <c r="AZ283" s="59">
        <f t="shared" si="233"/>
        <v>0</v>
      </c>
      <c r="BA283" s="27">
        <v>3.0481780309907499E-2</v>
      </c>
      <c r="BB283" s="27">
        <v>3.4562504929122398E-2</v>
      </c>
      <c r="BC283" s="27"/>
      <c r="BD283" s="27"/>
    </row>
    <row r="284" spans="1:58" ht="14.25" hidden="1" customHeight="1" x14ac:dyDescent="0.35">
      <c r="A284" s="16">
        <v>45938</v>
      </c>
      <c r="B284" s="17">
        <f>+'BD MD'!B283</f>
        <v>34762879</v>
      </c>
      <c r="C284" s="17">
        <f t="shared" si="216"/>
        <v>5138301.1034482755</v>
      </c>
      <c r="D284" s="18">
        <f t="shared" si="258"/>
        <v>3.810760434855661E-2</v>
      </c>
      <c r="E284" s="17"/>
      <c r="F284" s="19">
        <v>46303</v>
      </c>
      <c r="G284" s="17">
        <f t="shared" si="217"/>
        <v>6772646.4787645806</v>
      </c>
      <c r="H284" s="17">
        <v>5591832.0265857</v>
      </c>
      <c r="I284" s="17">
        <v>1180814.4521788801</v>
      </c>
      <c r="J284" s="17">
        <v>4043316</v>
      </c>
      <c r="K284" s="17"/>
      <c r="L284" s="17">
        <v>36340.517241379297</v>
      </c>
      <c r="M284" s="17"/>
      <c r="N284" s="17">
        <v>109501</v>
      </c>
      <c r="O284" s="17"/>
      <c r="P284" s="17">
        <v>1656</v>
      </c>
      <c r="Q284" s="17"/>
      <c r="R284" s="17">
        <v>105227</v>
      </c>
      <c r="S284" s="17"/>
      <c r="T284" s="17">
        <v>614752</v>
      </c>
      <c r="U284" s="17"/>
      <c r="V284" s="17">
        <v>153038</v>
      </c>
      <c r="W284" s="17"/>
      <c r="X284" s="17">
        <v>62307</v>
      </c>
      <c r="Y284" s="17"/>
      <c r="Z284" s="17">
        <v>10011</v>
      </c>
      <c r="AA284" s="17"/>
      <c r="AB284" s="17">
        <v>1463.7931034482799</v>
      </c>
      <c r="AC284" s="17"/>
      <c r="AD284" s="17">
        <v>688.79310344827604</v>
      </c>
      <c r="AE284" s="17"/>
      <c r="AF284" s="17">
        <f t="shared" si="218"/>
        <v>0</v>
      </c>
      <c r="AG284" s="18">
        <f t="shared" si="219"/>
        <v>0</v>
      </c>
      <c r="AH284" s="17">
        <f t="shared" si="220"/>
        <v>-6772646.4787645806</v>
      </c>
      <c r="AI284" s="20">
        <f t="shared" si="221"/>
        <v>-1</v>
      </c>
      <c r="AJ284" s="20">
        <f t="shared" si="222"/>
        <v>9.9308740370839338E-2</v>
      </c>
      <c r="AK284" s="21" t="e">
        <f t="shared" si="259"/>
        <v>#DIV/0!</v>
      </c>
      <c r="AL284" s="21">
        <f t="shared" si="223"/>
        <v>-1</v>
      </c>
      <c r="AM284" s="31"/>
      <c r="AO284" s="57">
        <f t="shared" si="224"/>
        <v>46303</v>
      </c>
      <c r="AP284" s="6">
        <f>+Tabla22[[#This Row],[Web + APP 2025]]+Tabla22[[#This Row],[Afiliados 2025]]+Tabla22[[#This Row],[TMK 2025]]+Tabla22[[#This Row],[WA 2025]]+Tabla22[[#This Row],[Ent. en Tienda 2025]]</f>
        <v>4296040.5172413792</v>
      </c>
      <c r="AQ284" s="6">
        <f>+Tabla22[[#This Row],[Meli Drop 2025]]+Tabla22[[#This Row],[Meli Full 2025]]+Tabla22[[#This Row],[Amazon Drop 2025]]+Tabla22[[#This Row],[Amazon Full 2025]]+Tabla22[[#This Row],[TikTok 2025]]+Tabla22[[#This Row],[Shein 2025]]</f>
        <v>842260.58620689646</v>
      </c>
      <c r="AR284" s="58">
        <f t="shared" si="225"/>
        <v>0</v>
      </c>
      <c r="AS284" s="58">
        <f t="shared" si="226"/>
        <v>0</v>
      </c>
      <c r="AT284" s="59">
        <f t="shared" si="227"/>
        <v>-1</v>
      </c>
      <c r="AU284" s="59">
        <f t="shared" si="228"/>
        <v>-1</v>
      </c>
      <c r="AV284" s="58">
        <f t="shared" si="229"/>
        <v>5591832.0265857</v>
      </c>
      <c r="AW284" s="58">
        <f t="shared" si="230"/>
        <v>1180814.4521788801</v>
      </c>
      <c r="AX284" s="59">
        <f t="shared" si="231"/>
        <v>0</v>
      </c>
      <c r="AY284" s="59">
        <f t="shared" si="232"/>
        <v>0</v>
      </c>
      <c r="AZ284" s="59">
        <f t="shared" si="233"/>
        <v>0</v>
      </c>
      <c r="BA284" s="27">
        <v>3.5091068415419799E-2</v>
      </c>
      <c r="BB284" s="27">
        <v>3.8760860382468502E-2</v>
      </c>
      <c r="BC284" s="27"/>
      <c r="BD284" s="27"/>
    </row>
    <row r="285" spans="1:58" ht="14.25" hidden="1" customHeight="1" x14ac:dyDescent="0.35">
      <c r="A285" s="19">
        <v>45939</v>
      </c>
      <c r="B285" s="17">
        <f>+'BD MD'!B284</f>
        <v>39983455</v>
      </c>
      <c r="C285" s="17">
        <f t="shared" si="216"/>
        <v>3970706.5517241382</v>
      </c>
      <c r="D285" s="18">
        <f t="shared" si="258"/>
        <v>2.9448277010426509E-2</v>
      </c>
      <c r="E285" s="17"/>
      <c r="F285" s="19">
        <v>46304</v>
      </c>
      <c r="G285" s="17">
        <f t="shared" si="217"/>
        <v>5252498.6652221</v>
      </c>
      <c r="H285" s="17">
        <v>4076966.2611807398</v>
      </c>
      <c r="I285" s="17">
        <v>1175532.4040413599</v>
      </c>
      <c r="J285" s="17">
        <v>2935762</v>
      </c>
      <c r="K285" s="17"/>
      <c r="L285" s="17">
        <v>36452.5862068965</v>
      </c>
      <c r="M285" s="17"/>
      <c r="N285" s="17">
        <v>11636</v>
      </c>
      <c r="O285" s="17"/>
      <c r="P285" s="17">
        <v>6503</v>
      </c>
      <c r="Q285" s="17"/>
      <c r="R285" s="17">
        <v>141860</v>
      </c>
      <c r="S285" s="17"/>
      <c r="T285" s="17">
        <v>640869</v>
      </c>
      <c r="U285" s="17"/>
      <c r="V285" s="17">
        <v>128902</v>
      </c>
      <c r="W285" s="17"/>
      <c r="X285" s="17">
        <v>53273</v>
      </c>
      <c r="Y285" s="17"/>
      <c r="Z285" s="17">
        <v>14605</v>
      </c>
      <c r="AA285" s="17"/>
      <c r="AB285" s="17">
        <v>843.96551724137896</v>
      </c>
      <c r="AC285" s="17"/>
      <c r="AD285" s="17">
        <v>0</v>
      </c>
      <c r="AE285" s="17"/>
      <c r="AF285" s="17">
        <f t="shared" si="218"/>
        <v>0</v>
      </c>
      <c r="AG285" s="18">
        <f t="shared" si="219"/>
        <v>0</v>
      </c>
      <c r="AH285" s="17">
        <f t="shared" si="220"/>
        <v>-5252498.6652221</v>
      </c>
      <c r="AI285" s="20">
        <f t="shared" si="221"/>
        <v>-1</v>
      </c>
      <c r="AJ285" s="20">
        <f t="shared" si="222"/>
        <v>0.10905444500159932</v>
      </c>
      <c r="AK285" s="21" t="e">
        <f t="shared" si="259"/>
        <v>#DIV/0!</v>
      </c>
      <c r="AL285" s="21">
        <f t="shared" si="223"/>
        <v>-1</v>
      </c>
      <c r="AM285" s="31"/>
      <c r="AO285" s="57">
        <f t="shared" si="224"/>
        <v>46304</v>
      </c>
      <c r="AP285" s="6">
        <f>+Tabla22[[#This Row],[Web + APP 2025]]+Tabla22[[#This Row],[Afiliados 2025]]+Tabla22[[#This Row],[TMK 2025]]+Tabla22[[#This Row],[WA 2025]]+Tabla22[[#This Row],[Ent. en Tienda 2025]]</f>
        <v>3132213.5862068967</v>
      </c>
      <c r="AQ285" s="6">
        <f>+Tabla22[[#This Row],[Meli Drop 2025]]+Tabla22[[#This Row],[Meli Full 2025]]+Tabla22[[#This Row],[Amazon Drop 2025]]+Tabla22[[#This Row],[Amazon Full 2025]]+Tabla22[[#This Row],[TikTok 2025]]+Tabla22[[#This Row],[Shein 2025]]</f>
        <v>838492.96551724139</v>
      </c>
      <c r="AR285" s="58">
        <f t="shared" si="225"/>
        <v>0</v>
      </c>
      <c r="AS285" s="58">
        <f t="shared" si="226"/>
        <v>0</v>
      </c>
      <c r="AT285" s="59">
        <f t="shared" si="227"/>
        <v>-1</v>
      </c>
      <c r="AU285" s="59">
        <f t="shared" si="228"/>
        <v>-1</v>
      </c>
      <c r="AV285" s="58">
        <f t="shared" si="229"/>
        <v>4076966.2611807398</v>
      </c>
      <c r="AW285" s="58">
        <f t="shared" si="230"/>
        <v>1175532.4040413599</v>
      </c>
      <c r="AX285" s="59">
        <f t="shared" si="231"/>
        <v>0</v>
      </c>
      <c r="AY285" s="59">
        <f t="shared" si="232"/>
        <v>0</v>
      </c>
      <c r="AZ285" s="59">
        <f t="shared" si="233"/>
        <v>0</v>
      </c>
      <c r="BA285" s="27">
        <v>3.4934098188450599E-2</v>
      </c>
      <c r="BB285" s="27">
        <v>2.8260276646784498E-2</v>
      </c>
      <c r="BC285" s="27"/>
      <c r="BD285" s="27"/>
    </row>
    <row r="286" spans="1:58" ht="14.25" hidden="1" customHeight="1" x14ac:dyDescent="0.35">
      <c r="A286" s="16">
        <v>45940</v>
      </c>
      <c r="B286" s="17">
        <f>+'BD MD'!B285</f>
        <v>42763583</v>
      </c>
      <c r="C286" s="17">
        <f t="shared" si="216"/>
        <v>4663558.8103448274</v>
      </c>
      <c r="D286" s="18">
        <f t="shared" si="258"/>
        <v>3.4586734101974187E-2</v>
      </c>
      <c r="E286" s="17"/>
      <c r="F286" s="19">
        <v>46305</v>
      </c>
      <c r="G286" s="17">
        <f t="shared" si="217"/>
        <v>6163557.00068356</v>
      </c>
      <c r="H286" s="17">
        <v>4859127.3407384502</v>
      </c>
      <c r="I286" s="17">
        <v>1304429.6599451101</v>
      </c>
      <c r="J286" s="17">
        <v>3483391</v>
      </c>
      <c r="K286" s="17"/>
      <c r="L286" s="17">
        <v>38300</v>
      </c>
      <c r="M286" s="17"/>
      <c r="N286" s="17">
        <v>25004</v>
      </c>
      <c r="O286" s="17"/>
      <c r="P286" s="17">
        <v>0</v>
      </c>
      <c r="Q286" s="17"/>
      <c r="R286" s="17">
        <v>186430</v>
      </c>
      <c r="S286" s="17"/>
      <c r="T286" s="17">
        <v>732700</v>
      </c>
      <c r="U286" s="17"/>
      <c r="V286" s="17">
        <v>129327</v>
      </c>
      <c r="W286" s="17"/>
      <c r="X286" s="17">
        <v>38381</v>
      </c>
      <c r="Y286" s="17"/>
      <c r="Z286" s="17">
        <v>15134</v>
      </c>
      <c r="AA286" s="17"/>
      <c r="AB286" s="17">
        <v>14030.603448275901</v>
      </c>
      <c r="AC286" s="17"/>
      <c r="AD286" s="17">
        <v>861.20689655172396</v>
      </c>
      <c r="AE286" s="17"/>
      <c r="AF286" s="17">
        <f t="shared" si="218"/>
        <v>0</v>
      </c>
      <c r="AG286" s="18">
        <f t="shared" si="219"/>
        <v>0</v>
      </c>
      <c r="AH286" s="17">
        <f t="shared" si="220"/>
        <v>-6163557.00068356</v>
      </c>
      <c r="AI286" s="20">
        <f t="shared" si="221"/>
        <v>-1</v>
      </c>
      <c r="AJ286" s="20">
        <f t="shared" si="222"/>
        <v>7.7202167829212284E-2</v>
      </c>
      <c r="AK286" s="21" t="e">
        <f t="shared" si="259"/>
        <v>#DIV/0!</v>
      </c>
      <c r="AL286" s="21">
        <f t="shared" si="223"/>
        <v>-1</v>
      </c>
      <c r="AM286" s="31"/>
      <c r="AO286" s="57">
        <f t="shared" si="224"/>
        <v>46305</v>
      </c>
      <c r="AP286" s="6">
        <f>+Tabla22[[#This Row],[Web + APP 2025]]+Tabla22[[#This Row],[Afiliados 2025]]+Tabla22[[#This Row],[TMK 2025]]+Tabla22[[#This Row],[WA 2025]]+Tabla22[[#This Row],[Ent. en Tienda 2025]]</f>
        <v>3733125</v>
      </c>
      <c r="AQ286" s="6">
        <f>+Tabla22[[#This Row],[Meli Drop 2025]]+Tabla22[[#This Row],[Meli Full 2025]]+Tabla22[[#This Row],[Amazon Drop 2025]]+Tabla22[[#This Row],[Amazon Full 2025]]+Tabla22[[#This Row],[TikTok 2025]]+Tabla22[[#This Row],[Shein 2025]]</f>
        <v>930433.81034482771</v>
      </c>
      <c r="AR286" s="58">
        <f t="shared" si="225"/>
        <v>0</v>
      </c>
      <c r="AS286" s="58">
        <f t="shared" si="226"/>
        <v>0</v>
      </c>
      <c r="AT286" s="59">
        <f t="shared" si="227"/>
        <v>-1</v>
      </c>
      <c r="AU286" s="59">
        <f t="shared" si="228"/>
        <v>-1</v>
      </c>
      <c r="AV286" s="58">
        <f t="shared" si="229"/>
        <v>4859127.3407384502</v>
      </c>
      <c r="AW286" s="58">
        <f t="shared" si="230"/>
        <v>1304429.6599451101</v>
      </c>
      <c r="AX286" s="59">
        <f t="shared" si="231"/>
        <v>0</v>
      </c>
      <c r="AY286" s="59">
        <f t="shared" si="232"/>
        <v>0</v>
      </c>
      <c r="AZ286" s="59">
        <f t="shared" si="233"/>
        <v>0</v>
      </c>
      <c r="BA286" s="27">
        <v>3.8764625852752102E-2</v>
      </c>
      <c r="BB286" s="27">
        <v>3.3681976772467301E-2</v>
      </c>
      <c r="BC286" s="27"/>
      <c r="BD286" s="27"/>
    </row>
    <row r="287" spans="1:58" ht="14.25" hidden="1" customHeight="1" x14ac:dyDescent="0.35">
      <c r="A287" s="19">
        <v>45941</v>
      </c>
      <c r="B287" s="17">
        <f>+'BD MD'!B286</f>
        <v>58985064</v>
      </c>
      <c r="C287" s="17">
        <f t="shared" si="216"/>
        <v>4553774.8103448274</v>
      </c>
      <c r="D287" s="18">
        <f t="shared" si="258"/>
        <v>3.3772534009069093E-2</v>
      </c>
      <c r="E287" s="17"/>
      <c r="F287" s="19">
        <v>46306</v>
      </c>
      <c r="G287" s="17">
        <f t="shared" si="217"/>
        <v>6002134.4204214998</v>
      </c>
      <c r="H287" s="17">
        <v>4956553.4484463399</v>
      </c>
      <c r="I287" s="17">
        <v>1045580.9719751599</v>
      </c>
      <c r="J287" s="17">
        <v>3555883</v>
      </c>
      <c r="K287" s="17"/>
      <c r="L287" s="17">
        <v>40308.620689655203</v>
      </c>
      <c r="M287" s="17"/>
      <c r="N287" s="17">
        <v>31280</v>
      </c>
      <c r="O287" s="17"/>
      <c r="P287" s="17">
        <v>2597</v>
      </c>
      <c r="Q287" s="17"/>
      <c r="R287" s="17">
        <v>177906</v>
      </c>
      <c r="S287" s="17"/>
      <c r="T287" s="17">
        <v>582185</v>
      </c>
      <c r="U287" s="17"/>
      <c r="V287" s="17">
        <v>99364</v>
      </c>
      <c r="W287" s="17"/>
      <c r="X287" s="17">
        <v>49257</v>
      </c>
      <c r="Y287" s="17"/>
      <c r="Z287" s="17">
        <v>13284</v>
      </c>
      <c r="AA287" s="17"/>
      <c r="AB287" s="17">
        <v>1710.1896551724101</v>
      </c>
      <c r="AC287" s="17"/>
      <c r="AD287" s="17">
        <v>0</v>
      </c>
      <c r="AE287" s="17"/>
      <c r="AF287" s="17">
        <f t="shared" si="218"/>
        <v>0</v>
      </c>
      <c r="AG287" s="18">
        <f t="shared" si="219"/>
        <v>0</v>
      </c>
      <c r="AH287" s="17">
        <f t="shared" si="220"/>
        <v>-6002134.4204214998</v>
      </c>
      <c r="AI287" s="20">
        <f t="shared" si="221"/>
        <v>-1</v>
      </c>
      <c r="AJ287" s="20">
        <f t="shared" si="222"/>
        <v>0.10004550558837402</v>
      </c>
      <c r="AK287" s="21" t="e">
        <f t="shared" si="259"/>
        <v>#DIV/0!</v>
      </c>
      <c r="AL287" s="21">
        <f t="shared" si="223"/>
        <v>-1</v>
      </c>
      <c r="AM287" s="31"/>
      <c r="AO287" s="57">
        <f t="shared" si="224"/>
        <v>46306</v>
      </c>
      <c r="AP287" s="6">
        <f>+Tabla22[[#This Row],[Web + APP 2025]]+Tabla22[[#This Row],[Afiliados 2025]]+Tabla22[[#This Row],[TMK 2025]]+Tabla22[[#This Row],[WA 2025]]+Tabla22[[#This Row],[Ent. en Tienda 2025]]</f>
        <v>3807974.6206896552</v>
      </c>
      <c r="AQ287" s="6">
        <f>+Tabla22[[#This Row],[Meli Drop 2025]]+Tabla22[[#This Row],[Meli Full 2025]]+Tabla22[[#This Row],[Amazon Drop 2025]]+Tabla22[[#This Row],[Amazon Full 2025]]+Tabla22[[#This Row],[TikTok 2025]]+Tabla22[[#This Row],[Shein 2025]]</f>
        <v>745800.18965517241</v>
      </c>
      <c r="AR287" s="58">
        <f t="shared" si="225"/>
        <v>0</v>
      </c>
      <c r="AS287" s="58">
        <f t="shared" si="226"/>
        <v>0</v>
      </c>
      <c r="AT287" s="59">
        <f t="shared" si="227"/>
        <v>-1</v>
      </c>
      <c r="AU287" s="59">
        <f t="shared" si="228"/>
        <v>-1</v>
      </c>
      <c r="AV287" s="58">
        <f t="shared" si="229"/>
        <v>4956553.4484463399</v>
      </c>
      <c r="AW287" s="58">
        <f t="shared" si="230"/>
        <v>1045580.9719751599</v>
      </c>
      <c r="AX287" s="59">
        <f t="shared" si="231"/>
        <v>0</v>
      </c>
      <c r="AY287" s="59">
        <f t="shared" si="232"/>
        <v>0</v>
      </c>
      <c r="AZ287" s="59">
        <f t="shared" si="233"/>
        <v>0</v>
      </c>
      <c r="BA287" s="27">
        <v>3.1072242852159201E-2</v>
      </c>
      <c r="BB287" s="27">
        <v>3.4357304597144298E-2</v>
      </c>
      <c r="BC287" s="27"/>
      <c r="BD287" s="27"/>
    </row>
    <row r="288" spans="1:58" ht="14.25" hidden="1" customHeight="1" x14ac:dyDescent="0.35">
      <c r="A288" s="16">
        <v>45942</v>
      </c>
      <c r="B288" s="17">
        <f>+'BD MD'!B287</f>
        <v>59452948</v>
      </c>
      <c r="C288" s="17">
        <f t="shared" si="216"/>
        <v>5948000.2413793104</v>
      </c>
      <c r="D288" s="18">
        <f t="shared" si="258"/>
        <v>4.4112642544729318E-2</v>
      </c>
      <c r="E288" s="17"/>
      <c r="F288" s="19">
        <v>46307</v>
      </c>
      <c r="G288" s="17">
        <f t="shared" si="217"/>
        <v>7800801.1742279902</v>
      </c>
      <c r="H288" s="17">
        <v>6980063.5872923797</v>
      </c>
      <c r="I288" s="17">
        <v>820737.58693561004</v>
      </c>
      <c r="J288" s="17">
        <v>5079374</v>
      </c>
      <c r="K288" s="17"/>
      <c r="L288" s="17">
        <v>33968.103448275797</v>
      </c>
      <c r="M288" s="17"/>
      <c r="N288" s="17">
        <v>0</v>
      </c>
      <c r="O288" s="17"/>
      <c r="P288" s="17">
        <v>7846</v>
      </c>
      <c r="Q288" s="17"/>
      <c r="R288" s="17">
        <v>241390</v>
      </c>
      <c r="S288" s="17"/>
      <c r="T288" s="17">
        <v>416113</v>
      </c>
      <c r="U288" s="17"/>
      <c r="V288" s="17">
        <v>102685</v>
      </c>
      <c r="W288" s="17"/>
      <c r="X288" s="17">
        <v>46963</v>
      </c>
      <c r="Y288" s="17"/>
      <c r="Z288" s="17">
        <v>17337</v>
      </c>
      <c r="AA288" s="17"/>
      <c r="AB288" s="17">
        <v>1118.96551724138</v>
      </c>
      <c r="AC288" s="17"/>
      <c r="AD288" s="17">
        <v>1205.1724137931001</v>
      </c>
      <c r="AE288" s="17"/>
      <c r="AF288" s="17">
        <f t="shared" si="218"/>
        <v>0</v>
      </c>
      <c r="AG288" s="18">
        <f t="shared" si="219"/>
        <v>0</v>
      </c>
      <c r="AH288" s="17">
        <f t="shared" si="220"/>
        <v>-7800801.1742279902</v>
      </c>
      <c r="AI288" s="20">
        <f t="shared" si="221"/>
        <v>-1</v>
      </c>
      <c r="AJ288" s="20">
        <f t="shared" si="222"/>
        <v>0.15647554353299239</v>
      </c>
      <c r="AK288" s="21" t="e">
        <f t="shared" si="259"/>
        <v>#DIV/0!</v>
      </c>
      <c r="AL288" s="21">
        <f t="shared" si="223"/>
        <v>-1</v>
      </c>
      <c r="AM288" s="31"/>
      <c r="AO288" s="60">
        <f t="shared" si="224"/>
        <v>46307</v>
      </c>
      <c r="AP288" s="6">
        <f>+Tabla22[[#This Row],[Web + APP 2025]]+Tabla22[[#This Row],[Afiliados 2025]]+Tabla22[[#This Row],[TMK 2025]]+Tabla22[[#This Row],[WA 2025]]+Tabla22[[#This Row],[Ent. en Tienda 2025]]</f>
        <v>5362578.1034482755</v>
      </c>
      <c r="AQ288" s="6">
        <f>+Tabla22[[#This Row],[Meli Drop 2025]]+Tabla22[[#This Row],[Meli Full 2025]]+Tabla22[[#This Row],[Amazon Drop 2025]]+Tabla22[[#This Row],[Amazon Full 2025]]+Tabla22[[#This Row],[TikTok 2025]]+Tabla22[[#This Row],[Shein 2025]]</f>
        <v>585422.13793103443</v>
      </c>
      <c r="AR288" s="58">
        <f t="shared" si="225"/>
        <v>0</v>
      </c>
      <c r="AS288" s="58">
        <f t="shared" si="226"/>
        <v>0</v>
      </c>
      <c r="AT288" s="59">
        <f t="shared" si="227"/>
        <v>-1</v>
      </c>
      <c r="AU288" s="59">
        <f t="shared" si="228"/>
        <v>-1</v>
      </c>
      <c r="AV288" s="58">
        <f t="shared" si="229"/>
        <v>6980063.5872923797</v>
      </c>
      <c r="AW288" s="58">
        <f t="shared" si="230"/>
        <v>820737.58693561004</v>
      </c>
      <c r="AX288" s="59">
        <f t="shared" si="231"/>
        <v>0</v>
      </c>
      <c r="AY288" s="59">
        <f t="shared" si="232"/>
        <v>0</v>
      </c>
      <c r="AZ288" s="59">
        <f t="shared" si="233"/>
        <v>0</v>
      </c>
      <c r="BA288" s="27">
        <v>2.4390418631073101E-2</v>
      </c>
      <c r="BB288" s="27">
        <v>4.8383654745256799E-2</v>
      </c>
      <c r="BC288" s="27"/>
      <c r="BD288" s="27"/>
    </row>
    <row r="289" spans="1:56" ht="14.25" hidden="1" customHeight="1" x14ac:dyDescent="0.35">
      <c r="A289" s="19">
        <v>45943</v>
      </c>
      <c r="B289" s="17">
        <f>+'BD MD'!B288</f>
        <v>30334126</v>
      </c>
      <c r="C289" s="17">
        <f t="shared" si="216"/>
        <v>4746548.8534482764</v>
      </c>
      <c r="D289" s="18">
        <f t="shared" si="258"/>
        <v>3.5202219972456462E-2</v>
      </c>
      <c r="E289" s="17"/>
      <c r="F289" s="19">
        <v>46308</v>
      </c>
      <c r="G289" s="17">
        <f t="shared" si="217"/>
        <v>6264741.6938360697</v>
      </c>
      <c r="H289" s="17">
        <v>5055847.5221082997</v>
      </c>
      <c r="I289" s="17">
        <v>1208894.17172777</v>
      </c>
      <c r="J289" s="17">
        <v>3532434</v>
      </c>
      <c r="K289" s="17"/>
      <c r="L289" s="17">
        <v>27835.344827586199</v>
      </c>
      <c r="M289" s="17"/>
      <c r="N289" s="17">
        <v>56747</v>
      </c>
      <c r="O289" s="17"/>
      <c r="P289" s="17">
        <v>6296</v>
      </c>
      <c r="Q289" s="17"/>
      <c r="R289" s="17">
        <v>260947</v>
      </c>
      <c r="S289" s="17"/>
      <c r="T289" s="17">
        <v>696035</v>
      </c>
      <c r="U289" s="17"/>
      <c r="V289" s="17">
        <v>89849</v>
      </c>
      <c r="W289" s="17"/>
      <c r="X289" s="17">
        <v>44082</v>
      </c>
      <c r="Y289" s="17"/>
      <c r="Z289" s="17">
        <v>19797</v>
      </c>
      <c r="AA289" s="17"/>
      <c r="AB289" s="17">
        <v>12526.508620689699</v>
      </c>
      <c r="AC289" s="17"/>
      <c r="AD289" s="17">
        <v>0</v>
      </c>
      <c r="AE289" s="17"/>
      <c r="AF289" s="17">
        <f t="shared" si="218"/>
        <v>0</v>
      </c>
      <c r="AG289" s="18">
        <f t="shared" si="219"/>
        <v>0</v>
      </c>
      <c r="AH289" s="17">
        <f t="shared" si="220"/>
        <v>-6264741.6938360697</v>
      </c>
      <c r="AI289" s="20">
        <f t="shared" si="221"/>
        <v>-1</v>
      </c>
      <c r="AJ289" s="20">
        <f t="shared" si="222"/>
        <v>0.19690160847885563</v>
      </c>
      <c r="AK289" s="21" t="e">
        <f t="shared" si="259"/>
        <v>#DIV/0!</v>
      </c>
      <c r="AL289" s="21">
        <f t="shared" si="223"/>
        <v>-1</v>
      </c>
      <c r="AM289" s="31"/>
      <c r="AO289" s="57">
        <f t="shared" si="224"/>
        <v>46308</v>
      </c>
      <c r="AP289" s="6">
        <f>+Tabla22[[#This Row],[Web + APP 2025]]+Tabla22[[#This Row],[Afiliados 2025]]+Tabla22[[#This Row],[TMK 2025]]+Tabla22[[#This Row],[WA 2025]]+Tabla22[[#This Row],[Ent. en Tienda 2025]]</f>
        <v>3884259.3448275863</v>
      </c>
      <c r="AQ289" s="6">
        <f>+Tabla22[[#This Row],[Meli Drop 2025]]+Tabla22[[#This Row],[Meli Full 2025]]+Tabla22[[#This Row],[Amazon Drop 2025]]+Tabla22[[#This Row],[Amazon Full 2025]]+Tabla22[[#This Row],[TikTok 2025]]+Tabla22[[#This Row],[Shein 2025]]</f>
        <v>862289.50862068974</v>
      </c>
      <c r="AR289" s="58">
        <f t="shared" si="225"/>
        <v>0</v>
      </c>
      <c r="AS289" s="58">
        <f t="shared" si="226"/>
        <v>0</v>
      </c>
      <c r="AT289" s="59">
        <f t="shared" si="227"/>
        <v>-1</v>
      </c>
      <c r="AU289" s="59">
        <f t="shared" si="228"/>
        <v>-1</v>
      </c>
      <c r="AV289" s="58">
        <f t="shared" si="229"/>
        <v>5055847.5221082997</v>
      </c>
      <c r="AW289" s="58">
        <f t="shared" si="230"/>
        <v>1208894.17172777</v>
      </c>
      <c r="AX289" s="59">
        <f t="shared" si="231"/>
        <v>0</v>
      </c>
      <c r="AY289" s="59">
        <f t="shared" si="232"/>
        <v>0</v>
      </c>
      <c r="AZ289" s="59">
        <f t="shared" si="233"/>
        <v>0</v>
      </c>
      <c r="BA289" s="27">
        <v>3.5925532592207099E-2</v>
      </c>
      <c r="BB289" s="27">
        <v>3.5045580587502997E-2</v>
      </c>
      <c r="BC289" s="27"/>
      <c r="BD289" s="27"/>
    </row>
    <row r="290" spans="1:56" ht="14.25" hidden="1" customHeight="1" x14ac:dyDescent="0.35">
      <c r="A290" s="16">
        <v>45944</v>
      </c>
      <c r="B290" s="17">
        <f>+'BD MD'!B289</f>
        <v>36736864</v>
      </c>
      <c r="C290" s="17">
        <f t="shared" si="216"/>
        <v>7233547.612068966</v>
      </c>
      <c r="D290" s="18">
        <f t="shared" si="258"/>
        <v>5.3646753058551176E-2</v>
      </c>
      <c r="E290" s="17"/>
      <c r="F290" s="19">
        <v>46309</v>
      </c>
      <c r="G290" s="17">
        <f t="shared" si="217"/>
        <v>9516697.0984582193</v>
      </c>
      <c r="H290" s="17">
        <v>8100771.2561988896</v>
      </c>
      <c r="I290" s="17">
        <v>1415925.84225933</v>
      </c>
      <c r="J290" s="17">
        <v>5860826</v>
      </c>
      <c r="K290" s="17"/>
      <c r="L290" s="17">
        <v>34962.931034482703</v>
      </c>
      <c r="M290" s="17"/>
      <c r="N290" s="17">
        <v>51290</v>
      </c>
      <c r="O290" s="17"/>
      <c r="P290" s="17">
        <v>8434</v>
      </c>
      <c r="Q290" s="17"/>
      <c r="R290" s="17">
        <v>268072</v>
      </c>
      <c r="S290" s="17"/>
      <c r="T290" s="17">
        <v>843210</v>
      </c>
      <c r="U290" s="17"/>
      <c r="V290" s="17">
        <v>87564</v>
      </c>
      <c r="W290" s="17"/>
      <c r="X290" s="17">
        <v>54009</v>
      </c>
      <c r="Y290" s="17"/>
      <c r="Z290" s="17">
        <v>8460</v>
      </c>
      <c r="AA290" s="17"/>
      <c r="AB290" s="17">
        <v>16719.681034482801</v>
      </c>
      <c r="AC290" s="17"/>
      <c r="AD290" s="17">
        <v>0</v>
      </c>
      <c r="AE290" s="17"/>
      <c r="AF290" s="17">
        <f t="shared" si="218"/>
        <v>0</v>
      </c>
      <c r="AG290" s="18">
        <f t="shared" si="219"/>
        <v>0</v>
      </c>
      <c r="AH290" s="17">
        <f t="shared" si="220"/>
        <v>-9516697.0984582193</v>
      </c>
      <c r="AI290" s="20">
        <f t="shared" si="221"/>
        <v>-1</v>
      </c>
      <c r="AJ290" s="20">
        <f t="shared" si="222"/>
        <v>0.14362521307931883</v>
      </c>
      <c r="AK290" s="21" t="e">
        <f t="shared" si="259"/>
        <v>#DIV/0!</v>
      </c>
      <c r="AL290" s="21">
        <f t="shared" si="223"/>
        <v>-1</v>
      </c>
      <c r="AM290" s="31"/>
      <c r="AO290" s="57">
        <f t="shared" si="224"/>
        <v>46309</v>
      </c>
      <c r="AP290" s="6">
        <f>+Tabla22[[#This Row],[Web + APP 2025]]+Tabla22[[#This Row],[Afiliados 2025]]+Tabla22[[#This Row],[TMK 2025]]+Tabla22[[#This Row],[WA 2025]]+Tabla22[[#This Row],[Ent. en Tienda 2025]]</f>
        <v>6223584.931034483</v>
      </c>
      <c r="AQ290" s="6">
        <f>+Tabla22[[#This Row],[Meli Drop 2025]]+Tabla22[[#This Row],[Meli Full 2025]]+Tabla22[[#This Row],[Amazon Drop 2025]]+Tabla22[[#This Row],[Amazon Full 2025]]+Tabla22[[#This Row],[TikTok 2025]]+Tabla22[[#This Row],[Shein 2025]]</f>
        <v>1009962.6810344828</v>
      </c>
      <c r="AR290" s="58">
        <f t="shared" si="225"/>
        <v>0</v>
      </c>
      <c r="AS290" s="58">
        <f t="shared" si="226"/>
        <v>0</v>
      </c>
      <c r="AT290" s="59">
        <f t="shared" si="227"/>
        <v>-1</v>
      </c>
      <c r="AU290" s="59">
        <f t="shared" si="228"/>
        <v>-1</v>
      </c>
      <c r="AV290" s="58">
        <f t="shared" si="229"/>
        <v>8100771.2561988896</v>
      </c>
      <c r="AW290" s="58">
        <f t="shared" si="230"/>
        <v>1415925.84225933</v>
      </c>
      <c r="AX290" s="59">
        <f t="shared" si="231"/>
        <v>0</v>
      </c>
      <c r="AY290" s="59">
        <f t="shared" si="232"/>
        <v>0</v>
      </c>
      <c r="AZ290" s="59">
        <f t="shared" si="233"/>
        <v>0</v>
      </c>
      <c r="BA290" s="27">
        <v>4.20780339452997E-2</v>
      </c>
      <c r="BB290" s="27">
        <v>5.6152055741123398E-2</v>
      </c>
      <c r="BC290" s="27"/>
      <c r="BD290" s="27"/>
    </row>
    <row r="291" spans="1:56" ht="14.25" hidden="1" customHeight="1" x14ac:dyDescent="0.35">
      <c r="A291" s="19">
        <v>45945</v>
      </c>
      <c r="B291" s="17">
        <f>+'BD MD'!B290</f>
        <v>38912618</v>
      </c>
      <c r="C291" s="17">
        <f t="shared" si="216"/>
        <v>5588833.0517241377</v>
      </c>
      <c r="D291" s="18">
        <f t="shared" si="258"/>
        <v>4.1448921427028163E-2</v>
      </c>
      <c r="E291" s="17"/>
      <c r="F291" s="19">
        <v>46310</v>
      </c>
      <c r="G291" s="17">
        <f t="shared" si="217"/>
        <v>7357115.1101991897</v>
      </c>
      <c r="H291" s="17">
        <v>6203615.4278781796</v>
      </c>
      <c r="I291" s="17">
        <v>1153499.6823210099</v>
      </c>
      <c r="J291" s="17">
        <v>4393558</v>
      </c>
      <c r="K291" s="17"/>
      <c r="L291" s="17">
        <v>34782.758620689601</v>
      </c>
      <c r="M291" s="17"/>
      <c r="N291" s="17">
        <v>52617</v>
      </c>
      <c r="O291" s="17"/>
      <c r="P291" s="17">
        <v>5393</v>
      </c>
      <c r="Q291" s="17"/>
      <c r="R291" s="17">
        <v>279705</v>
      </c>
      <c r="S291" s="17"/>
      <c r="T291" s="17">
        <v>668950</v>
      </c>
      <c r="U291" s="17"/>
      <c r="V291" s="17">
        <v>93705</v>
      </c>
      <c r="W291" s="17"/>
      <c r="X291" s="17">
        <v>42427</v>
      </c>
      <c r="Y291" s="17"/>
      <c r="Z291" s="17">
        <v>12416</v>
      </c>
      <c r="AA291" s="17"/>
      <c r="AB291" s="17">
        <v>4590.5</v>
      </c>
      <c r="AC291" s="17"/>
      <c r="AD291" s="17">
        <v>688.79310344827604</v>
      </c>
      <c r="AE291" s="17"/>
      <c r="AF291" s="17">
        <f t="shared" si="218"/>
        <v>0</v>
      </c>
      <c r="AG291" s="18">
        <f t="shared" si="219"/>
        <v>0</v>
      </c>
      <c r="AH291" s="17">
        <f t="shared" si="220"/>
        <v>-7357115.1101991897</v>
      </c>
      <c r="AI291" s="20">
        <f t="shared" si="221"/>
        <v>-1</v>
      </c>
      <c r="AJ291" s="20">
        <f t="shared" si="222"/>
        <v>0.10456272839443309</v>
      </c>
      <c r="AK291" s="21" t="e">
        <f t="shared" si="259"/>
        <v>#DIV/0!</v>
      </c>
      <c r="AL291" s="21">
        <f t="shared" si="223"/>
        <v>-1</v>
      </c>
      <c r="AM291" s="31"/>
      <c r="AO291" s="57">
        <f t="shared" si="224"/>
        <v>46310</v>
      </c>
      <c r="AP291" s="6">
        <f>+Tabla22[[#This Row],[Web + APP 2025]]+Tabla22[[#This Row],[Afiliados 2025]]+Tabla22[[#This Row],[TMK 2025]]+Tabla22[[#This Row],[WA 2025]]+Tabla22[[#This Row],[Ent. en Tienda 2025]]</f>
        <v>4766055.7586206896</v>
      </c>
      <c r="AQ291" s="6">
        <f>+Tabla22[[#This Row],[Meli Drop 2025]]+Tabla22[[#This Row],[Meli Full 2025]]+Tabla22[[#This Row],[Amazon Drop 2025]]+Tabla22[[#This Row],[Amazon Full 2025]]+Tabla22[[#This Row],[TikTok 2025]]+Tabla22[[#This Row],[Shein 2025]]</f>
        <v>822777.29310344823</v>
      </c>
      <c r="AR291" s="58">
        <f t="shared" si="225"/>
        <v>0</v>
      </c>
      <c r="AS291" s="58">
        <f t="shared" si="226"/>
        <v>0</v>
      </c>
      <c r="AT291" s="59">
        <f t="shared" si="227"/>
        <v>-1</v>
      </c>
      <c r="AU291" s="59">
        <f t="shared" si="228"/>
        <v>-1</v>
      </c>
      <c r="AV291" s="58">
        <f t="shared" si="229"/>
        <v>6203615.4278781796</v>
      </c>
      <c r="AW291" s="58">
        <f t="shared" si="230"/>
        <v>1153499.6823210099</v>
      </c>
      <c r="AX291" s="59">
        <f t="shared" si="231"/>
        <v>0</v>
      </c>
      <c r="AY291" s="59">
        <f t="shared" si="232"/>
        <v>0</v>
      </c>
      <c r="AZ291" s="59">
        <f t="shared" si="233"/>
        <v>0</v>
      </c>
      <c r="BA291" s="27">
        <v>3.4279336770312398E-2</v>
      </c>
      <c r="BB291" s="27">
        <v>4.3001554825553998E-2</v>
      </c>
      <c r="BC291" s="27"/>
      <c r="BD291" s="27"/>
    </row>
    <row r="292" spans="1:56" ht="14.25" hidden="1" customHeight="1" x14ac:dyDescent="0.35">
      <c r="A292" s="16">
        <v>45946</v>
      </c>
      <c r="B292" s="17">
        <f>+'BD MD'!B291</f>
        <v>46278011</v>
      </c>
      <c r="C292" s="17">
        <f t="shared" si="216"/>
        <v>4838955.0948275868</v>
      </c>
      <c r="D292" s="18">
        <f t="shared" si="258"/>
        <v>3.5887539967319512E-2</v>
      </c>
      <c r="E292" s="17"/>
      <c r="F292" s="19">
        <v>46311</v>
      </c>
      <c r="G292" s="17">
        <f t="shared" si="217"/>
        <v>6376006.9473173004</v>
      </c>
      <c r="H292" s="17">
        <v>5293050.47276734</v>
      </c>
      <c r="I292" s="17">
        <v>1082956.4745499601</v>
      </c>
      <c r="J292" s="17">
        <v>3659618</v>
      </c>
      <c r="K292" s="17"/>
      <c r="L292" s="17">
        <v>37947.413793103398</v>
      </c>
      <c r="M292" s="17"/>
      <c r="N292" s="17">
        <v>37369</v>
      </c>
      <c r="O292" s="17"/>
      <c r="P292" s="17">
        <v>9908</v>
      </c>
      <c r="Q292" s="17"/>
      <c r="R292" s="17">
        <v>321653</v>
      </c>
      <c r="S292" s="17"/>
      <c r="T292" s="17">
        <v>573332</v>
      </c>
      <c r="U292" s="17"/>
      <c r="V292" s="17">
        <v>132053</v>
      </c>
      <c r="W292" s="17"/>
      <c r="X292" s="17">
        <v>44310</v>
      </c>
      <c r="Y292" s="17"/>
      <c r="Z292" s="17">
        <v>14263</v>
      </c>
      <c r="AA292" s="17"/>
      <c r="AB292" s="17">
        <v>6779.2672413793098</v>
      </c>
      <c r="AC292" s="17"/>
      <c r="AD292" s="17">
        <v>1722.41379310345</v>
      </c>
      <c r="AE292" s="17"/>
      <c r="AF292" s="17">
        <f t="shared" si="218"/>
        <v>0</v>
      </c>
      <c r="AG292" s="18">
        <f t="shared" si="219"/>
        <v>0</v>
      </c>
      <c r="AH292" s="17">
        <f t="shared" si="220"/>
        <v>-6376006.9473173004</v>
      </c>
      <c r="AI292" s="20">
        <f t="shared" si="221"/>
        <v>-1</v>
      </c>
      <c r="AJ292" s="20">
        <f t="shared" si="222"/>
        <v>8.949790217765427E-2</v>
      </c>
      <c r="AK292" s="21" t="e">
        <f t="shared" si="259"/>
        <v>#DIV/0!</v>
      </c>
      <c r="AL292" s="21">
        <f t="shared" si="223"/>
        <v>-1</v>
      </c>
      <c r="AM292" s="31"/>
      <c r="AO292" s="57">
        <f t="shared" si="224"/>
        <v>46311</v>
      </c>
      <c r="AP292" s="6">
        <f>+Tabla22[[#This Row],[Web + APP 2025]]+Tabla22[[#This Row],[Afiliados 2025]]+Tabla22[[#This Row],[TMK 2025]]+Tabla22[[#This Row],[WA 2025]]+Tabla22[[#This Row],[Ent. en Tienda 2025]]</f>
        <v>4066495.4137931033</v>
      </c>
      <c r="AQ292" s="6">
        <f>+Tabla22[[#This Row],[Meli Drop 2025]]+Tabla22[[#This Row],[Meli Full 2025]]+Tabla22[[#This Row],[Amazon Drop 2025]]+Tabla22[[#This Row],[Amazon Full 2025]]+Tabla22[[#This Row],[TikTok 2025]]+Tabla22[[#This Row],[Shein 2025]]</f>
        <v>772459.68103448278</v>
      </c>
      <c r="AR292" s="58">
        <f t="shared" si="225"/>
        <v>0</v>
      </c>
      <c r="AS292" s="58">
        <f t="shared" si="226"/>
        <v>0</v>
      </c>
      <c r="AT292" s="59">
        <f t="shared" si="227"/>
        <v>-1</v>
      </c>
      <c r="AU292" s="59">
        <f t="shared" si="228"/>
        <v>-1</v>
      </c>
      <c r="AV292" s="58">
        <f t="shared" si="229"/>
        <v>5293050.47276734</v>
      </c>
      <c r="AW292" s="58">
        <f t="shared" si="230"/>
        <v>1082956.4745499601</v>
      </c>
      <c r="AX292" s="59">
        <f t="shared" si="231"/>
        <v>0</v>
      </c>
      <c r="AY292" s="59">
        <f t="shared" si="232"/>
        <v>0</v>
      </c>
      <c r="AZ292" s="59">
        <f t="shared" si="233"/>
        <v>0</v>
      </c>
      <c r="BA292" s="27">
        <v>3.2182956153044798E-2</v>
      </c>
      <c r="BB292" s="27">
        <v>3.6689798512700302E-2</v>
      </c>
      <c r="BC292" s="27"/>
      <c r="BD292" s="27"/>
    </row>
    <row r="293" spans="1:56" ht="14.25" hidden="1" customHeight="1" x14ac:dyDescent="0.35">
      <c r="A293" s="19">
        <v>45947</v>
      </c>
      <c r="B293" s="17">
        <f>+'BD MD'!B292</f>
        <v>43693955</v>
      </c>
      <c r="C293" s="17">
        <f t="shared" si="216"/>
        <v>3910517.3103448278</v>
      </c>
      <c r="D293" s="18">
        <f t="shared" si="258"/>
        <v>2.9001890597807896E-2</v>
      </c>
      <c r="E293" s="17"/>
      <c r="F293" s="19">
        <v>46312</v>
      </c>
      <c r="G293" s="17">
        <f t="shared" si="217"/>
        <v>5173649.6724917796</v>
      </c>
      <c r="H293" s="17">
        <v>4005176.3232548898</v>
      </c>
      <c r="I293" s="17">
        <v>1168473.34923689</v>
      </c>
      <c r="J293" s="17">
        <v>2757514</v>
      </c>
      <c r="K293" s="17"/>
      <c r="L293" s="17">
        <v>38559.482758620703</v>
      </c>
      <c r="M293" s="17"/>
      <c r="N293" s="17">
        <v>28828</v>
      </c>
      <c r="O293" s="17"/>
      <c r="P293" s="17">
        <v>2569</v>
      </c>
      <c r="Q293" s="17"/>
      <c r="R293" s="17">
        <v>249589</v>
      </c>
      <c r="S293" s="17"/>
      <c r="T293" s="17">
        <v>603059</v>
      </c>
      <c r="U293" s="17"/>
      <c r="V293" s="17">
        <v>182555</v>
      </c>
      <c r="W293" s="17"/>
      <c r="X293" s="17">
        <v>33984</v>
      </c>
      <c r="Y293" s="17"/>
      <c r="Z293" s="17">
        <v>6959</v>
      </c>
      <c r="AA293" s="17"/>
      <c r="AB293" s="17">
        <v>6900.8275862069004</v>
      </c>
      <c r="AC293" s="17"/>
      <c r="AD293" s="17">
        <v>0</v>
      </c>
      <c r="AE293" s="17"/>
      <c r="AF293" s="17">
        <f t="shared" si="218"/>
        <v>0</v>
      </c>
      <c r="AG293" s="18">
        <f t="shared" si="219"/>
        <v>0</v>
      </c>
      <c r="AH293" s="17">
        <f t="shared" si="220"/>
        <v>-5173649.6724917796</v>
      </c>
      <c r="AI293" s="20">
        <f t="shared" si="221"/>
        <v>-1</v>
      </c>
      <c r="AJ293" s="20">
        <f t="shared" si="222"/>
        <v>5.2087410632322077E-2</v>
      </c>
      <c r="AK293" s="21" t="e">
        <f t="shared" si="259"/>
        <v>#DIV/0!</v>
      </c>
      <c r="AL293" s="21">
        <f t="shared" si="223"/>
        <v>-1</v>
      </c>
      <c r="AM293" s="31"/>
      <c r="AO293" s="60">
        <f t="shared" si="224"/>
        <v>46312</v>
      </c>
      <c r="AP293" s="6">
        <f>+Tabla22[[#This Row],[Web + APP 2025]]+Tabla22[[#This Row],[Afiliados 2025]]+Tabla22[[#This Row],[TMK 2025]]+Tabla22[[#This Row],[WA 2025]]+Tabla22[[#This Row],[Ent. en Tienda 2025]]</f>
        <v>3077059.4827586208</v>
      </c>
      <c r="AQ293" s="6">
        <f>+Tabla22[[#This Row],[Meli Drop 2025]]+Tabla22[[#This Row],[Meli Full 2025]]+Tabla22[[#This Row],[Amazon Drop 2025]]+Tabla22[[#This Row],[Amazon Full 2025]]+Tabla22[[#This Row],[TikTok 2025]]+Tabla22[[#This Row],[Shein 2025]]</f>
        <v>833457.82758620696</v>
      </c>
      <c r="AR293" s="58">
        <f t="shared" si="225"/>
        <v>0</v>
      </c>
      <c r="AS293" s="58">
        <f t="shared" si="226"/>
        <v>0</v>
      </c>
      <c r="AT293" s="59">
        <f t="shared" si="227"/>
        <v>-1</v>
      </c>
      <c r="AU293" s="59">
        <f t="shared" si="228"/>
        <v>-1</v>
      </c>
      <c r="AV293" s="58">
        <f t="shared" si="229"/>
        <v>4005176.3232548898</v>
      </c>
      <c r="AW293" s="58">
        <f t="shared" si="230"/>
        <v>1168473.34923689</v>
      </c>
      <c r="AX293" s="59">
        <f t="shared" si="231"/>
        <v>0</v>
      </c>
      <c r="AY293" s="59">
        <f t="shared" si="232"/>
        <v>0</v>
      </c>
      <c r="AZ293" s="59">
        <f t="shared" si="233"/>
        <v>0</v>
      </c>
      <c r="BA293" s="27">
        <v>3.4724319442403999E-2</v>
      </c>
      <c r="BB293" s="27">
        <v>2.7762650869118E-2</v>
      </c>
      <c r="BC293" s="27"/>
      <c r="BD293" s="27"/>
    </row>
    <row r="294" spans="1:56" ht="14.25" hidden="1" customHeight="1" x14ac:dyDescent="0.35">
      <c r="A294" s="16">
        <v>45948</v>
      </c>
      <c r="B294" s="17">
        <f>+'BD MD'!B293</f>
        <v>58058265</v>
      </c>
      <c r="C294" s="17">
        <f t="shared" si="216"/>
        <v>3024104.6896551726</v>
      </c>
      <c r="D294" s="18">
        <f t="shared" si="258"/>
        <v>2.2427915900968955E-2</v>
      </c>
      <c r="E294" s="17"/>
      <c r="F294" s="19">
        <v>46313</v>
      </c>
      <c r="G294" s="17">
        <f t="shared" si="217"/>
        <v>4011449.9742653999</v>
      </c>
      <c r="H294" s="17">
        <v>2960673.6580391498</v>
      </c>
      <c r="I294" s="17">
        <v>1050776.31622625</v>
      </c>
      <c r="J294" s="17">
        <v>2057157</v>
      </c>
      <c r="K294" s="17"/>
      <c r="L294" s="17">
        <v>39201.724137931</v>
      </c>
      <c r="M294" s="17"/>
      <c r="N294" s="17">
        <v>21446</v>
      </c>
      <c r="O294" s="17"/>
      <c r="P294" s="17">
        <v>128</v>
      </c>
      <c r="Q294" s="17"/>
      <c r="R294" s="17">
        <v>156666</v>
      </c>
      <c r="S294" s="17"/>
      <c r="T294" s="17">
        <v>518617</v>
      </c>
      <c r="U294" s="17"/>
      <c r="V294" s="17">
        <v>193438</v>
      </c>
      <c r="W294" s="17"/>
      <c r="X294" s="17">
        <v>25309</v>
      </c>
      <c r="Y294" s="17"/>
      <c r="Z294" s="17">
        <v>10273</v>
      </c>
      <c r="AA294" s="17"/>
      <c r="AB294" s="17">
        <v>1868.96551724138</v>
      </c>
      <c r="AC294" s="17"/>
      <c r="AD294" s="17">
        <v>0</v>
      </c>
      <c r="AE294" s="17"/>
      <c r="AF294" s="17">
        <f t="shared" si="218"/>
        <v>0</v>
      </c>
      <c r="AG294" s="18">
        <f t="shared" si="219"/>
        <v>0</v>
      </c>
      <c r="AH294" s="17">
        <f t="shared" si="220"/>
        <v>-4011449.9742653999</v>
      </c>
      <c r="AI294" s="20">
        <f t="shared" si="221"/>
        <v>-1</v>
      </c>
      <c r="AJ294" s="20">
        <f t="shared" si="222"/>
        <v>6.3572612553030358E-2</v>
      </c>
      <c r="AK294" s="21" t="e">
        <f t="shared" si="259"/>
        <v>#DIV/0!</v>
      </c>
      <c r="AL294" s="21">
        <f t="shared" si="223"/>
        <v>-1</v>
      </c>
      <c r="AM294" s="31"/>
      <c r="AO294" s="57">
        <f t="shared" si="224"/>
        <v>46313</v>
      </c>
      <c r="AP294" s="6">
        <f>+Tabla22[[#This Row],[Web + APP 2025]]+Tabla22[[#This Row],[Afiliados 2025]]+Tabla22[[#This Row],[TMK 2025]]+Tabla22[[#This Row],[WA 2025]]+Tabla22[[#This Row],[Ent. en Tienda 2025]]</f>
        <v>2274598.7241379311</v>
      </c>
      <c r="AQ294" s="6">
        <f>+Tabla22[[#This Row],[Meli Drop 2025]]+Tabla22[[#This Row],[Meli Full 2025]]+Tabla22[[#This Row],[Amazon Drop 2025]]+Tabla22[[#This Row],[Amazon Full 2025]]+Tabla22[[#This Row],[TikTok 2025]]+Tabla22[[#This Row],[Shein 2025]]</f>
        <v>749505.96551724139</v>
      </c>
      <c r="AR294" s="58">
        <f t="shared" si="225"/>
        <v>0</v>
      </c>
      <c r="AS294" s="58">
        <f t="shared" si="226"/>
        <v>0</v>
      </c>
      <c r="AT294" s="59">
        <f t="shared" si="227"/>
        <v>-1</v>
      </c>
      <c r="AU294" s="59">
        <f t="shared" si="228"/>
        <v>-1</v>
      </c>
      <c r="AV294" s="58">
        <f t="shared" si="229"/>
        <v>2960673.6580391498</v>
      </c>
      <c r="AW294" s="58">
        <f t="shared" si="230"/>
        <v>1050776.31622625</v>
      </c>
      <c r="AX294" s="59">
        <f t="shared" si="231"/>
        <v>0</v>
      </c>
      <c r="AY294" s="59">
        <f t="shared" si="232"/>
        <v>0</v>
      </c>
      <c r="AZ294" s="59">
        <f t="shared" si="233"/>
        <v>0</v>
      </c>
      <c r="BA294" s="27">
        <v>3.1226636440601599E-2</v>
      </c>
      <c r="BB294" s="27">
        <v>2.0522479529374901E-2</v>
      </c>
      <c r="BC294" s="27"/>
      <c r="BD294" s="27"/>
    </row>
    <row r="295" spans="1:56" ht="14.25" hidden="1" customHeight="1" x14ac:dyDescent="0.35">
      <c r="A295" s="19">
        <v>45949</v>
      </c>
      <c r="B295" s="17">
        <f>+'BD MD'!B294</f>
        <v>57993512</v>
      </c>
      <c r="C295" s="17">
        <f t="shared" si="216"/>
        <v>3686799.068965517</v>
      </c>
      <c r="D295" s="18">
        <f t="shared" si="258"/>
        <v>2.7342710636104921E-2</v>
      </c>
      <c r="E295" s="17"/>
      <c r="F295" s="19">
        <v>46314</v>
      </c>
      <c r="G295" s="17">
        <f t="shared" si="217"/>
        <v>4889287.8269058503</v>
      </c>
      <c r="H295" s="17">
        <v>3625305.0828013201</v>
      </c>
      <c r="I295" s="17">
        <v>1263982.74410453</v>
      </c>
      <c r="J295" s="17">
        <v>2619522</v>
      </c>
      <c r="K295" s="17"/>
      <c r="L295" s="17">
        <v>32746.551724137898</v>
      </c>
      <c r="M295" s="17"/>
      <c r="N295" s="17">
        <v>2872</v>
      </c>
      <c r="O295" s="17"/>
      <c r="P295" s="17">
        <v>3770</v>
      </c>
      <c r="Q295" s="17"/>
      <c r="R295" s="17">
        <v>126305</v>
      </c>
      <c r="S295" s="17"/>
      <c r="T295" s="17">
        <v>624995</v>
      </c>
      <c r="U295" s="17"/>
      <c r="V295" s="17">
        <v>224236</v>
      </c>
      <c r="W295" s="17"/>
      <c r="X295" s="17">
        <v>42542</v>
      </c>
      <c r="Y295" s="17"/>
      <c r="Z295" s="17">
        <v>7745</v>
      </c>
      <c r="AA295" s="17"/>
      <c r="AB295" s="17">
        <v>1462.93103448276</v>
      </c>
      <c r="AC295" s="17"/>
      <c r="AD295" s="17">
        <v>602.58620689655197</v>
      </c>
      <c r="AE295" s="17"/>
      <c r="AF295" s="17">
        <f t="shared" si="218"/>
        <v>0</v>
      </c>
      <c r="AG295" s="18">
        <f t="shared" si="219"/>
        <v>0</v>
      </c>
      <c r="AH295" s="17">
        <f t="shared" si="220"/>
        <v>-4889287.8269058503</v>
      </c>
      <c r="AI295" s="20">
        <f t="shared" si="221"/>
        <v>-1</v>
      </c>
      <c r="AJ295" s="20">
        <f t="shared" si="222"/>
        <v>0.1403258425852103</v>
      </c>
      <c r="AK295" s="21" t="e">
        <f t="shared" si="259"/>
        <v>#DIV/0!</v>
      </c>
      <c r="AL295" s="21">
        <f t="shared" si="223"/>
        <v>-1</v>
      </c>
      <c r="AM295" s="31"/>
      <c r="AO295" s="57">
        <f t="shared" si="224"/>
        <v>46314</v>
      </c>
      <c r="AP295" s="6">
        <f>+Tabla22[[#This Row],[Web + APP 2025]]+Tabla22[[#This Row],[Afiliados 2025]]+Tabla22[[#This Row],[TMK 2025]]+Tabla22[[#This Row],[WA 2025]]+Tabla22[[#This Row],[Ent. en Tienda 2025]]</f>
        <v>2785215.5517241377</v>
      </c>
      <c r="AQ295" s="6">
        <f>+Tabla22[[#This Row],[Meli Drop 2025]]+Tabla22[[#This Row],[Meli Full 2025]]+Tabla22[[#This Row],[Amazon Drop 2025]]+Tabla22[[#This Row],[Amazon Full 2025]]+Tabla22[[#This Row],[TikTok 2025]]+Tabla22[[#This Row],[Shein 2025]]</f>
        <v>901583.51724137936</v>
      </c>
      <c r="AR295" s="58">
        <f t="shared" si="225"/>
        <v>0</v>
      </c>
      <c r="AS295" s="58">
        <f t="shared" si="226"/>
        <v>0</v>
      </c>
      <c r="AT295" s="59">
        <f t="shared" si="227"/>
        <v>-1</v>
      </c>
      <c r="AU295" s="59">
        <f t="shared" si="228"/>
        <v>-1</v>
      </c>
      <c r="AV295" s="58">
        <f t="shared" si="229"/>
        <v>3625305.0828013201</v>
      </c>
      <c r="AW295" s="58">
        <f t="shared" si="230"/>
        <v>1263982.74410453</v>
      </c>
      <c r="AX295" s="59">
        <f t="shared" si="231"/>
        <v>0</v>
      </c>
      <c r="AY295" s="59">
        <f t="shared" si="232"/>
        <v>0</v>
      </c>
      <c r="AZ295" s="59">
        <f t="shared" si="233"/>
        <v>0</v>
      </c>
      <c r="BA295" s="27">
        <v>3.7562637269079602E-2</v>
      </c>
      <c r="BB295" s="27">
        <v>2.51295002228662E-2</v>
      </c>
      <c r="BC295" s="27"/>
      <c r="BD295" s="27"/>
    </row>
    <row r="296" spans="1:56" ht="14.25" hidden="1" customHeight="1" x14ac:dyDescent="0.35">
      <c r="A296" s="16">
        <v>45950</v>
      </c>
      <c r="B296" s="17">
        <f>+'BD MD'!B295</f>
        <v>32252775</v>
      </c>
      <c r="C296" s="17">
        <f t="shared" si="216"/>
        <v>4525897.8275862066</v>
      </c>
      <c r="D296" s="18">
        <f t="shared" si="258"/>
        <v>3.3565787653024648E-2</v>
      </c>
      <c r="E296" s="17"/>
      <c r="F296" s="19">
        <v>46315</v>
      </c>
      <c r="G296" s="17">
        <f t="shared" si="217"/>
        <v>5933000.9059289787</v>
      </c>
      <c r="H296" s="17">
        <v>5346404.4691381902</v>
      </c>
      <c r="I296" s="17">
        <v>586596.43679078901</v>
      </c>
      <c r="J296" s="17">
        <v>3847226</v>
      </c>
      <c r="K296" s="17"/>
      <c r="L296" s="17">
        <v>31251.724137931</v>
      </c>
      <c r="M296" s="17"/>
      <c r="N296" s="17">
        <v>55327</v>
      </c>
      <c r="O296" s="17"/>
      <c r="P296" s="17">
        <v>3409</v>
      </c>
      <c r="Q296" s="17"/>
      <c r="R296" s="17">
        <v>170272</v>
      </c>
      <c r="S296" s="17"/>
      <c r="T296" s="17">
        <v>271999</v>
      </c>
      <c r="U296" s="17"/>
      <c r="V296" s="17">
        <v>100871</v>
      </c>
      <c r="W296" s="17"/>
      <c r="X296" s="17">
        <v>38995</v>
      </c>
      <c r="Y296" s="17"/>
      <c r="Z296" s="17">
        <v>5429</v>
      </c>
      <c r="AA296" s="17"/>
      <c r="AB296" s="17">
        <v>429.31034482758599</v>
      </c>
      <c r="AC296" s="17"/>
      <c r="AD296" s="17">
        <v>688.79310344827604</v>
      </c>
      <c r="AE296" s="17"/>
      <c r="AF296" s="17">
        <f t="shared" si="218"/>
        <v>0</v>
      </c>
      <c r="AG296" s="18">
        <f t="shared" si="219"/>
        <v>0</v>
      </c>
      <c r="AH296" s="17">
        <f t="shared" si="220"/>
        <v>-5933000.9059289787</v>
      </c>
      <c r="AI296" s="20">
        <f t="shared" si="221"/>
        <v>-1</v>
      </c>
      <c r="AJ296" s="20">
        <f t="shared" si="222"/>
        <v>0.15297330886264721</v>
      </c>
      <c r="AK296" s="21" t="e">
        <f t="shared" si="259"/>
        <v>#DIV/0!</v>
      </c>
      <c r="AL296" s="21">
        <f t="shared" si="223"/>
        <v>-1</v>
      </c>
      <c r="AM296" s="31"/>
      <c r="AO296" s="57">
        <f t="shared" si="224"/>
        <v>46315</v>
      </c>
      <c r="AP296" s="6">
        <f>+Tabla22[[#This Row],[Web + APP 2025]]+Tabla22[[#This Row],[Afiliados 2025]]+Tabla22[[#This Row],[TMK 2025]]+Tabla22[[#This Row],[WA 2025]]+Tabla22[[#This Row],[Ent. en Tienda 2025]]</f>
        <v>4107485.7241379311</v>
      </c>
      <c r="AQ296" s="6">
        <f>+Tabla22[[#This Row],[Meli Drop 2025]]+Tabla22[[#This Row],[Meli Full 2025]]+Tabla22[[#This Row],[Amazon Drop 2025]]+Tabla22[[#This Row],[Amazon Full 2025]]+Tabla22[[#This Row],[TikTok 2025]]+Tabla22[[#This Row],[Shein 2025]]</f>
        <v>418412.10344827588</v>
      </c>
      <c r="AR296" s="58">
        <f t="shared" si="225"/>
        <v>0</v>
      </c>
      <c r="AS296" s="58">
        <f t="shared" si="226"/>
        <v>0</v>
      </c>
      <c r="AT296" s="59">
        <f t="shared" si="227"/>
        <v>-1</v>
      </c>
      <c r="AU296" s="59">
        <f t="shared" si="228"/>
        <v>-1</v>
      </c>
      <c r="AV296" s="58">
        <f t="shared" si="229"/>
        <v>5346404.4691381902</v>
      </c>
      <c r="AW296" s="58">
        <f t="shared" si="230"/>
        <v>586596.43679078901</v>
      </c>
      <c r="AX296" s="59">
        <f t="shared" si="231"/>
        <v>0</v>
      </c>
      <c r="AY296" s="59">
        <f t="shared" si="232"/>
        <v>0</v>
      </c>
      <c r="AZ296" s="59">
        <f t="shared" si="233"/>
        <v>0</v>
      </c>
      <c r="BA296" s="27">
        <v>1.7432286383084399E-2</v>
      </c>
      <c r="BB296" s="27">
        <v>3.7059632011694002E-2</v>
      </c>
      <c r="BC296" s="27"/>
      <c r="BD296" s="27"/>
    </row>
    <row r="297" spans="1:56" ht="14.25" hidden="1" customHeight="1" x14ac:dyDescent="0.35">
      <c r="A297" s="19">
        <v>45951</v>
      </c>
      <c r="B297" s="17">
        <f>+'BD MD'!B296</f>
        <v>35044736</v>
      </c>
      <c r="C297" s="17">
        <f t="shared" si="216"/>
        <v>5360909.2241379311</v>
      </c>
      <c r="D297" s="18">
        <f t="shared" si="258"/>
        <v>3.9758551231043555E-2</v>
      </c>
      <c r="E297" s="17"/>
      <c r="F297" s="19">
        <v>46316</v>
      </c>
      <c r="G297" s="17">
        <f t="shared" si="217"/>
        <v>7101295.3491040505</v>
      </c>
      <c r="H297" s="17">
        <v>5376980.9326536804</v>
      </c>
      <c r="I297" s="17">
        <v>1724314.4164503701</v>
      </c>
      <c r="J297" s="17">
        <v>3931017</v>
      </c>
      <c r="K297" s="17"/>
      <c r="L297" s="17">
        <v>32601.724137931</v>
      </c>
      <c r="M297" s="17"/>
      <c r="N297" s="17">
        <v>9294</v>
      </c>
      <c r="O297" s="17"/>
      <c r="P297" s="17">
        <v>2891</v>
      </c>
      <c r="Q297" s="17"/>
      <c r="R297" s="17">
        <v>155173</v>
      </c>
      <c r="S297" s="17"/>
      <c r="T297" s="17">
        <v>877636</v>
      </c>
      <c r="U297" s="17"/>
      <c r="V297" s="17">
        <v>293673</v>
      </c>
      <c r="W297" s="17"/>
      <c r="X297" s="17">
        <v>44439</v>
      </c>
      <c r="Y297" s="17"/>
      <c r="Z297" s="17">
        <v>6738</v>
      </c>
      <c r="AA297" s="17"/>
      <c r="AB297" s="17">
        <v>7446.5</v>
      </c>
      <c r="AC297" s="17"/>
      <c r="AD297" s="17">
        <v>0</v>
      </c>
      <c r="AE297" s="17"/>
      <c r="AF297" s="17">
        <f t="shared" si="218"/>
        <v>0</v>
      </c>
      <c r="AG297" s="18">
        <f t="shared" si="219"/>
        <v>0</v>
      </c>
      <c r="AH297" s="17">
        <f t="shared" si="220"/>
        <v>-7101295.3491040505</v>
      </c>
      <c r="AI297" s="20">
        <f t="shared" si="221"/>
        <v>-1</v>
      </c>
      <c r="AJ297" s="20">
        <f t="shared" si="222"/>
        <v>0.14335070901016397</v>
      </c>
      <c r="AK297" s="21" t="e">
        <f t="shared" si="259"/>
        <v>#DIV/0!</v>
      </c>
      <c r="AL297" s="21">
        <f t="shared" si="223"/>
        <v>-1</v>
      </c>
      <c r="AM297" s="31"/>
      <c r="AO297" s="57">
        <f t="shared" si="224"/>
        <v>46316</v>
      </c>
      <c r="AP297" s="6">
        <f>+Tabla22[[#This Row],[Web + APP 2025]]+Tabla22[[#This Row],[Afiliados 2025]]+Tabla22[[#This Row],[TMK 2025]]+Tabla22[[#This Row],[WA 2025]]+Tabla22[[#This Row],[Ent. en Tienda 2025]]</f>
        <v>4130976.7241379311</v>
      </c>
      <c r="AQ297" s="6">
        <f>+Tabla22[[#This Row],[Meli Drop 2025]]+Tabla22[[#This Row],[Meli Full 2025]]+Tabla22[[#This Row],[Amazon Drop 2025]]+Tabla22[[#This Row],[Amazon Full 2025]]+Tabla22[[#This Row],[TikTok 2025]]+Tabla22[[#This Row],[Shein 2025]]</f>
        <v>1229932.5</v>
      </c>
      <c r="AR297" s="58">
        <f t="shared" si="225"/>
        <v>0</v>
      </c>
      <c r="AS297" s="58">
        <f t="shared" si="226"/>
        <v>0</v>
      </c>
      <c r="AT297" s="59">
        <f t="shared" si="227"/>
        <v>-1</v>
      </c>
      <c r="AU297" s="59">
        <f t="shared" si="228"/>
        <v>-1</v>
      </c>
      <c r="AV297" s="58">
        <f t="shared" si="229"/>
        <v>5376980.9326536804</v>
      </c>
      <c r="AW297" s="58">
        <f t="shared" si="230"/>
        <v>1724314.4164503701</v>
      </c>
      <c r="AX297" s="59">
        <f t="shared" si="231"/>
        <v>0</v>
      </c>
      <c r="AY297" s="59">
        <f t="shared" si="232"/>
        <v>0</v>
      </c>
      <c r="AZ297" s="59">
        <f t="shared" si="233"/>
        <v>0</v>
      </c>
      <c r="BA297" s="27">
        <v>5.1242627531957602E-2</v>
      </c>
      <c r="BB297" s="27">
        <v>3.7271578655956303E-2</v>
      </c>
      <c r="BC297" s="27"/>
      <c r="BD297" s="27"/>
    </row>
    <row r="298" spans="1:56" ht="14.25" hidden="1" customHeight="1" x14ac:dyDescent="0.35">
      <c r="A298" s="16">
        <v>45952</v>
      </c>
      <c r="B298" s="17">
        <f>+'BD MD'!B297</f>
        <v>38948520</v>
      </c>
      <c r="C298" s="17">
        <f t="shared" si="216"/>
        <v>5583297.9568965519</v>
      </c>
      <c r="D298" s="18">
        <f t="shared" si="258"/>
        <v>4.1407871048804938E-2</v>
      </c>
      <c r="E298" s="17"/>
      <c r="F298" s="19">
        <v>46317</v>
      </c>
      <c r="G298" s="17">
        <f t="shared" si="217"/>
        <v>7377712.3098019995</v>
      </c>
      <c r="H298" s="17">
        <v>5835740.0944034997</v>
      </c>
      <c r="I298" s="17">
        <v>1541972.2153985</v>
      </c>
      <c r="J298" s="17">
        <v>4257253</v>
      </c>
      <c r="K298" s="17"/>
      <c r="L298" s="17">
        <v>28862.931034482801</v>
      </c>
      <c r="M298" s="17"/>
      <c r="N298" s="17">
        <v>58162</v>
      </c>
      <c r="O298" s="17"/>
      <c r="P298" s="17">
        <v>4241</v>
      </c>
      <c r="Q298" s="17"/>
      <c r="R298" s="17">
        <v>134909</v>
      </c>
      <c r="S298" s="17"/>
      <c r="T298" s="17">
        <v>802589</v>
      </c>
      <c r="U298" s="17"/>
      <c r="V298" s="17">
        <v>231059</v>
      </c>
      <c r="W298" s="17"/>
      <c r="X298" s="17">
        <v>43400</v>
      </c>
      <c r="Y298" s="17"/>
      <c r="Z298" s="17">
        <v>12873</v>
      </c>
      <c r="AA298" s="17"/>
      <c r="AB298" s="17">
        <v>9949.0258620689692</v>
      </c>
      <c r="AC298" s="17"/>
      <c r="AD298" s="17">
        <v>0</v>
      </c>
      <c r="AE298" s="17"/>
      <c r="AF298" s="17">
        <f t="shared" si="218"/>
        <v>0</v>
      </c>
      <c r="AG298" s="18">
        <f t="shared" si="219"/>
        <v>0</v>
      </c>
      <c r="AH298" s="17">
        <f t="shared" si="220"/>
        <v>-7377712.3098019995</v>
      </c>
      <c r="AI298" s="20">
        <f t="shared" si="221"/>
        <v>-1</v>
      </c>
      <c r="AJ298" s="20">
        <f t="shared" si="222"/>
        <v>0.10721433301361773</v>
      </c>
      <c r="AK298" s="21" t="e">
        <f t="shared" si="259"/>
        <v>#DIV/0!</v>
      </c>
      <c r="AL298" s="21">
        <f t="shared" si="223"/>
        <v>-1</v>
      </c>
      <c r="AM298" s="31"/>
      <c r="AO298" s="60">
        <f t="shared" si="224"/>
        <v>46317</v>
      </c>
      <c r="AP298" s="6">
        <f>+Tabla22[[#This Row],[Web + APP 2025]]+Tabla22[[#This Row],[Afiliados 2025]]+Tabla22[[#This Row],[TMK 2025]]+Tabla22[[#This Row],[WA 2025]]+Tabla22[[#This Row],[Ent. en Tienda 2025]]</f>
        <v>4483427.931034483</v>
      </c>
      <c r="AQ298" s="6">
        <f>+Tabla22[[#This Row],[Meli Drop 2025]]+Tabla22[[#This Row],[Meli Full 2025]]+Tabla22[[#This Row],[Amazon Drop 2025]]+Tabla22[[#This Row],[Amazon Full 2025]]+Tabla22[[#This Row],[TikTok 2025]]+Tabla22[[#This Row],[Shein 2025]]</f>
        <v>1099870.0258620689</v>
      </c>
      <c r="AR298" s="58">
        <f t="shared" si="225"/>
        <v>0</v>
      </c>
      <c r="AS298" s="58">
        <f t="shared" si="226"/>
        <v>0</v>
      </c>
      <c r="AT298" s="59">
        <f t="shared" si="227"/>
        <v>-1</v>
      </c>
      <c r="AU298" s="59">
        <f t="shared" si="228"/>
        <v>-1</v>
      </c>
      <c r="AV298" s="58">
        <f t="shared" si="229"/>
        <v>5835740.0944034997</v>
      </c>
      <c r="AW298" s="58">
        <f t="shared" si="230"/>
        <v>1541972.2153985</v>
      </c>
      <c r="AX298" s="59">
        <f t="shared" si="231"/>
        <v>0</v>
      </c>
      <c r="AY298" s="59">
        <f t="shared" si="232"/>
        <v>0</v>
      </c>
      <c r="AZ298" s="59">
        <f t="shared" si="233"/>
        <v>0</v>
      </c>
      <c r="BA298" s="27">
        <v>4.5823839982124699E-2</v>
      </c>
      <c r="BB298" s="27">
        <v>4.0451556118301597E-2</v>
      </c>
      <c r="BC298" s="27"/>
      <c r="BD298" s="27"/>
    </row>
    <row r="299" spans="1:56" ht="14.25" hidden="1" customHeight="1" x14ac:dyDescent="0.35">
      <c r="A299" s="19">
        <v>45953</v>
      </c>
      <c r="B299" s="17">
        <f>+'BD MD'!B298</f>
        <v>43242417</v>
      </c>
      <c r="C299" s="17">
        <f t="shared" si="216"/>
        <v>4636206.8965517245</v>
      </c>
      <c r="D299" s="18">
        <f t="shared" si="258"/>
        <v>3.4383881858008974E-2</v>
      </c>
      <c r="E299" s="17"/>
      <c r="F299" s="19">
        <v>46318</v>
      </c>
      <c r="G299" s="17">
        <f t="shared" si="217"/>
        <v>6124530.4343229504</v>
      </c>
      <c r="H299" s="17">
        <v>4867953.0287912004</v>
      </c>
      <c r="I299" s="17">
        <v>1256577.4055317501</v>
      </c>
      <c r="J299" s="17">
        <v>3461017</v>
      </c>
      <c r="K299" s="17"/>
      <c r="L299" s="17">
        <v>26515.517241379301</v>
      </c>
      <c r="M299" s="17"/>
      <c r="N299" s="17">
        <v>97029</v>
      </c>
      <c r="O299" s="17"/>
      <c r="P299" s="17">
        <v>4241</v>
      </c>
      <c r="Q299" s="17"/>
      <c r="R299" s="17">
        <v>151103</v>
      </c>
      <c r="S299" s="17"/>
      <c r="T299" s="17">
        <v>627269</v>
      </c>
      <c r="U299" s="17"/>
      <c r="V299" s="17">
        <v>217360</v>
      </c>
      <c r="W299" s="17"/>
      <c r="X299" s="17">
        <v>37546</v>
      </c>
      <c r="Y299" s="17"/>
      <c r="Z299" s="17">
        <v>11591</v>
      </c>
      <c r="AA299" s="17"/>
      <c r="AB299" s="17">
        <v>2535.3793103448302</v>
      </c>
      <c r="AC299" s="17"/>
      <c r="AD299" s="17">
        <v>0</v>
      </c>
      <c r="AE299" s="17"/>
      <c r="AF299" s="17">
        <f t="shared" si="218"/>
        <v>0</v>
      </c>
      <c r="AG299" s="18">
        <f t="shared" si="219"/>
        <v>0</v>
      </c>
      <c r="AH299" s="17">
        <f t="shared" si="220"/>
        <v>-6124530.4343229504</v>
      </c>
      <c r="AI299" s="20">
        <f t="shared" si="221"/>
        <v>-1</v>
      </c>
      <c r="AJ299" s="20">
        <f t="shared" si="222"/>
        <v>8.4929141839281991E-2</v>
      </c>
      <c r="AK299" s="21" t="e">
        <f t="shared" si="259"/>
        <v>#DIV/0!</v>
      </c>
      <c r="AL299" s="21">
        <f t="shared" si="223"/>
        <v>-1</v>
      </c>
      <c r="AM299" s="31"/>
      <c r="AO299" s="57">
        <f t="shared" si="224"/>
        <v>46318</v>
      </c>
      <c r="AP299" s="6">
        <f>+Tabla22[[#This Row],[Web + APP 2025]]+Tabla22[[#This Row],[Afiliados 2025]]+Tabla22[[#This Row],[TMK 2025]]+Tabla22[[#This Row],[WA 2025]]+Tabla22[[#This Row],[Ent. en Tienda 2025]]</f>
        <v>3739905.5172413792</v>
      </c>
      <c r="AQ299" s="6">
        <f>+Tabla22[[#This Row],[Meli Drop 2025]]+Tabla22[[#This Row],[Meli Full 2025]]+Tabla22[[#This Row],[Amazon Drop 2025]]+Tabla22[[#This Row],[Amazon Full 2025]]+Tabla22[[#This Row],[TikTok 2025]]+Tabla22[[#This Row],[Shein 2025]]</f>
        <v>896301.37931034481</v>
      </c>
      <c r="AR299" s="58">
        <f t="shared" si="225"/>
        <v>0</v>
      </c>
      <c r="AS299" s="58">
        <f t="shared" si="226"/>
        <v>0</v>
      </c>
      <c r="AT299" s="59">
        <f t="shared" si="227"/>
        <v>-1</v>
      </c>
      <c r="AU299" s="59">
        <f t="shared" si="228"/>
        <v>-1</v>
      </c>
      <c r="AV299" s="58">
        <f t="shared" si="229"/>
        <v>4867953.0287912004</v>
      </c>
      <c r="AW299" s="58">
        <f t="shared" si="230"/>
        <v>1256577.4055317501</v>
      </c>
      <c r="AX299" s="59">
        <f t="shared" si="231"/>
        <v>0</v>
      </c>
      <c r="AY299" s="59">
        <f t="shared" si="232"/>
        <v>0</v>
      </c>
      <c r="AZ299" s="59">
        <f t="shared" si="233"/>
        <v>0</v>
      </c>
      <c r="BA299" s="27">
        <v>3.7342567772117502E-2</v>
      </c>
      <c r="BB299" s="27">
        <v>3.3743153728564297E-2</v>
      </c>
      <c r="BC299" s="27"/>
      <c r="BD299" s="27"/>
    </row>
    <row r="300" spans="1:56" ht="14.25" hidden="1" customHeight="1" x14ac:dyDescent="0.35">
      <c r="A300" s="16">
        <v>45954</v>
      </c>
      <c r="B300" s="17">
        <f>+'BD MD'!B299</f>
        <v>42069566</v>
      </c>
      <c r="C300" s="17">
        <f t="shared" si="216"/>
        <v>3572932.1379310349</v>
      </c>
      <c r="D300" s="18">
        <f t="shared" si="258"/>
        <v>2.6498229966543843E-2</v>
      </c>
      <c r="E300" s="17"/>
      <c r="F300" s="19">
        <v>46319</v>
      </c>
      <c r="G300" s="17">
        <f t="shared" si="217"/>
        <v>4725181.9509325605</v>
      </c>
      <c r="H300" s="17">
        <v>3683283.0781274401</v>
      </c>
      <c r="I300" s="17">
        <v>1041898.87280512</v>
      </c>
      <c r="J300" s="17">
        <v>2656715</v>
      </c>
      <c r="K300" s="17"/>
      <c r="L300" s="17">
        <v>22585.344827586199</v>
      </c>
      <c r="M300" s="17"/>
      <c r="N300" s="17">
        <v>27735</v>
      </c>
      <c r="O300" s="17"/>
      <c r="P300" s="17">
        <v>1495</v>
      </c>
      <c r="Q300" s="17"/>
      <c r="R300" s="17">
        <v>121228</v>
      </c>
      <c r="S300" s="17"/>
      <c r="T300" s="17">
        <v>505230</v>
      </c>
      <c r="U300" s="17"/>
      <c r="V300" s="17">
        <v>186135</v>
      </c>
      <c r="W300" s="17"/>
      <c r="X300" s="17">
        <v>27757</v>
      </c>
      <c r="Y300" s="17"/>
      <c r="Z300" s="17">
        <v>5852</v>
      </c>
      <c r="AA300" s="17"/>
      <c r="AB300" s="17">
        <v>17338.586206896602</v>
      </c>
      <c r="AC300" s="17"/>
      <c r="AD300" s="17">
        <v>861.20689655172396</v>
      </c>
      <c r="AE300" s="17"/>
      <c r="AF300" s="17">
        <f t="shared" si="218"/>
        <v>0</v>
      </c>
      <c r="AG300" s="18">
        <f t="shared" si="219"/>
        <v>0</v>
      </c>
      <c r="AH300" s="17">
        <f t="shared" si="220"/>
        <v>-4725181.9509325605</v>
      </c>
      <c r="AI300" s="20">
        <f t="shared" si="221"/>
        <v>-1</v>
      </c>
      <c r="AJ300" s="20">
        <f t="shared" si="222"/>
        <v>5.3434890227021067E-2</v>
      </c>
      <c r="AK300" s="21" t="e">
        <f t="shared" si="259"/>
        <v>#DIV/0!</v>
      </c>
      <c r="AL300" s="21">
        <f t="shared" si="223"/>
        <v>-1</v>
      </c>
      <c r="AM300" s="31"/>
      <c r="AO300" s="57">
        <f t="shared" si="224"/>
        <v>46319</v>
      </c>
      <c r="AP300" s="6">
        <f>+Tabla22[[#This Row],[Web + APP 2025]]+Tabla22[[#This Row],[Afiliados 2025]]+Tabla22[[#This Row],[TMK 2025]]+Tabla22[[#This Row],[WA 2025]]+Tabla22[[#This Row],[Ent. en Tienda 2025]]</f>
        <v>2829758.3448275863</v>
      </c>
      <c r="AQ300" s="6">
        <f>+Tabla22[[#This Row],[Meli Drop 2025]]+Tabla22[[#This Row],[Meli Full 2025]]+Tabla22[[#This Row],[Amazon Drop 2025]]+Tabla22[[#This Row],[Amazon Full 2025]]+Tabla22[[#This Row],[TikTok 2025]]+Tabla22[[#This Row],[Shein 2025]]</f>
        <v>743173.79310344835</v>
      </c>
      <c r="AR300" s="58">
        <f t="shared" si="225"/>
        <v>0</v>
      </c>
      <c r="AS300" s="58">
        <f t="shared" si="226"/>
        <v>0</v>
      </c>
      <c r="AT300" s="59">
        <f t="shared" si="227"/>
        <v>-1</v>
      </c>
      <c r="AU300" s="59">
        <f t="shared" si="228"/>
        <v>-1</v>
      </c>
      <c r="AV300" s="58">
        <f t="shared" si="229"/>
        <v>3683283.0781274401</v>
      </c>
      <c r="AW300" s="58">
        <f t="shared" si="230"/>
        <v>1041898.87280512</v>
      </c>
      <c r="AX300" s="59">
        <f t="shared" si="231"/>
        <v>0</v>
      </c>
      <c r="AY300" s="59">
        <f t="shared" si="232"/>
        <v>0</v>
      </c>
      <c r="AZ300" s="59">
        <f t="shared" si="233"/>
        <v>0</v>
      </c>
      <c r="BA300" s="27">
        <v>3.0962819399854999E-2</v>
      </c>
      <c r="BB300" s="27">
        <v>2.55313858609552E-2</v>
      </c>
      <c r="BC300" s="27"/>
      <c r="BD300" s="27"/>
    </row>
    <row r="301" spans="1:56" ht="14.25" hidden="1" customHeight="1" x14ac:dyDescent="0.35">
      <c r="A301" s="19">
        <v>45955</v>
      </c>
      <c r="B301" s="17">
        <f>+'BD MD'!B300</f>
        <v>52693132</v>
      </c>
      <c r="C301" s="17">
        <f t="shared" si="216"/>
        <v>2815651.7241379311</v>
      </c>
      <c r="D301" s="18">
        <f t="shared" si="258"/>
        <v>2.0881949057981995E-2</v>
      </c>
      <c r="E301" s="17"/>
      <c r="F301" s="19">
        <v>46320</v>
      </c>
      <c r="G301" s="17">
        <f t="shared" si="217"/>
        <v>3733752.2378137349</v>
      </c>
      <c r="H301" s="17">
        <v>2771986.6099905199</v>
      </c>
      <c r="I301" s="17">
        <v>961765.62782321498</v>
      </c>
      <c r="J301" s="17">
        <v>2019623</v>
      </c>
      <c r="K301" s="17"/>
      <c r="L301" s="17">
        <v>28975</v>
      </c>
      <c r="M301" s="17"/>
      <c r="N301" s="17">
        <v>-2410</v>
      </c>
      <c r="O301" s="17"/>
      <c r="P301" s="17">
        <v>41</v>
      </c>
      <c r="Q301" s="17"/>
      <c r="R301" s="17">
        <v>83407</v>
      </c>
      <c r="S301" s="17"/>
      <c r="T301" s="17">
        <v>490357</v>
      </c>
      <c r="U301" s="17"/>
      <c r="V301" s="17">
        <v>162629</v>
      </c>
      <c r="W301" s="17"/>
      <c r="X301" s="17">
        <v>25730</v>
      </c>
      <c r="Y301" s="17"/>
      <c r="Z301" s="17">
        <v>6748</v>
      </c>
      <c r="AA301" s="17"/>
      <c r="AB301" s="17">
        <v>551.72413793103499</v>
      </c>
      <c r="AC301" s="17"/>
      <c r="AD301" s="17">
        <v>0</v>
      </c>
      <c r="AE301" s="17"/>
      <c r="AF301" s="17">
        <f t="shared" si="218"/>
        <v>0</v>
      </c>
      <c r="AG301" s="18">
        <f t="shared" si="219"/>
        <v>0</v>
      </c>
      <c r="AH301" s="17">
        <f t="shared" si="220"/>
        <v>-3733752.2378137349</v>
      </c>
      <c r="AI301" s="20">
        <f t="shared" si="221"/>
        <v>-1</v>
      </c>
      <c r="AJ301" s="20">
        <f t="shared" si="222"/>
        <v>6.9850905135859662E-2</v>
      </c>
      <c r="AK301" s="21" t="e">
        <f t="shared" si="259"/>
        <v>#DIV/0!</v>
      </c>
      <c r="AL301" s="21">
        <f t="shared" si="223"/>
        <v>-1</v>
      </c>
      <c r="AM301" s="31"/>
      <c r="AO301" s="57">
        <f t="shared" si="224"/>
        <v>46320</v>
      </c>
      <c r="AP301" s="6">
        <f>+Tabla22[[#This Row],[Web + APP 2025]]+Tabla22[[#This Row],[Afiliados 2025]]+Tabla22[[#This Row],[TMK 2025]]+Tabla22[[#This Row],[WA 2025]]+Tabla22[[#This Row],[Ent. en Tienda 2025]]</f>
        <v>2129636</v>
      </c>
      <c r="AQ301" s="6">
        <f>+Tabla22[[#This Row],[Meli Drop 2025]]+Tabla22[[#This Row],[Meli Full 2025]]+Tabla22[[#This Row],[Amazon Drop 2025]]+Tabla22[[#This Row],[Amazon Full 2025]]+Tabla22[[#This Row],[TikTok 2025]]+Tabla22[[#This Row],[Shein 2025]]</f>
        <v>686015.72413793101</v>
      </c>
      <c r="AR301" s="58">
        <f t="shared" si="225"/>
        <v>0</v>
      </c>
      <c r="AS301" s="58">
        <f t="shared" si="226"/>
        <v>0</v>
      </c>
      <c r="AT301" s="59">
        <f t="shared" si="227"/>
        <v>-1</v>
      </c>
      <c r="AU301" s="59">
        <f t="shared" si="228"/>
        <v>-1</v>
      </c>
      <c r="AV301" s="58">
        <f t="shared" si="229"/>
        <v>2771986.6099905199</v>
      </c>
      <c r="AW301" s="58">
        <f t="shared" si="230"/>
        <v>961765.62782321498</v>
      </c>
      <c r="AX301" s="59">
        <f t="shared" si="231"/>
        <v>0</v>
      </c>
      <c r="AY301" s="59">
        <f t="shared" si="232"/>
        <v>0</v>
      </c>
      <c r="AZ301" s="59">
        <f t="shared" si="233"/>
        <v>0</v>
      </c>
      <c r="BA301" s="27">
        <v>2.8581445106187701E-2</v>
      </c>
      <c r="BB301" s="27">
        <v>1.9214558924710599E-2</v>
      </c>
      <c r="BC301" s="27"/>
      <c r="BD301" s="27"/>
    </row>
    <row r="302" spans="1:56" ht="14.25" hidden="1" customHeight="1" x14ac:dyDescent="0.35">
      <c r="A302" s="16">
        <v>45956</v>
      </c>
      <c r="B302" s="17">
        <f>+'BD MD'!B301</f>
        <v>50632279</v>
      </c>
      <c r="C302" s="17">
        <f t="shared" si="216"/>
        <v>3536710.5172413792</v>
      </c>
      <c r="D302" s="18">
        <f t="shared" si="258"/>
        <v>2.6229596587083348E-2</v>
      </c>
      <c r="E302" s="17"/>
      <c r="F302" s="19">
        <v>46321</v>
      </c>
      <c r="G302" s="17">
        <f t="shared" si="217"/>
        <v>4681022.4112888705</v>
      </c>
      <c r="H302" s="17">
        <v>3597380.65696972</v>
      </c>
      <c r="I302" s="17">
        <v>1083641.75431915</v>
      </c>
      <c r="J302" s="17">
        <v>2657024</v>
      </c>
      <c r="K302" s="17"/>
      <c r="L302" s="17">
        <v>30806.034482758601</v>
      </c>
      <c r="M302" s="17"/>
      <c r="N302" s="17">
        <v>-4552</v>
      </c>
      <c r="O302" s="17"/>
      <c r="P302" s="17">
        <v>130</v>
      </c>
      <c r="Q302" s="17"/>
      <c r="R302" s="17">
        <v>80354</v>
      </c>
      <c r="S302" s="17"/>
      <c r="T302" s="17">
        <v>573146</v>
      </c>
      <c r="U302" s="17"/>
      <c r="V302" s="17">
        <v>162092</v>
      </c>
      <c r="W302" s="17"/>
      <c r="X302" s="17">
        <v>29698</v>
      </c>
      <c r="Y302" s="17"/>
      <c r="Z302" s="17">
        <v>3328</v>
      </c>
      <c r="AA302" s="17"/>
      <c r="AB302" s="17">
        <v>3048.2758620689701</v>
      </c>
      <c r="AC302" s="17"/>
      <c r="AD302" s="17">
        <v>1636.2068965517201</v>
      </c>
      <c r="AE302" s="17"/>
      <c r="AF302" s="17">
        <f t="shared" si="218"/>
        <v>0</v>
      </c>
      <c r="AG302" s="18">
        <f t="shared" si="219"/>
        <v>0</v>
      </c>
      <c r="AH302" s="17">
        <f t="shared" si="220"/>
        <v>-4681022.4112888705</v>
      </c>
      <c r="AI302" s="20">
        <f t="shared" si="221"/>
        <v>-1</v>
      </c>
      <c r="AJ302" s="20">
        <f t="shared" si="222"/>
        <v>0.17410433865774438</v>
      </c>
      <c r="AK302" s="21" t="e">
        <f t="shared" si="259"/>
        <v>#DIV/0!</v>
      </c>
      <c r="AL302" s="21">
        <f t="shared" si="223"/>
        <v>-1</v>
      </c>
      <c r="AM302" s="31"/>
      <c r="AO302" s="57">
        <f t="shared" si="224"/>
        <v>46321</v>
      </c>
      <c r="AP302" s="6">
        <f>+Tabla22[[#This Row],[Web + APP 2025]]+Tabla22[[#This Row],[Afiliados 2025]]+Tabla22[[#This Row],[TMK 2025]]+Tabla22[[#This Row],[WA 2025]]+Tabla22[[#This Row],[Ent. en Tienda 2025]]</f>
        <v>2763762.0344827585</v>
      </c>
      <c r="AQ302" s="6">
        <f>+Tabla22[[#This Row],[Meli Drop 2025]]+Tabla22[[#This Row],[Meli Full 2025]]+Tabla22[[#This Row],[Amazon Drop 2025]]+Tabla22[[#This Row],[Amazon Full 2025]]+Tabla22[[#This Row],[TikTok 2025]]+Tabla22[[#This Row],[Shein 2025]]</f>
        <v>772948.48275862075</v>
      </c>
      <c r="AR302" s="58">
        <f t="shared" si="225"/>
        <v>0</v>
      </c>
      <c r="AS302" s="58">
        <f t="shared" si="226"/>
        <v>0</v>
      </c>
      <c r="AT302" s="59">
        <f t="shared" si="227"/>
        <v>-1</v>
      </c>
      <c r="AU302" s="59">
        <f t="shared" si="228"/>
        <v>-1</v>
      </c>
      <c r="AV302" s="58">
        <f t="shared" si="229"/>
        <v>3597380.65696972</v>
      </c>
      <c r="AW302" s="58">
        <f t="shared" si="230"/>
        <v>1083641.75431915</v>
      </c>
      <c r="AX302" s="59">
        <f t="shared" si="231"/>
        <v>0</v>
      </c>
      <c r="AY302" s="59">
        <f t="shared" si="232"/>
        <v>0</v>
      </c>
      <c r="AZ302" s="59">
        <f t="shared" si="233"/>
        <v>0</v>
      </c>
      <c r="BA302" s="27">
        <v>3.22033210793208E-2</v>
      </c>
      <c r="BB302" s="27">
        <v>2.4935936688451499E-2</v>
      </c>
      <c r="BC302" s="27"/>
      <c r="BD302" s="27"/>
    </row>
    <row r="303" spans="1:56" ht="14.25" hidden="1" customHeight="1" x14ac:dyDescent="0.35">
      <c r="A303" s="19">
        <v>45957</v>
      </c>
      <c r="B303" s="17">
        <f>+'BD MD'!B302</f>
        <v>27179504</v>
      </c>
      <c r="C303" s="17">
        <f t="shared" si="216"/>
        <v>4732069.5689655179</v>
      </c>
      <c r="D303" s="18">
        <f t="shared" si="258"/>
        <v>3.5094836066139862E-2</v>
      </c>
      <c r="E303" s="17"/>
      <c r="F303" s="19">
        <v>46322</v>
      </c>
      <c r="G303" s="17">
        <f t="shared" si="217"/>
        <v>6238996.0183507893</v>
      </c>
      <c r="H303" s="17">
        <v>5126502.1740799397</v>
      </c>
      <c r="I303" s="17">
        <v>1112493.8442708501</v>
      </c>
      <c r="J303" s="17">
        <v>3776827</v>
      </c>
      <c r="K303" s="17"/>
      <c r="L303" s="17">
        <v>29792.241379310301</v>
      </c>
      <c r="M303" s="17"/>
      <c r="N303" s="17">
        <v>64916</v>
      </c>
      <c r="O303" s="17"/>
      <c r="P303" s="17">
        <v>3260</v>
      </c>
      <c r="Q303" s="17"/>
      <c r="R303" s="17">
        <v>63746</v>
      </c>
      <c r="S303" s="17"/>
      <c r="T303" s="17">
        <v>549556</v>
      </c>
      <c r="U303" s="17"/>
      <c r="V303" s="17">
        <v>173311</v>
      </c>
      <c r="W303" s="17"/>
      <c r="X303" s="17">
        <v>35148</v>
      </c>
      <c r="Y303" s="17"/>
      <c r="Z303" s="17">
        <v>7879</v>
      </c>
      <c r="AA303" s="17"/>
      <c r="AB303" s="17">
        <v>26773.120689655199</v>
      </c>
      <c r="AC303" s="17"/>
      <c r="AD303" s="17">
        <v>861.20689655172396</v>
      </c>
      <c r="AE303" s="17"/>
      <c r="AF303" s="17">
        <f t="shared" si="218"/>
        <v>0</v>
      </c>
      <c r="AG303" s="18">
        <f t="shared" si="219"/>
        <v>0</v>
      </c>
      <c r="AH303" s="17">
        <f t="shared" si="220"/>
        <v>-6238996.0183507893</v>
      </c>
      <c r="AI303" s="20">
        <f t="shared" si="221"/>
        <v>-1</v>
      </c>
      <c r="AJ303" s="20">
        <f t="shared" si="222"/>
        <v>0.15125872381941793</v>
      </c>
      <c r="AK303" s="21" t="e">
        <f t="shared" si="259"/>
        <v>#DIV/0!</v>
      </c>
      <c r="AL303" s="21">
        <f t="shared" si="223"/>
        <v>-1</v>
      </c>
      <c r="AM303" s="31"/>
      <c r="AO303" s="60">
        <f t="shared" si="224"/>
        <v>46322</v>
      </c>
      <c r="AP303" s="6">
        <f>+Tabla22[[#This Row],[Web + APP 2025]]+Tabla22[[#This Row],[Afiliados 2025]]+Tabla22[[#This Row],[TMK 2025]]+Tabla22[[#This Row],[WA 2025]]+Tabla22[[#This Row],[Ent. en Tienda 2025]]</f>
        <v>3938541.2413793104</v>
      </c>
      <c r="AQ303" s="6">
        <f>+Tabla22[[#This Row],[Meli Drop 2025]]+Tabla22[[#This Row],[Meli Full 2025]]+Tabla22[[#This Row],[Amazon Drop 2025]]+Tabla22[[#This Row],[Amazon Full 2025]]+Tabla22[[#This Row],[TikTok 2025]]+Tabla22[[#This Row],[Shein 2025]]</f>
        <v>793528.32758620696</v>
      </c>
      <c r="AR303" s="58">
        <f t="shared" si="225"/>
        <v>0</v>
      </c>
      <c r="AS303" s="58">
        <f t="shared" si="226"/>
        <v>0</v>
      </c>
      <c r="AT303" s="59">
        <f t="shared" si="227"/>
        <v>-1</v>
      </c>
      <c r="AU303" s="59">
        <f t="shared" si="228"/>
        <v>-1</v>
      </c>
      <c r="AV303" s="58">
        <f t="shared" si="229"/>
        <v>5126502.1740799397</v>
      </c>
      <c r="AW303" s="58">
        <f t="shared" si="230"/>
        <v>1112493.8442708501</v>
      </c>
      <c r="AX303" s="59">
        <f t="shared" si="231"/>
        <v>0</v>
      </c>
      <c r="AY303" s="59">
        <f t="shared" si="232"/>
        <v>0</v>
      </c>
      <c r="AZ303" s="59">
        <f t="shared" si="233"/>
        <v>0</v>
      </c>
      <c r="BA303" s="27">
        <v>3.3060738314140997E-2</v>
      </c>
      <c r="BB303" s="27">
        <v>3.5535336911981998E-2</v>
      </c>
      <c r="BC303" s="27"/>
      <c r="BD303" s="27"/>
    </row>
    <row r="304" spans="1:56" ht="14.25" hidden="1" customHeight="1" x14ac:dyDescent="0.35">
      <c r="A304" s="16">
        <v>45958</v>
      </c>
      <c r="B304" s="17">
        <f>+'BD MD'!B303</f>
        <v>30046512</v>
      </c>
      <c r="C304" s="17">
        <f t="shared" si="216"/>
        <v>4544797.0603448264</v>
      </c>
      <c r="D304" s="18">
        <f t="shared" si="258"/>
        <v>3.3705951584634936E-2</v>
      </c>
      <c r="E304" s="17"/>
      <c r="F304" s="19">
        <v>46323</v>
      </c>
      <c r="G304" s="17">
        <f t="shared" si="217"/>
        <v>5972355.2516823364</v>
      </c>
      <c r="H304" s="17">
        <v>5179593.4218156897</v>
      </c>
      <c r="I304" s="17">
        <v>792761.82986664702</v>
      </c>
      <c r="J304" s="17">
        <v>3810274</v>
      </c>
      <c r="K304" s="17"/>
      <c r="L304" s="17">
        <v>28745.689655172398</v>
      </c>
      <c r="M304" s="17"/>
      <c r="N304" s="17">
        <v>-671</v>
      </c>
      <c r="O304" s="17"/>
      <c r="P304" s="17">
        <v>2634</v>
      </c>
      <c r="Q304" s="17"/>
      <c r="R304" s="17">
        <v>138347</v>
      </c>
      <c r="S304" s="17"/>
      <c r="T304" s="17">
        <v>371112</v>
      </c>
      <c r="U304" s="17"/>
      <c r="V304" s="17">
        <v>145967</v>
      </c>
      <c r="W304" s="17"/>
      <c r="X304" s="17">
        <v>36008</v>
      </c>
      <c r="Y304" s="17"/>
      <c r="Z304" s="17">
        <v>9114</v>
      </c>
      <c r="AA304" s="17"/>
      <c r="AB304" s="17">
        <v>682.75</v>
      </c>
      <c r="AC304" s="17"/>
      <c r="AD304" s="17">
        <v>2583.6206896551698</v>
      </c>
      <c r="AE304" s="17"/>
      <c r="AF304" s="17">
        <f t="shared" si="218"/>
        <v>0</v>
      </c>
      <c r="AG304" s="18">
        <f t="shared" si="219"/>
        <v>0</v>
      </c>
      <c r="AH304" s="17">
        <f t="shared" si="220"/>
        <v>-5972355.2516823364</v>
      </c>
      <c r="AI304" s="20">
        <f t="shared" si="221"/>
        <v>-1</v>
      </c>
      <c r="AJ304" s="20">
        <f t="shared" si="222"/>
        <v>0.13241817960794397</v>
      </c>
      <c r="AK304" s="21" t="e">
        <f t="shared" si="259"/>
        <v>#DIV/0!</v>
      </c>
      <c r="AL304" s="21">
        <f t="shared" si="223"/>
        <v>-1</v>
      </c>
      <c r="AM304" s="31"/>
      <c r="AO304" s="57">
        <f t="shared" si="224"/>
        <v>46323</v>
      </c>
      <c r="AP304" s="6">
        <f>+Tabla22[[#This Row],[Web + APP 2025]]+Tabla22[[#This Row],[Afiliados 2025]]+Tabla22[[#This Row],[TMK 2025]]+Tabla22[[#This Row],[WA 2025]]+Tabla22[[#This Row],[Ent. en Tienda 2025]]</f>
        <v>3979329.6896551722</v>
      </c>
      <c r="AQ304" s="6">
        <f>+Tabla22[[#This Row],[Meli Drop 2025]]+Tabla22[[#This Row],[Meli Full 2025]]+Tabla22[[#This Row],[Amazon Drop 2025]]+Tabla22[[#This Row],[Amazon Full 2025]]+Tabla22[[#This Row],[TikTok 2025]]+Tabla22[[#This Row],[Shein 2025]]</f>
        <v>565467.37068965519</v>
      </c>
      <c r="AR304" s="58">
        <f t="shared" si="225"/>
        <v>0</v>
      </c>
      <c r="AS304" s="58">
        <f t="shared" si="226"/>
        <v>0</v>
      </c>
      <c r="AT304" s="59">
        <f t="shared" si="227"/>
        <v>-1</v>
      </c>
      <c r="AU304" s="59">
        <f t="shared" si="228"/>
        <v>-1</v>
      </c>
      <c r="AV304" s="58">
        <f t="shared" si="229"/>
        <v>5179593.4218156897</v>
      </c>
      <c r="AW304" s="58">
        <f t="shared" si="230"/>
        <v>792761.82986664702</v>
      </c>
      <c r="AX304" s="59">
        <f t="shared" si="231"/>
        <v>0</v>
      </c>
      <c r="AY304" s="59">
        <f t="shared" si="232"/>
        <v>0</v>
      </c>
      <c r="AZ304" s="59">
        <f t="shared" si="233"/>
        <v>0</v>
      </c>
      <c r="BA304" s="27">
        <v>2.35590439782064E-2</v>
      </c>
      <c r="BB304" s="27">
        <v>3.5903349118220101E-2</v>
      </c>
      <c r="BC304" s="27"/>
      <c r="BD304" s="27"/>
    </row>
    <row r="305" spans="1:56" ht="14.25" hidden="1" customHeight="1" x14ac:dyDescent="0.35">
      <c r="A305" s="19">
        <v>45959</v>
      </c>
      <c r="B305" s="17">
        <f>+'BD MD'!B304</f>
        <v>32503062</v>
      </c>
      <c r="C305" s="17">
        <f t="shared" si="216"/>
        <v>4303996.3017241387</v>
      </c>
      <c r="D305" s="18">
        <f t="shared" si="258"/>
        <v>3.1920081147771805E-2</v>
      </c>
      <c r="E305" s="17"/>
      <c r="F305" s="19">
        <v>46324</v>
      </c>
      <c r="G305" s="17">
        <f t="shared" si="217"/>
        <v>5667398.9249175191</v>
      </c>
      <c r="H305" s="17">
        <v>4756204.5172217404</v>
      </c>
      <c r="I305" s="17">
        <v>911194.40769577899</v>
      </c>
      <c r="J305" s="17">
        <v>3411835</v>
      </c>
      <c r="K305" s="17"/>
      <c r="L305" s="17">
        <v>32697.413793103398</v>
      </c>
      <c r="M305" s="17"/>
      <c r="N305" s="17">
        <v>103284</v>
      </c>
      <c r="O305" s="17"/>
      <c r="P305" s="17">
        <v>6626</v>
      </c>
      <c r="Q305" s="17"/>
      <c r="R305" s="17">
        <v>99610</v>
      </c>
      <c r="S305" s="17"/>
      <c r="T305" s="17">
        <v>451504</v>
      </c>
      <c r="U305" s="17"/>
      <c r="V305" s="17">
        <v>161597</v>
      </c>
      <c r="W305" s="17"/>
      <c r="X305" s="17">
        <v>29605</v>
      </c>
      <c r="Y305" s="17"/>
      <c r="Z305" s="17">
        <v>6174</v>
      </c>
      <c r="AA305" s="17"/>
      <c r="AB305" s="17">
        <v>1063.8879310344801</v>
      </c>
      <c r="AC305" s="17"/>
      <c r="AD305" s="17">
        <v>0</v>
      </c>
      <c r="AE305" s="17"/>
      <c r="AF305" s="17">
        <f t="shared" si="218"/>
        <v>0</v>
      </c>
      <c r="AG305" s="18">
        <f t="shared" si="219"/>
        <v>0</v>
      </c>
      <c r="AH305" s="17">
        <f t="shared" si="220"/>
        <v>-5667398.9249175191</v>
      </c>
      <c r="AI305" s="20">
        <f t="shared" si="221"/>
        <v>-1</v>
      </c>
      <c r="AJ305" s="20">
        <f t="shared" si="222"/>
        <v>8.5811165338737158E-2</v>
      </c>
      <c r="AK305" s="21" t="e">
        <f t="shared" si="259"/>
        <v>#DIV/0!</v>
      </c>
      <c r="AL305" s="21">
        <f t="shared" si="223"/>
        <v>-1</v>
      </c>
      <c r="AM305" s="31"/>
      <c r="AO305" s="57">
        <f t="shared" si="224"/>
        <v>46324</v>
      </c>
      <c r="AP305" s="6">
        <f>+Tabla22[[#This Row],[Web + APP 2025]]+Tabla22[[#This Row],[Afiliados 2025]]+Tabla22[[#This Row],[TMK 2025]]+Tabla22[[#This Row],[WA 2025]]+Tabla22[[#This Row],[Ent. en Tienda 2025]]</f>
        <v>3654052.4137931033</v>
      </c>
      <c r="AQ305" s="6">
        <f>+Tabla22[[#This Row],[Meli Drop 2025]]+Tabla22[[#This Row],[Meli Full 2025]]+Tabla22[[#This Row],[Amazon Drop 2025]]+Tabla22[[#This Row],[Amazon Full 2025]]+Tabla22[[#This Row],[TikTok 2025]]+Tabla22[[#This Row],[Shein 2025]]</f>
        <v>649943.88793103443</v>
      </c>
      <c r="AR305" s="58">
        <f t="shared" si="225"/>
        <v>0</v>
      </c>
      <c r="AS305" s="58">
        <f t="shared" si="226"/>
        <v>0</v>
      </c>
      <c r="AT305" s="59">
        <f t="shared" si="227"/>
        <v>-1</v>
      </c>
      <c r="AU305" s="59">
        <f t="shared" si="228"/>
        <v>-1</v>
      </c>
      <c r="AV305" s="58">
        <f t="shared" si="229"/>
        <v>4756204.5172217404</v>
      </c>
      <c r="AW305" s="58">
        <f t="shared" si="230"/>
        <v>911194.40769577899</v>
      </c>
      <c r="AX305" s="59">
        <f t="shared" si="231"/>
        <v>0</v>
      </c>
      <c r="AY305" s="59">
        <f t="shared" si="232"/>
        <v>0</v>
      </c>
      <c r="AZ305" s="59">
        <f t="shared" si="233"/>
        <v>0</v>
      </c>
      <c r="BA305" s="27">
        <v>2.7078585667036501E-2</v>
      </c>
      <c r="BB305" s="27">
        <v>3.29685474037857E-2</v>
      </c>
      <c r="BC305" s="27"/>
      <c r="BD305" s="27"/>
    </row>
    <row r="306" spans="1:56" ht="14.25" hidden="1" customHeight="1" x14ac:dyDescent="0.35">
      <c r="A306" s="16">
        <v>45960</v>
      </c>
      <c r="B306" s="17">
        <f>+'BD MD'!B305</f>
        <v>36140823</v>
      </c>
      <c r="C306" s="17">
        <f t="shared" si="216"/>
        <v>3101286.1379310344</v>
      </c>
      <c r="D306" s="18">
        <f t="shared" si="258"/>
        <v>2.3000323012722548E-2</v>
      </c>
      <c r="E306" s="17"/>
      <c r="F306" s="19">
        <v>46325</v>
      </c>
      <c r="G306" s="17">
        <f t="shared" si="217"/>
        <v>4087894.046608422</v>
      </c>
      <c r="H306" s="17">
        <v>3372708.1321647498</v>
      </c>
      <c r="I306" s="17">
        <v>715185.91444367205</v>
      </c>
      <c r="J306" s="17">
        <v>2388298</v>
      </c>
      <c r="K306" s="17"/>
      <c r="L306" s="17">
        <v>26326.724137931</v>
      </c>
      <c r="M306" s="17"/>
      <c r="N306" s="17">
        <v>50337</v>
      </c>
      <c r="O306" s="17"/>
      <c r="P306" s="17">
        <v>4122</v>
      </c>
      <c r="Q306" s="17"/>
      <c r="R306" s="17">
        <v>122069</v>
      </c>
      <c r="S306" s="17"/>
      <c r="T306" s="17">
        <v>313708</v>
      </c>
      <c r="U306" s="17"/>
      <c r="V306" s="17">
        <v>168402</v>
      </c>
      <c r="W306" s="17"/>
      <c r="X306" s="17">
        <v>24166</v>
      </c>
      <c r="Y306" s="17"/>
      <c r="Z306" s="17">
        <v>3722</v>
      </c>
      <c r="AA306" s="17"/>
      <c r="AB306" s="17">
        <v>135.413793103448</v>
      </c>
      <c r="AC306" s="17"/>
      <c r="AD306" s="17">
        <v>0</v>
      </c>
      <c r="AE306" s="17"/>
      <c r="AF306" s="17">
        <f t="shared" si="218"/>
        <v>0</v>
      </c>
      <c r="AG306" s="18">
        <f t="shared" si="219"/>
        <v>0</v>
      </c>
      <c r="AH306" s="17">
        <f t="shared" si="220"/>
        <v>-4087894.046608422</v>
      </c>
      <c r="AI306" s="20">
        <f t="shared" si="221"/>
        <v>-1</v>
      </c>
      <c r="AJ306" s="20">
        <f t="shared" si="222"/>
        <v>9.2823990611015622E-2</v>
      </c>
      <c r="AK306" s="21" t="e">
        <f t="shared" si="259"/>
        <v>#DIV/0!</v>
      </c>
      <c r="AL306" s="21">
        <f t="shared" si="223"/>
        <v>-1</v>
      </c>
      <c r="AM306" s="31"/>
      <c r="AO306" s="57">
        <f t="shared" si="224"/>
        <v>46325</v>
      </c>
      <c r="AP306" s="6">
        <f>+Tabla22[[#This Row],[Web + APP 2025]]+Tabla22[[#This Row],[Afiliados 2025]]+Tabla22[[#This Row],[TMK 2025]]+Tabla22[[#This Row],[WA 2025]]+Tabla22[[#This Row],[Ent. en Tienda 2025]]</f>
        <v>2591152.7241379311</v>
      </c>
      <c r="AQ306" s="6">
        <f>+Tabla22[[#This Row],[Meli Drop 2025]]+Tabla22[[#This Row],[Meli Full 2025]]+Tabla22[[#This Row],[Amazon Drop 2025]]+Tabla22[[#This Row],[Amazon Full 2025]]+Tabla22[[#This Row],[TikTok 2025]]+Tabla22[[#This Row],[Shein 2025]]</f>
        <v>510133.41379310342</v>
      </c>
      <c r="AR306" s="58">
        <f t="shared" si="225"/>
        <v>0</v>
      </c>
      <c r="AS306" s="58">
        <f t="shared" si="226"/>
        <v>0</v>
      </c>
      <c r="AT306" s="59">
        <f t="shared" si="227"/>
        <v>-1</v>
      </c>
      <c r="AU306" s="59">
        <f t="shared" si="228"/>
        <v>-1</v>
      </c>
      <c r="AV306" s="58">
        <f t="shared" si="229"/>
        <v>3372708.1321647498</v>
      </c>
      <c r="AW306" s="58">
        <f t="shared" si="230"/>
        <v>715185.91444367205</v>
      </c>
      <c r="AX306" s="59">
        <f t="shared" si="231"/>
        <v>0</v>
      </c>
      <c r="AY306" s="59">
        <f t="shared" si="232"/>
        <v>0</v>
      </c>
      <c r="AZ306" s="59">
        <f t="shared" si="233"/>
        <v>0</v>
      </c>
      <c r="BA306" s="27">
        <v>2.1253667591193799E-2</v>
      </c>
      <c r="BB306" s="27">
        <v>2.3378575822756899E-2</v>
      </c>
      <c r="BC306" s="27"/>
      <c r="BD306" s="27"/>
    </row>
    <row r="307" spans="1:56" ht="14.25" hidden="1" customHeight="1" x14ac:dyDescent="0.35">
      <c r="A307" s="19">
        <v>45961</v>
      </c>
      <c r="B307" s="17">
        <f>+'BD MD'!B306</f>
        <v>37148684</v>
      </c>
      <c r="C307" s="17">
        <f t="shared" si="216"/>
        <v>3448289.0948275863</v>
      </c>
      <c r="D307" s="18">
        <f t="shared" si="258"/>
        <v>2.5573829532283827E-2</v>
      </c>
      <c r="E307" s="17"/>
      <c r="F307" s="19">
        <v>46326</v>
      </c>
      <c r="G307" s="17">
        <f t="shared" si="217"/>
        <v>4562047.2741711605</v>
      </c>
      <c r="H307" s="17">
        <v>3532671.2875747802</v>
      </c>
      <c r="I307" s="17">
        <v>1029375.98659638</v>
      </c>
      <c r="J307" s="17">
        <v>2518660</v>
      </c>
      <c r="K307" s="17"/>
      <c r="L307" s="17">
        <v>25826.724137931</v>
      </c>
      <c r="M307" s="17"/>
      <c r="N307" s="17">
        <v>91252</v>
      </c>
      <c r="O307" s="17"/>
      <c r="P307" s="17">
        <v>2632</v>
      </c>
      <c r="Q307" s="17"/>
      <c r="R307" s="17">
        <v>75677</v>
      </c>
      <c r="S307" s="17"/>
      <c r="T307" s="17">
        <v>539551</v>
      </c>
      <c r="U307" s="17"/>
      <c r="V307" s="17">
        <v>143470</v>
      </c>
      <c r="W307" s="17"/>
      <c r="X307" s="17">
        <v>48956</v>
      </c>
      <c r="Y307" s="17"/>
      <c r="Z307" s="17">
        <v>2157</v>
      </c>
      <c r="AA307" s="17"/>
      <c r="AB307" s="17">
        <v>-667.62931034482699</v>
      </c>
      <c r="AC307" s="17"/>
      <c r="AD307" s="17">
        <v>775</v>
      </c>
      <c r="AE307" s="17"/>
      <c r="AF307" s="17">
        <f t="shared" si="218"/>
        <v>0</v>
      </c>
      <c r="AG307" s="18">
        <f t="shared" si="219"/>
        <v>0</v>
      </c>
      <c r="AH307" s="17">
        <f t="shared" si="220"/>
        <v>-4562047.2741711605</v>
      </c>
      <c r="AI307" s="20">
        <f t="shared" si="221"/>
        <v>-1</v>
      </c>
      <c r="AJ307" s="20">
        <f t="shared" si="222"/>
        <v>6.1332516268645478E-2</v>
      </c>
      <c r="AK307" s="21" t="e">
        <f t="shared" si="259"/>
        <v>#DIV/0!</v>
      </c>
      <c r="AL307" s="21">
        <f t="shared" si="223"/>
        <v>-1</v>
      </c>
      <c r="AM307" s="31"/>
      <c r="AO307" s="57">
        <f t="shared" si="224"/>
        <v>46326</v>
      </c>
      <c r="AP307" s="6">
        <f>+Tabla22[[#This Row],[Web + APP 2025]]+Tabla22[[#This Row],[Afiliados 2025]]+Tabla22[[#This Row],[TMK 2025]]+Tabla22[[#This Row],[WA 2025]]+Tabla22[[#This Row],[Ent. en Tienda 2025]]</f>
        <v>2714047.7241379311</v>
      </c>
      <c r="AQ307" s="6">
        <f>+Tabla22[[#This Row],[Meli Drop 2025]]+Tabla22[[#This Row],[Meli Full 2025]]+Tabla22[[#This Row],[Amazon Drop 2025]]+Tabla22[[#This Row],[Amazon Full 2025]]+Tabla22[[#This Row],[TikTok 2025]]+Tabla22[[#This Row],[Shein 2025]]</f>
        <v>734241.37068965519</v>
      </c>
      <c r="AR307" s="58">
        <f t="shared" si="225"/>
        <v>0</v>
      </c>
      <c r="AS307" s="58">
        <f t="shared" si="226"/>
        <v>0</v>
      </c>
      <c r="AT307" s="59">
        <f t="shared" si="227"/>
        <v>-1</v>
      </c>
      <c r="AU307" s="59">
        <f t="shared" si="228"/>
        <v>-1</v>
      </c>
      <c r="AV307" s="58">
        <f t="shared" si="229"/>
        <v>3532671.2875747802</v>
      </c>
      <c r="AW307" s="58">
        <f t="shared" si="230"/>
        <v>1029375.98659638</v>
      </c>
      <c r="AX307" s="59">
        <f t="shared" si="231"/>
        <v>0</v>
      </c>
      <c r="AY307" s="59">
        <f t="shared" si="232"/>
        <v>0</v>
      </c>
      <c r="AZ307" s="59">
        <f t="shared" si="233"/>
        <v>0</v>
      </c>
      <c r="BA307" s="27">
        <v>3.0590668249520999E-2</v>
      </c>
      <c r="BB307" s="27">
        <v>2.4487391234898799E-2</v>
      </c>
      <c r="BC307" s="27"/>
      <c r="BD307" s="27"/>
    </row>
    <row r="308" spans="1:56" ht="14.25" hidden="1" customHeight="1" x14ac:dyDescent="0.35">
      <c r="A308" s="16">
        <v>45962</v>
      </c>
      <c r="B308" s="17">
        <v>38306116</v>
      </c>
      <c r="C308" s="17">
        <f t="shared" si="216"/>
        <v>2349410.4827586208</v>
      </c>
      <c r="D308" s="18">
        <f t="shared" ref="D308:D337" si="260">+C308/(SUM($C$308:$C$337))</f>
        <v>1.3946712552076792E-2</v>
      </c>
      <c r="E308" s="17"/>
      <c r="F308" s="19">
        <v>46327</v>
      </c>
      <c r="G308" s="17">
        <f t="shared" si="217"/>
        <v>3110331.7005311521</v>
      </c>
      <c r="H308" s="17">
        <v>2352862.0725459899</v>
      </c>
      <c r="I308" s="17">
        <v>757469.62798516196</v>
      </c>
      <c r="J308" s="17">
        <v>1683835</v>
      </c>
      <c r="K308" s="17"/>
      <c r="L308" s="17">
        <v>24736.206896551699</v>
      </c>
      <c r="M308" s="17"/>
      <c r="N308" s="17">
        <v>-1342</v>
      </c>
      <c r="O308" s="17"/>
      <c r="P308" s="17">
        <v>3614</v>
      </c>
      <c r="Q308" s="17"/>
      <c r="R308" s="17">
        <v>101714</v>
      </c>
      <c r="S308" s="17"/>
      <c r="T308" s="17">
        <v>370351</v>
      </c>
      <c r="U308" s="17"/>
      <c r="V308" s="17">
        <v>133732</v>
      </c>
      <c r="W308" s="17"/>
      <c r="X308" s="17">
        <v>24368</v>
      </c>
      <c r="Y308" s="17"/>
      <c r="Z308" s="17">
        <v>7154</v>
      </c>
      <c r="AA308" s="17"/>
      <c r="AB308" s="17">
        <v>1248.2758620689699</v>
      </c>
      <c r="AC308" s="17"/>
      <c r="AD308" s="17">
        <v>0</v>
      </c>
      <c r="AE308" s="17"/>
      <c r="AF308" s="17">
        <f t="shared" si="218"/>
        <v>0</v>
      </c>
      <c r="AG308" s="18">
        <f t="shared" si="219"/>
        <v>0</v>
      </c>
      <c r="AH308" s="17">
        <f t="shared" si="220"/>
        <v>-3110331.7005311521</v>
      </c>
      <c r="AI308" s="20">
        <f t="shared" si="221"/>
        <v>-1</v>
      </c>
      <c r="AJ308" s="20">
        <f t="shared" si="222"/>
        <v>7.8516705556695016E-2</v>
      </c>
      <c r="AK308" s="21" t="e">
        <f t="shared" si="259"/>
        <v>#DIV/0!</v>
      </c>
      <c r="AL308" s="21">
        <f t="shared" si="223"/>
        <v>-1</v>
      </c>
      <c r="AM308" s="31"/>
      <c r="AO308" s="60">
        <f t="shared" si="224"/>
        <v>46327</v>
      </c>
      <c r="AP308" s="6">
        <f>+Tabla22[[#This Row],[Web + APP 2025]]+Tabla22[[#This Row],[Afiliados 2025]]+Tabla22[[#This Row],[TMK 2025]]+Tabla22[[#This Row],[WA 2025]]+Tabla22[[#This Row],[Ent. en Tienda 2025]]</f>
        <v>1812557.2068965517</v>
      </c>
      <c r="AQ308" s="6">
        <f>+Tabla22[[#This Row],[Meli Drop 2025]]+Tabla22[[#This Row],[Meli Full 2025]]+Tabla22[[#This Row],[Amazon Drop 2025]]+Tabla22[[#This Row],[Amazon Full 2025]]+Tabla22[[#This Row],[TikTok 2025]]+Tabla22[[#This Row],[Shein 2025]]</f>
        <v>536853.27586206899</v>
      </c>
      <c r="AR308" s="58">
        <f t="shared" si="225"/>
        <v>0</v>
      </c>
      <c r="AS308" s="58">
        <f t="shared" si="226"/>
        <v>0</v>
      </c>
      <c r="AT308" s="59">
        <f t="shared" si="227"/>
        <v>-1</v>
      </c>
      <c r="AU308" s="59">
        <f t="shared" si="228"/>
        <v>-1</v>
      </c>
      <c r="AV308" s="58">
        <f t="shared" si="229"/>
        <v>2352862.0725459899</v>
      </c>
      <c r="AW308" s="58">
        <f t="shared" si="230"/>
        <v>757469.62798516196</v>
      </c>
      <c r="AX308" s="59">
        <f t="shared" si="231"/>
        <v>0</v>
      </c>
      <c r="AY308" s="59">
        <f t="shared" si="232"/>
        <v>0</v>
      </c>
      <c r="AZ308" s="59">
        <f t="shared" si="233"/>
        <v>0</v>
      </c>
      <c r="BA308" s="27">
        <v>1.3847708007041401E-2</v>
      </c>
      <c r="BB308" s="27">
        <v>1.39763085917741E-2</v>
      </c>
      <c r="BC308" s="27"/>
      <c r="BD308" s="27"/>
    </row>
    <row r="309" spans="1:56" ht="14.25" hidden="1" customHeight="1" x14ac:dyDescent="0.35">
      <c r="A309" s="19">
        <v>45963</v>
      </c>
      <c r="B309" s="17">
        <v>39057895</v>
      </c>
      <c r="C309" s="17">
        <f t="shared" si="216"/>
        <v>3066697.2413793104</v>
      </c>
      <c r="D309" s="18">
        <f t="shared" si="260"/>
        <v>1.8204713575443062E-2</v>
      </c>
      <c r="E309" s="17"/>
      <c r="F309" s="19">
        <v>46328</v>
      </c>
      <c r="G309" s="17">
        <f t="shared" si="217"/>
        <v>4033364.4534092778</v>
      </c>
      <c r="H309" s="17">
        <v>3376787.98777891</v>
      </c>
      <c r="I309" s="17">
        <v>656576.46563036798</v>
      </c>
      <c r="J309" s="17">
        <v>2484015</v>
      </c>
      <c r="K309" s="17"/>
      <c r="L309" s="17">
        <v>31896.551724137898</v>
      </c>
      <c r="M309" s="17"/>
      <c r="N309" s="17">
        <v>5110</v>
      </c>
      <c r="O309" s="17"/>
      <c r="P309" s="17">
        <v>809</v>
      </c>
      <c r="Q309" s="17"/>
      <c r="R309" s="17">
        <v>79521</v>
      </c>
      <c r="S309" s="17"/>
      <c r="T309" s="17">
        <v>252270</v>
      </c>
      <c r="U309" s="17"/>
      <c r="V309" s="17">
        <v>160805</v>
      </c>
      <c r="W309" s="17"/>
      <c r="X309" s="17">
        <v>44223</v>
      </c>
      <c r="Y309" s="17"/>
      <c r="Z309" s="17">
        <v>6928</v>
      </c>
      <c r="AA309" s="17"/>
      <c r="AB309" s="17">
        <v>1119.6896551724101</v>
      </c>
      <c r="AC309" s="17"/>
      <c r="AD309" s="17">
        <v>0</v>
      </c>
      <c r="AE309" s="17"/>
      <c r="AF309" s="17">
        <f t="shared" si="218"/>
        <v>0</v>
      </c>
      <c r="AG309" s="18">
        <f t="shared" si="219"/>
        <v>0</v>
      </c>
      <c r="AH309" s="17">
        <f t="shared" si="220"/>
        <v>-4033364.4534092778</v>
      </c>
      <c r="AI309" s="20">
        <f t="shared" si="221"/>
        <v>-1</v>
      </c>
      <c r="AJ309" s="20">
        <f t="shared" si="222"/>
        <v>0.12197507161805875</v>
      </c>
      <c r="AK309" s="21" t="e">
        <f t="shared" si="259"/>
        <v>#DIV/0!</v>
      </c>
      <c r="AL309" s="21">
        <f t="shared" si="223"/>
        <v>-1</v>
      </c>
      <c r="AM309" s="31"/>
      <c r="AO309" s="57">
        <f t="shared" si="224"/>
        <v>46328</v>
      </c>
      <c r="AP309" s="6">
        <f>+Tabla22[[#This Row],[Web + APP 2025]]+Tabla22[[#This Row],[Afiliados 2025]]+Tabla22[[#This Row],[TMK 2025]]+Tabla22[[#This Row],[WA 2025]]+Tabla22[[#This Row],[Ent. en Tienda 2025]]</f>
        <v>2601351.5517241377</v>
      </c>
      <c r="AQ309" s="6">
        <f>+Tabla22[[#This Row],[Meli Drop 2025]]+Tabla22[[#This Row],[Meli Full 2025]]+Tabla22[[#This Row],[Amazon Drop 2025]]+Tabla22[[#This Row],[Amazon Full 2025]]+Tabla22[[#This Row],[TikTok 2025]]+Tabla22[[#This Row],[Shein 2025]]</f>
        <v>465345.68965517241</v>
      </c>
      <c r="AR309" s="58">
        <f t="shared" si="225"/>
        <v>0</v>
      </c>
      <c r="AS309" s="58">
        <f t="shared" si="226"/>
        <v>0</v>
      </c>
      <c r="AT309" s="59">
        <f t="shared" si="227"/>
        <v>-1</v>
      </c>
      <c r="AU309" s="59">
        <f t="shared" si="228"/>
        <v>-1</v>
      </c>
      <c r="AV309" s="58">
        <f t="shared" si="229"/>
        <v>3376787.98777891</v>
      </c>
      <c r="AW309" s="58">
        <f t="shared" si="230"/>
        <v>656576.46563036798</v>
      </c>
      <c r="AX309" s="59">
        <f t="shared" si="231"/>
        <v>0</v>
      </c>
      <c r="AY309" s="59">
        <f t="shared" si="232"/>
        <v>0</v>
      </c>
      <c r="AZ309" s="59">
        <f t="shared" si="233"/>
        <v>0</v>
      </c>
      <c r="BA309" s="27">
        <v>1.20032260627124E-2</v>
      </c>
      <c r="BB309" s="27">
        <v>2.0058562512814501E-2</v>
      </c>
      <c r="BC309" s="27"/>
      <c r="BD309" s="27"/>
    </row>
    <row r="310" spans="1:56" ht="14.25" hidden="1" customHeight="1" x14ac:dyDescent="0.35">
      <c r="A310" s="16">
        <v>45964</v>
      </c>
      <c r="B310" s="17">
        <v>34119561</v>
      </c>
      <c r="C310" s="17">
        <f t="shared" si="216"/>
        <v>4161735.8965517241</v>
      </c>
      <c r="D310" s="18">
        <f t="shared" si="260"/>
        <v>2.4705148245833294E-2</v>
      </c>
      <c r="E310" s="17"/>
      <c r="F310" s="19">
        <v>46329</v>
      </c>
      <c r="G310" s="17">
        <f t="shared" si="217"/>
        <v>5498447.4894344397</v>
      </c>
      <c r="H310" s="17">
        <v>4296459.3403919199</v>
      </c>
      <c r="I310" s="17">
        <v>1201988.14904252</v>
      </c>
      <c r="J310" s="17">
        <v>3169867</v>
      </c>
      <c r="K310" s="17"/>
      <c r="L310" s="17">
        <v>37387.068965517203</v>
      </c>
      <c r="M310" s="17"/>
      <c r="N310" s="17">
        <v>28365</v>
      </c>
      <c r="O310" s="17"/>
      <c r="P310" s="17">
        <v>5684</v>
      </c>
      <c r="Q310" s="17"/>
      <c r="R310" s="17">
        <v>68529</v>
      </c>
      <c r="S310" s="17"/>
      <c r="T310" s="17">
        <v>675820</v>
      </c>
      <c r="U310" s="17"/>
      <c r="V310" s="17">
        <v>143167</v>
      </c>
      <c r="W310" s="17"/>
      <c r="X310" s="17">
        <v>26685</v>
      </c>
      <c r="Y310" s="17"/>
      <c r="Z310" s="17">
        <v>6387</v>
      </c>
      <c r="AA310" s="17"/>
      <c r="AB310" s="17">
        <v>-155.172413793103</v>
      </c>
      <c r="AC310" s="17"/>
      <c r="AD310" s="17">
        <v>0</v>
      </c>
      <c r="AE310" s="17"/>
      <c r="AF310" s="17">
        <f t="shared" si="218"/>
        <v>0</v>
      </c>
      <c r="AG310" s="18">
        <f t="shared" si="219"/>
        <v>0</v>
      </c>
      <c r="AH310" s="17">
        <f t="shared" si="220"/>
        <v>-5498447.4894344397</v>
      </c>
      <c r="AI310" s="20">
        <f t="shared" si="221"/>
        <v>-1</v>
      </c>
      <c r="AJ310" s="20">
        <f t="shared" si="222"/>
        <v>0.17724419127264734</v>
      </c>
      <c r="AK310" s="21" t="e">
        <f t="shared" si="259"/>
        <v>#DIV/0!</v>
      </c>
      <c r="AL310" s="21">
        <f t="shared" si="223"/>
        <v>-1</v>
      </c>
      <c r="AM310" s="31"/>
      <c r="AO310" s="57">
        <f t="shared" si="224"/>
        <v>46329</v>
      </c>
      <c r="AP310" s="6">
        <f>+Tabla22[[#This Row],[Web + APP 2025]]+Tabla22[[#This Row],[Afiliados 2025]]+Tabla22[[#This Row],[TMK 2025]]+Tabla22[[#This Row],[WA 2025]]+Tabla22[[#This Row],[Ent. en Tienda 2025]]</f>
        <v>3309832.068965517</v>
      </c>
      <c r="AQ310" s="6">
        <f>+Tabla22[[#This Row],[Meli Drop 2025]]+Tabla22[[#This Row],[Meli Full 2025]]+Tabla22[[#This Row],[Amazon Drop 2025]]+Tabla22[[#This Row],[Amazon Full 2025]]+Tabla22[[#This Row],[TikTok 2025]]+Tabla22[[#This Row],[Shein 2025]]</f>
        <v>851903.82758620684</v>
      </c>
      <c r="AR310" s="58">
        <f t="shared" si="225"/>
        <v>0</v>
      </c>
      <c r="AS310" s="58">
        <f t="shared" si="226"/>
        <v>0</v>
      </c>
      <c r="AT310" s="59">
        <f t="shared" si="227"/>
        <v>-1</v>
      </c>
      <c r="AU310" s="59">
        <f t="shared" si="228"/>
        <v>-1</v>
      </c>
      <c r="AV310" s="58">
        <f t="shared" si="229"/>
        <v>4296459.3403919199</v>
      </c>
      <c r="AW310" s="58">
        <f t="shared" si="230"/>
        <v>1201988.14904252</v>
      </c>
      <c r="AX310" s="59">
        <f t="shared" si="231"/>
        <v>0</v>
      </c>
      <c r="AY310" s="59">
        <f t="shared" si="232"/>
        <v>0</v>
      </c>
      <c r="AZ310" s="59">
        <f t="shared" si="233"/>
        <v>0</v>
      </c>
      <c r="BA310" s="27">
        <v>2.1974189196389701E-2</v>
      </c>
      <c r="BB310" s="27">
        <v>2.5521530689790899E-2</v>
      </c>
      <c r="BC310" s="27"/>
      <c r="BD310" s="27"/>
    </row>
    <row r="311" spans="1:56" ht="14.25" hidden="1" customHeight="1" x14ac:dyDescent="0.35">
      <c r="A311" s="19">
        <v>45965</v>
      </c>
      <c r="B311" s="17">
        <v>36354046</v>
      </c>
      <c r="C311" s="17">
        <f t="shared" si="216"/>
        <v>6443543.4827586198</v>
      </c>
      <c r="D311" s="18">
        <f t="shared" si="260"/>
        <v>3.8250552396158322E-2</v>
      </c>
      <c r="E311" s="17"/>
      <c r="F311" s="19">
        <v>46330</v>
      </c>
      <c r="G311" s="17">
        <f t="shared" si="217"/>
        <v>8464575.10752251</v>
      </c>
      <c r="H311" s="17">
        <v>7210871.9391162703</v>
      </c>
      <c r="I311" s="17">
        <v>1253703.1684062399</v>
      </c>
      <c r="J311" s="17">
        <v>5275115</v>
      </c>
      <c r="K311" s="17"/>
      <c r="L311" s="17">
        <v>48925.8620689655</v>
      </c>
      <c r="M311" s="17"/>
      <c r="N311" s="17">
        <v>61590</v>
      </c>
      <c r="O311" s="17"/>
      <c r="P311" s="17">
        <v>4784</v>
      </c>
      <c r="Q311" s="17"/>
      <c r="R311" s="17">
        <v>164572</v>
      </c>
      <c r="S311" s="17"/>
      <c r="T311" s="17">
        <v>705965</v>
      </c>
      <c r="U311" s="17"/>
      <c r="V311" s="17">
        <v>121452</v>
      </c>
      <c r="W311" s="17"/>
      <c r="X311" s="17">
        <v>50681</v>
      </c>
      <c r="Y311" s="17"/>
      <c r="Z311" s="17">
        <v>6631</v>
      </c>
      <c r="AA311" s="17"/>
      <c r="AB311" s="17">
        <v>2450.03448275862</v>
      </c>
      <c r="AC311" s="17"/>
      <c r="AD311" s="17">
        <v>1377.58620689655</v>
      </c>
      <c r="AE311" s="17"/>
      <c r="AF311" s="17">
        <f t="shared" si="218"/>
        <v>0</v>
      </c>
      <c r="AG311" s="18">
        <f t="shared" si="219"/>
        <v>0</v>
      </c>
      <c r="AH311" s="17">
        <f t="shared" si="220"/>
        <v>-8464575.10752251</v>
      </c>
      <c r="AI311" s="20">
        <f t="shared" si="221"/>
        <v>-1</v>
      </c>
      <c r="AJ311" s="20">
        <f t="shared" si="222"/>
        <v>0.14833522180735395</v>
      </c>
      <c r="AK311" s="21" t="e">
        <f t="shared" si="259"/>
        <v>#DIV/0!</v>
      </c>
      <c r="AL311" s="21">
        <f t="shared" si="223"/>
        <v>-1</v>
      </c>
      <c r="AM311" s="31"/>
      <c r="AO311" s="57">
        <f t="shared" si="224"/>
        <v>46330</v>
      </c>
      <c r="AP311" s="6">
        <f>+Tabla22[[#This Row],[Web + APP 2025]]+Tabla22[[#This Row],[Afiliados 2025]]+Tabla22[[#This Row],[TMK 2025]]+Tabla22[[#This Row],[WA 2025]]+Tabla22[[#This Row],[Ent. en Tienda 2025]]</f>
        <v>5554986.8620689651</v>
      </c>
      <c r="AQ311" s="6">
        <f>+Tabla22[[#This Row],[Meli Drop 2025]]+Tabla22[[#This Row],[Meli Full 2025]]+Tabla22[[#This Row],[Amazon Drop 2025]]+Tabla22[[#This Row],[Amazon Full 2025]]+Tabla22[[#This Row],[TikTok 2025]]+Tabla22[[#This Row],[Shein 2025]]</f>
        <v>888556.62068965519</v>
      </c>
      <c r="AR311" s="58">
        <f t="shared" si="225"/>
        <v>0</v>
      </c>
      <c r="AS311" s="58">
        <f t="shared" si="226"/>
        <v>0</v>
      </c>
      <c r="AT311" s="59">
        <f t="shared" si="227"/>
        <v>-1</v>
      </c>
      <c r="AU311" s="59">
        <f t="shared" si="228"/>
        <v>-1</v>
      </c>
      <c r="AV311" s="58">
        <f t="shared" si="229"/>
        <v>7210871.9391162703</v>
      </c>
      <c r="AW311" s="58">
        <f t="shared" si="230"/>
        <v>1253703.1684062399</v>
      </c>
      <c r="AX311" s="59">
        <f t="shared" si="231"/>
        <v>0</v>
      </c>
      <c r="AY311" s="59">
        <f t="shared" si="232"/>
        <v>0</v>
      </c>
      <c r="AZ311" s="59">
        <f t="shared" si="233"/>
        <v>0</v>
      </c>
      <c r="BA311" s="27">
        <v>2.2919619166476099E-2</v>
      </c>
      <c r="BB311" s="27">
        <v>4.2833522888062699E-2</v>
      </c>
      <c r="BC311" s="27"/>
      <c r="BD311" s="27"/>
    </row>
    <row r="312" spans="1:56" ht="14.25" hidden="1" customHeight="1" x14ac:dyDescent="0.35">
      <c r="A312" s="16">
        <v>45966</v>
      </c>
      <c r="B312" s="17">
        <v>40657652</v>
      </c>
      <c r="C312" s="17">
        <f t="shared" si="216"/>
        <v>6030961.8275862075</v>
      </c>
      <c r="D312" s="18">
        <f t="shared" si="260"/>
        <v>3.5801360230218335E-2</v>
      </c>
      <c r="E312" s="17"/>
      <c r="F312" s="19">
        <v>46331</v>
      </c>
      <c r="G312" s="17">
        <f t="shared" si="217"/>
        <v>7942244.7131025996</v>
      </c>
      <c r="H312" s="17">
        <v>6523038.8478428498</v>
      </c>
      <c r="I312" s="17">
        <v>1419205.86525975</v>
      </c>
      <c r="J312" s="17">
        <v>4794794</v>
      </c>
      <c r="K312" s="17"/>
      <c r="L312" s="17">
        <v>47206.896551724101</v>
      </c>
      <c r="M312" s="17"/>
      <c r="N312" s="17">
        <v>52913</v>
      </c>
      <c r="O312" s="17"/>
      <c r="P312" s="17">
        <v>9080</v>
      </c>
      <c r="Q312" s="17"/>
      <c r="R312" s="17">
        <v>121112</v>
      </c>
      <c r="S312" s="17"/>
      <c r="T312" s="17">
        <v>807271</v>
      </c>
      <c r="U312" s="17"/>
      <c r="V312" s="17">
        <v>136768</v>
      </c>
      <c r="W312" s="17"/>
      <c r="X312" s="17">
        <v>42494</v>
      </c>
      <c r="Y312" s="17"/>
      <c r="Z312" s="17">
        <v>12012</v>
      </c>
      <c r="AA312" s="17"/>
      <c r="AB312" s="17">
        <v>7310.93103448276</v>
      </c>
      <c r="AC312" s="17"/>
      <c r="AD312" s="17">
        <v>0</v>
      </c>
      <c r="AE312" s="17"/>
      <c r="AF312" s="17">
        <f t="shared" si="218"/>
        <v>0</v>
      </c>
      <c r="AG312" s="18">
        <f t="shared" si="219"/>
        <v>0</v>
      </c>
      <c r="AH312" s="17">
        <f t="shared" si="220"/>
        <v>-7942244.7131025996</v>
      </c>
      <c r="AI312" s="20">
        <f t="shared" si="221"/>
        <v>-1</v>
      </c>
      <c r="AJ312" s="20">
        <f t="shared" si="222"/>
        <v>0.1053779513559948</v>
      </c>
      <c r="AK312" s="21" t="e">
        <f t="shared" ref="AK312:AK343" si="261">+AF312/E312</f>
        <v>#DIV/0!</v>
      </c>
      <c r="AL312" s="21">
        <f t="shared" si="223"/>
        <v>-1</v>
      </c>
      <c r="AM312" s="31"/>
      <c r="AO312" s="57">
        <f t="shared" si="224"/>
        <v>46331</v>
      </c>
      <c r="AP312" s="6">
        <f>+Tabla22[[#This Row],[Web + APP 2025]]+Tabla22[[#This Row],[Afiliados 2025]]+Tabla22[[#This Row],[TMK 2025]]+Tabla22[[#This Row],[WA 2025]]+Tabla22[[#This Row],[Ent. en Tienda 2025]]</f>
        <v>5025105.8965517245</v>
      </c>
      <c r="AQ312" s="6">
        <f>+Tabla22[[#This Row],[Meli Drop 2025]]+Tabla22[[#This Row],[Meli Full 2025]]+Tabla22[[#This Row],[Amazon Drop 2025]]+Tabla22[[#This Row],[Amazon Full 2025]]+Tabla22[[#This Row],[TikTok 2025]]+Tabla22[[#This Row],[Shein 2025]]</f>
        <v>1005855.9310344828</v>
      </c>
      <c r="AR312" s="58">
        <f t="shared" si="225"/>
        <v>0</v>
      </c>
      <c r="AS312" s="58">
        <f t="shared" si="226"/>
        <v>0</v>
      </c>
      <c r="AT312" s="59">
        <f t="shared" si="227"/>
        <v>-1</v>
      </c>
      <c r="AU312" s="59">
        <f t="shared" si="228"/>
        <v>-1</v>
      </c>
      <c r="AV312" s="58">
        <f t="shared" si="229"/>
        <v>6523038.8478428498</v>
      </c>
      <c r="AW312" s="58">
        <f t="shared" si="230"/>
        <v>1419205.86525975</v>
      </c>
      <c r="AX312" s="59">
        <f t="shared" si="231"/>
        <v>0</v>
      </c>
      <c r="AY312" s="59">
        <f t="shared" si="232"/>
        <v>0</v>
      </c>
      <c r="AZ312" s="59">
        <f t="shared" si="233"/>
        <v>0</v>
      </c>
      <c r="BA312" s="27">
        <v>2.5945262619008199E-2</v>
      </c>
      <c r="BB312" s="27">
        <v>3.8747704320351802E-2</v>
      </c>
      <c r="BC312" s="27"/>
      <c r="BD312" s="27"/>
    </row>
    <row r="313" spans="1:56" ht="14.25" hidden="1" customHeight="1" x14ac:dyDescent="0.35">
      <c r="A313" s="19">
        <v>45967</v>
      </c>
      <c r="B313" s="17">
        <v>45608200</v>
      </c>
      <c r="C313" s="17">
        <f t="shared" si="216"/>
        <v>4806098.6810344821</v>
      </c>
      <c r="D313" s="18">
        <f t="shared" si="260"/>
        <v>2.8530253564970551E-2</v>
      </c>
      <c r="E313" s="17"/>
      <c r="F313" s="19">
        <v>46332</v>
      </c>
      <c r="G313" s="17">
        <f t="shared" si="217"/>
        <v>6325493.9024184505</v>
      </c>
      <c r="H313" s="17">
        <v>5240958.0038128104</v>
      </c>
      <c r="I313" s="17">
        <v>1084535.89860564</v>
      </c>
      <c r="J313" s="17">
        <v>3788708</v>
      </c>
      <c r="K313" s="17"/>
      <c r="L313" s="17">
        <v>42858.620689655101</v>
      </c>
      <c r="M313" s="17"/>
      <c r="N313" s="17">
        <v>75396</v>
      </c>
      <c r="O313" s="17"/>
      <c r="P313" s="17">
        <v>1642</v>
      </c>
      <c r="Q313" s="17"/>
      <c r="R313" s="17">
        <v>128834</v>
      </c>
      <c r="S313" s="17"/>
      <c r="T313" s="17">
        <v>597718</v>
      </c>
      <c r="U313" s="17"/>
      <c r="V313" s="17">
        <v>113410</v>
      </c>
      <c r="W313" s="17"/>
      <c r="X313" s="17">
        <v>31381</v>
      </c>
      <c r="Y313" s="17"/>
      <c r="Z313" s="17">
        <v>18407</v>
      </c>
      <c r="AA313" s="17"/>
      <c r="AB313" s="17">
        <v>7744.0603448275897</v>
      </c>
      <c r="AC313" s="17"/>
      <c r="AD313" s="17">
        <v>0</v>
      </c>
      <c r="AE313" s="17"/>
      <c r="AF313" s="17">
        <f t="shared" si="218"/>
        <v>0</v>
      </c>
      <c r="AG313" s="18">
        <f t="shared" si="219"/>
        <v>0</v>
      </c>
      <c r="AH313" s="17">
        <f t="shared" si="220"/>
        <v>-6325493.9024184505</v>
      </c>
      <c r="AI313" s="20">
        <f t="shared" si="221"/>
        <v>-1</v>
      </c>
      <c r="AJ313" s="20">
        <f t="shared" si="222"/>
        <v>9.5761168337127792E-2</v>
      </c>
      <c r="AK313" s="21" t="e">
        <f t="shared" si="261"/>
        <v>#DIV/0!</v>
      </c>
      <c r="AL313" s="21">
        <f t="shared" si="223"/>
        <v>-1</v>
      </c>
      <c r="AM313" s="31"/>
      <c r="AO313" s="60">
        <f t="shared" si="224"/>
        <v>46332</v>
      </c>
      <c r="AP313" s="6">
        <f>+Tabla22[[#This Row],[Web + APP 2025]]+Tabla22[[#This Row],[Afiliados 2025]]+Tabla22[[#This Row],[TMK 2025]]+Tabla22[[#This Row],[WA 2025]]+Tabla22[[#This Row],[Ent. en Tienda 2025]]</f>
        <v>4037438.6206896552</v>
      </c>
      <c r="AQ313" s="6">
        <f>+Tabla22[[#This Row],[Meli Drop 2025]]+Tabla22[[#This Row],[Meli Full 2025]]+Tabla22[[#This Row],[Amazon Drop 2025]]+Tabla22[[#This Row],[Amazon Full 2025]]+Tabla22[[#This Row],[TikTok 2025]]+Tabla22[[#This Row],[Shein 2025]]</f>
        <v>768660.06034482759</v>
      </c>
      <c r="AR313" s="58">
        <f t="shared" si="225"/>
        <v>0</v>
      </c>
      <c r="AS313" s="58">
        <f t="shared" si="226"/>
        <v>0</v>
      </c>
      <c r="AT313" s="59">
        <f t="shared" si="227"/>
        <v>-1</v>
      </c>
      <c r="AU313" s="59">
        <f t="shared" si="228"/>
        <v>-1</v>
      </c>
      <c r="AV313" s="58">
        <f t="shared" si="229"/>
        <v>5240958.0038128104</v>
      </c>
      <c r="AW313" s="58">
        <f t="shared" si="230"/>
        <v>1084535.89860564</v>
      </c>
      <c r="AX313" s="59">
        <f t="shared" si="231"/>
        <v>0</v>
      </c>
      <c r="AY313" s="59">
        <f t="shared" si="232"/>
        <v>0</v>
      </c>
      <c r="AZ313" s="59">
        <f t="shared" si="233"/>
        <v>0</v>
      </c>
      <c r="BA313" s="27">
        <v>1.9826981692973301E-2</v>
      </c>
      <c r="BB313" s="27">
        <v>3.1131976341713202E-2</v>
      </c>
      <c r="BC313" s="27"/>
      <c r="BD313" s="27"/>
    </row>
    <row r="314" spans="1:56" ht="14.25" hidden="1" customHeight="1" x14ac:dyDescent="0.35">
      <c r="A314" s="16">
        <v>45968</v>
      </c>
      <c r="B314" s="17">
        <v>47127819</v>
      </c>
      <c r="C314" s="17">
        <f t="shared" si="216"/>
        <v>4513015.0086206896</v>
      </c>
      <c r="D314" s="18">
        <f t="shared" si="260"/>
        <v>2.6790432549077793E-2</v>
      </c>
      <c r="E314" s="17"/>
      <c r="F314" s="19">
        <v>46333</v>
      </c>
      <c r="G314" s="17">
        <f t="shared" si="217"/>
        <v>5936196.4154814631</v>
      </c>
      <c r="H314" s="17">
        <v>4962288.8243266204</v>
      </c>
      <c r="I314" s="17">
        <v>973907.59115484299</v>
      </c>
      <c r="J314" s="17">
        <v>3647018</v>
      </c>
      <c r="K314" s="17"/>
      <c r="L314" s="17">
        <v>44673.275862069</v>
      </c>
      <c r="M314" s="17"/>
      <c r="N314" s="17">
        <v>12603</v>
      </c>
      <c r="O314" s="17"/>
      <c r="P314" s="17">
        <v>6822</v>
      </c>
      <c r="Q314" s="17"/>
      <c r="R314" s="17">
        <v>111646</v>
      </c>
      <c r="S314" s="17"/>
      <c r="T314" s="17">
        <v>548934</v>
      </c>
      <c r="U314" s="17"/>
      <c r="V314" s="17">
        <v>88083</v>
      </c>
      <c r="W314" s="17"/>
      <c r="X314" s="17">
        <v>26380</v>
      </c>
      <c r="Y314" s="17"/>
      <c r="Z314" s="17">
        <v>13005</v>
      </c>
      <c r="AA314" s="17"/>
      <c r="AB314" s="17">
        <v>13850.732758620699</v>
      </c>
      <c r="AC314" s="17"/>
      <c r="AD314" s="17">
        <v>0</v>
      </c>
      <c r="AE314" s="17"/>
      <c r="AF314" s="17">
        <f t="shared" si="218"/>
        <v>0</v>
      </c>
      <c r="AG314" s="18">
        <f t="shared" si="219"/>
        <v>0</v>
      </c>
      <c r="AH314" s="17">
        <f t="shared" si="220"/>
        <v>-5936196.4154814631</v>
      </c>
      <c r="AI314" s="20">
        <f t="shared" si="221"/>
        <v>-1</v>
      </c>
      <c r="AJ314" s="20">
        <f t="shared" si="222"/>
        <v>6.4292534381886979E-2</v>
      </c>
      <c r="AK314" s="21" t="e">
        <f t="shared" si="261"/>
        <v>#DIV/0!</v>
      </c>
      <c r="AL314" s="21">
        <f t="shared" si="223"/>
        <v>-1</v>
      </c>
      <c r="AM314" s="31"/>
      <c r="AO314" s="57">
        <f t="shared" si="224"/>
        <v>46333</v>
      </c>
      <c r="AP314" s="6">
        <f>+Tabla22[[#This Row],[Web + APP 2025]]+Tabla22[[#This Row],[Afiliados 2025]]+Tabla22[[#This Row],[TMK 2025]]+Tabla22[[#This Row],[WA 2025]]+Tabla22[[#This Row],[Ent. en Tienda 2025]]</f>
        <v>3822762.2758620689</v>
      </c>
      <c r="AQ314" s="6">
        <f>+Tabla22[[#This Row],[Meli Drop 2025]]+Tabla22[[#This Row],[Meli Full 2025]]+Tabla22[[#This Row],[Amazon Drop 2025]]+Tabla22[[#This Row],[Amazon Full 2025]]+Tabla22[[#This Row],[TikTok 2025]]+Tabla22[[#This Row],[Shein 2025]]</f>
        <v>690252.73275862075</v>
      </c>
      <c r="AR314" s="58">
        <f t="shared" si="225"/>
        <v>0</v>
      </c>
      <c r="AS314" s="58">
        <f t="shared" si="226"/>
        <v>0</v>
      </c>
      <c r="AT314" s="59">
        <f t="shared" si="227"/>
        <v>-1</v>
      </c>
      <c r="AU314" s="59">
        <f t="shared" si="228"/>
        <v>-1</v>
      </c>
      <c r="AV314" s="58">
        <f t="shared" si="229"/>
        <v>4962288.8243266204</v>
      </c>
      <c r="AW314" s="58">
        <f t="shared" si="230"/>
        <v>973907.59115484299</v>
      </c>
      <c r="AX314" s="59">
        <f t="shared" si="231"/>
        <v>0</v>
      </c>
      <c r="AY314" s="59">
        <f t="shared" si="232"/>
        <v>0</v>
      </c>
      <c r="AZ314" s="59">
        <f t="shared" si="233"/>
        <v>0</v>
      </c>
      <c r="BA314" s="27">
        <v>1.7804526346523599E-2</v>
      </c>
      <c r="BB314" s="27">
        <v>2.94766449506551E-2</v>
      </c>
      <c r="BC314" s="27"/>
      <c r="BD314" s="27"/>
    </row>
    <row r="315" spans="1:56" ht="14.25" hidden="1" customHeight="1" x14ac:dyDescent="0.35">
      <c r="A315" s="19">
        <v>45969</v>
      </c>
      <c r="B315" s="17">
        <v>65744526</v>
      </c>
      <c r="C315" s="17">
        <f t="shared" si="216"/>
        <v>4226882.1982758623</v>
      </c>
      <c r="D315" s="18">
        <f t="shared" si="260"/>
        <v>2.509187366084489E-2</v>
      </c>
      <c r="E315" s="17"/>
      <c r="F315" s="19">
        <v>46334</v>
      </c>
      <c r="G315" s="17">
        <f t="shared" si="217"/>
        <v>5583045.0453190198</v>
      </c>
      <c r="H315" s="17">
        <v>4380659.2656452497</v>
      </c>
      <c r="I315" s="17">
        <v>1202385.7796737701</v>
      </c>
      <c r="J315" s="17">
        <v>3186164</v>
      </c>
      <c r="K315" s="17"/>
      <c r="L315" s="17">
        <v>55446.551724137898</v>
      </c>
      <c r="M315" s="17"/>
      <c r="N315" s="17">
        <v>74700</v>
      </c>
      <c r="O315" s="17"/>
      <c r="P315" s="17">
        <v>1403</v>
      </c>
      <c r="Q315" s="17"/>
      <c r="R315" s="17">
        <v>56983</v>
      </c>
      <c r="S315" s="17"/>
      <c r="T315" s="17">
        <v>714555</v>
      </c>
      <c r="U315" s="17"/>
      <c r="V315" s="17">
        <v>94071</v>
      </c>
      <c r="W315" s="17"/>
      <c r="X315" s="17">
        <v>34042</v>
      </c>
      <c r="Y315" s="17"/>
      <c r="Z315" s="17">
        <v>8377</v>
      </c>
      <c r="AA315" s="17"/>
      <c r="AB315" s="17">
        <v>1140.64655172414</v>
      </c>
      <c r="AC315" s="17"/>
      <c r="AD315" s="17">
        <v>0</v>
      </c>
      <c r="AE315" s="17"/>
      <c r="AF315" s="17">
        <f t="shared" si="218"/>
        <v>0</v>
      </c>
      <c r="AG315" s="18">
        <f t="shared" si="219"/>
        <v>0</v>
      </c>
      <c r="AH315" s="17">
        <f t="shared" si="220"/>
        <v>-5583045.0453190198</v>
      </c>
      <c r="AI315" s="20">
        <f t="shared" si="221"/>
        <v>-1</v>
      </c>
      <c r="AJ315" s="20">
        <f t="shared" si="222"/>
        <v>6.0114361707572443E-2</v>
      </c>
      <c r="AK315" s="21" t="e">
        <f t="shared" si="261"/>
        <v>#DIV/0!</v>
      </c>
      <c r="AL315" s="21">
        <f t="shared" si="223"/>
        <v>-1</v>
      </c>
      <c r="AM315" s="31"/>
      <c r="AO315" s="57">
        <f t="shared" si="224"/>
        <v>46334</v>
      </c>
      <c r="AP315" s="6">
        <f>+Tabla22[[#This Row],[Web + APP 2025]]+Tabla22[[#This Row],[Afiliados 2025]]+Tabla22[[#This Row],[TMK 2025]]+Tabla22[[#This Row],[WA 2025]]+Tabla22[[#This Row],[Ent. en Tienda 2025]]</f>
        <v>3374696.5517241377</v>
      </c>
      <c r="AQ315" s="6">
        <f>+Tabla22[[#This Row],[Meli Drop 2025]]+Tabla22[[#This Row],[Meli Full 2025]]+Tabla22[[#This Row],[Amazon Drop 2025]]+Tabla22[[#This Row],[Amazon Full 2025]]+Tabla22[[#This Row],[TikTok 2025]]+Tabla22[[#This Row],[Shein 2025]]</f>
        <v>852185.64655172417</v>
      </c>
      <c r="AR315" s="58">
        <f t="shared" si="225"/>
        <v>0</v>
      </c>
      <c r="AS315" s="58">
        <f t="shared" si="226"/>
        <v>0</v>
      </c>
      <c r="AT315" s="59">
        <f t="shared" si="227"/>
        <v>-1</v>
      </c>
      <c r="AU315" s="59">
        <f t="shared" si="228"/>
        <v>-1</v>
      </c>
      <c r="AV315" s="58">
        <f t="shared" si="229"/>
        <v>4380659.2656452497</v>
      </c>
      <c r="AW315" s="58">
        <f t="shared" si="230"/>
        <v>1202385.7796737701</v>
      </c>
      <c r="AX315" s="59">
        <f t="shared" si="231"/>
        <v>0</v>
      </c>
      <c r="AY315" s="59">
        <f t="shared" si="232"/>
        <v>0</v>
      </c>
      <c r="AZ315" s="59">
        <f t="shared" si="233"/>
        <v>0</v>
      </c>
      <c r="BA315" s="27">
        <v>2.198145849495E-2</v>
      </c>
      <c r="BB315" s="27">
        <v>2.6021689263672598E-2</v>
      </c>
      <c r="BC315" s="27"/>
      <c r="BD315" s="27"/>
    </row>
    <row r="316" spans="1:56" ht="14.25" hidden="1" customHeight="1" x14ac:dyDescent="0.35">
      <c r="A316" s="16">
        <v>45970</v>
      </c>
      <c r="B316" s="17">
        <v>67492039</v>
      </c>
      <c r="C316" s="17">
        <f t="shared" si="216"/>
        <v>4057240.8448275859</v>
      </c>
      <c r="D316" s="18">
        <f t="shared" si="260"/>
        <v>2.4084838402063567E-2</v>
      </c>
      <c r="E316" s="17"/>
      <c r="F316" s="19">
        <v>46335</v>
      </c>
      <c r="G316" s="17">
        <f t="shared" si="217"/>
        <v>5365303.1581960004</v>
      </c>
      <c r="H316" s="17">
        <v>4132063.5598633499</v>
      </c>
      <c r="I316" s="17">
        <v>1233239.59833265</v>
      </c>
      <c r="J316" s="17">
        <v>2924037</v>
      </c>
      <c r="K316" s="17"/>
      <c r="L316" s="17">
        <v>54995.689655172398</v>
      </c>
      <c r="M316" s="17"/>
      <c r="N316" s="17">
        <v>1732</v>
      </c>
      <c r="O316" s="17"/>
      <c r="P316" s="17">
        <v>3073</v>
      </c>
      <c r="Q316" s="17"/>
      <c r="R316" s="17">
        <v>199350</v>
      </c>
      <c r="S316" s="17"/>
      <c r="T316" s="17">
        <v>711297</v>
      </c>
      <c r="U316" s="17"/>
      <c r="V316" s="17">
        <v>107725</v>
      </c>
      <c r="W316" s="17"/>
      <c r="X316" s="17">
        <v>34480</v>
      </c>
      <c r="Y316" s="17"/>
      <c r="Z316" s="17">
        <v>17056</v>
      </c>
      <c r="AA316" s="17"/>
      <c r="AB316" s="17">
        <v>1686.53448275862</v>
      </c>
      <c r="AC316" s="17"/>
      <c r="AD316" s="17">
        <v>1808.6206896551701</v>
      </c>
      <c r="AE316" s="17"/>
      <c r="AF316" s="17">
        <f t="shared" si="218"/>
        <v>0</v>
      </c>
      <c r="AG316" s="18">
        <f t="shared" si="219"/>
        <v>0</v>
      </c>
      <c r="AH316" s="17">
        <f t="shared" si="220"/>
        <v>-5365303.1581960004</v>
      </c>
      <c r="AI316" s="20">
        <f t="shared" si="221"/>
        <v>-1</v>
      </c>
      <c r="AJ316" s="20">
        <f t="shared" si="222"/>
        <v>0.17611712843177682</v>
      </c>
      <c r="AK316" s="21" t="e">
        <f t="shared" si="261"/>
        <v>#DIV/0!</v>
      </c>
      <c r="AL316" s="21">
        <f t="shared" si="223"/>
        <v>-1</v>
      </c>
      <c r="AM316" s="31"/>
      <c r="AO316" s="57">
        <f t="shared" si="224"/>
        <v>46335</v>
      </c>
      <c r="AP316" s="6">
        <f>+Tabla22[[#This Row],[Web + APP 2025]]+Tabla22[[#This Row],[Afiliados 2025]]+Tabla22[[#This Row],[TMK 2025]]+Tabla22[[#This Row],[WA 2025]]+Tabla22[[#This Row],[Ent. en Tienda 2025]]</f>
        <v>3183187.6896551722</v>
      </c>
      <c r="AQ316" s="6">
        <f>+Tabla22[[#This Row],[Meli Drop 2025]]+Tabla22[[#This Row],[Meli Full 2025]]+Tabla22[[#This Row],[Amazon Drop 2025]]+Tabla22[[#This Row],[Amazon Full 2025]]+Tabla22[[#This Row],[TikTok 2025]]+Tabla22[[#This Row],[Shein 2025]]</f>
        <v>874053.1551724138</v>
      </c>
      <c r="AR316" s="58">
        <f t="shared" si="225"/>
        <v>0</v>
      </c>
      <c r="AS316" s="58">
        <f t="shared" si="226"/>
        <v>0</v>
      </c>
      <c r="AT316" s="59">
        <f t="shared" si="227"/>
        <v>-1</v>
      </c>
      <c r="AU316" s="59">
        <f t="shared" si="228"/>
        <v>-1</v>
      </c>
      <c r="AV316" s="58">
        <f t="shared" si="229"/>
        <v>4132063.5598633499</v>
      </c>
      <c r="AW316" s="58">
        <f t="shared" si="230"/>
        <v>1233239.59833265</v>
      </c>
      <c r="AX316" s="59">
        <f t="shared" si="231"/>
        <v>0</v>
      </c>
      <c r="AY316" s="59">
        <f t="shared" si="232"/>
        <v>0</v>
      </c>
      <c r="AZ316" s="59">
        <f t="shared" si="233"/>
        <v>0</v>
      </c>
      <c r="BA316" s="27">
        <v>2.2545513680669999E-2</v>
      </c>
      <c r="BB316" s="27">
        <v>2.4544998241645102E-2</v>
      </c>
      <c r="BC316" s="27"/>
      <c r="BD316" s="27"/>
    </row>
    <row r="317" spans="1:56" ht="14.25" hidden="1" customHeight="1" x14ac:dyDescent="0.35">
      <c r="A317" s="19">
        <v>45971</v>
      </c>
      <c r="B317" s="17">
        <v>40411989</v>
      </c>
      <c r="C317" s="17">
        <f t="shared" si="216"/>
        <v>7117243.4568965519</v>
      </c>
      <c r="D317" s="18">
        <f t="shared" si="260"/>
        <v>4.2249810914240217E-2</v>
      </c>
      <c r="E317" s="17"/>
      <c r="F317" s="19">
        <v>46336</v>
      </c>
      <c r="G317" s="17">
        <f t="shared" si="217"/>
        <v>9370083.8270121608</v>
      </c>
      <c r="H317" s="17">
        <v>7728985.2910984801</v>
      </c>
      <c r="I317" s="17">
        <v>1641098.53591368</v>
      </c>
      <c r="J317" s="17">
        <v>5697624</v>
      </c>
      <c r="K317" s="17"/>
      <c r="L317" s="17">
        <v>67562.068965517203</v>
      </c>
      <c r="M317" s="17"/>
      <c r="N317" s="17">
        <v>81533</v>
      </c>
      <c r="O317" s="17"/>
      <c r="P317" s="17">
        <v>4644</v>
      </c>
      <c r="Q317" s="17"/>
      <c r="R317" s="17">
        <v>102759</v>
      </c>
      <c r="S317" s="17"/>
      <c r="T317" s="17">
        <v>901540</v>
      </c>
      <c r="U317" s="17"/>
      <c r="V317" s="17">
        <v>162599</v>
      </c>
      <c r="W317" s="17"/>
      <c r="X317" s="17">
        <v>39109</v>
      </c>
      <c r="Y317" s="17"/>
      <c r="Z317" s="17">
        <v>22528</v>
      </c>
      <c r="AA317" s="17"/>
      <c r="AB317" s="17">
        <v>35709.181034482797</v>
      </c>
      <c r="AC317" s="17"/>
      <c r="AD317" s="17">
        <v>1636.2068965517201</v>
      </c>
      <c r="AE317" s="17"/>
      <c r="AF317" s="17">
        <f t="shared" si="218"/>
        <v>0</v>
      </c>
      <c r="AG317" s="18">
        <f t="shared" si="219"/>
        <v>0</v>
      </c>
      <c r="AH317" s="17">
        <f t="shared" si="220"/>
        <v>-9370083.8270121608</v>
      </c>
      <c r="AI317" s="20">
        <f t="shared" si="221"/>
        <v>-1</v>
      </c>
      <c r="AJ317" s="20">
        <f t="shared" si="222"/>
        <v>0.15945379925058437</v>
      </c>
      <c r="AK317" s="21" t="e">
        <f t="shared" si="261"/>
        <v>#DIV/0!</v>
      </c>
      <c r="AL317" s="21">
        <f t="shared" si="223"/>
        <v>-1</v>
      </c>
      <c r="AM317" s="31"/>
      <c r="AO317" s="57">
        <f t="shared" si="224"/>
        <v>46336</v>
      </c>
      <c r="AP317" s="6">
        <f>+Tabla22[[#This Row],[Web + APP 2025]]+Tabla22[[#This Row],[Afiliados 2025]]+Tabla22[[#This Row],[TMK 2025]]+Tabla22[[#This Row],[WA 2025]]+Tabla22[[#This Row],[Ent. en Tienda 2025]]</f>
        <v>5954122.068965517</v>
      </c>
      <c r="AQ317" s="6">
        <f>+Tabla22[[#This Row],[Meli Drop 2025]]+Tabla22[[#This Row],[Meli Full 2025]]+Tabla22[[#This Row],[Amazon Drop 2025]]+Tabla22[[#This Row],[Amazon Full 2025]]+Tabla22[[#This Row],[TikTok 2025]]+Tabla22[[#This Row],[Shein 2025]]</f>
        <v>1163121.3879310344</v>
      </c>
      <c r="AR317" s="58">
        <f t="shared" si="225"/>
        <v>0</v>
      </c>
      <c r="AS317" s="58">
        <f t="shared" si="226"/>
        <v>0</v>
      </c>
      <c r="AT317" s="59">
        <f t="shared" si="227"/>
        <v>-1</v>
      </c>
      <c r="AU317" s="59">
        <f t="shared" si="228"/>
        <v>-1</v>
      </c>
      <c r="AV317" s="58">
        <f t="shared" si="229"/>
        <v>7728985.2910984801</v>
      </c>
      <c r="AW317" s="58">
        <f t="shared" si="230"/>
        <v>1641098.53591368</v>
      </c>
      <c r="AX317" s="59">
        <f t="shared" si="231"/>
        <v>0</v>
      </c>
      <c r="AY317" s="59">
        <f t="shared" si="232"/>
        <v>0</v>
      </c>
      <c r="AZ317" s="59">
        <f t="shared" si="233"/>
        <v>0</v>
      </c>
      <c r="BA317" s="27">
        <v>3.0001801387818699E-2</v>
      </c>
      <c r="BB317" s="27">
        <v>4.5911183995917697E-2</v>
      </c>
      <c r="BC317" s="27"/>
      <c r="BD317" s="27"/>
    </row>
    <row r="318" spans="1:56" ht="14.25" hidden="1" customHeight="1" x14ac:dyDescent="0.35">
      <c r="A318" s="16">
        <v>45972</v>
      </c>
      <c r="B318" s="17">
        <v>45078912</v>
      </c>
      <c r="C318" s="17">
        <f t="shared" si="216"/>
        <v>7188003.7844827585</v>
      </c>
      <c r="D318" s="18">
        <f t="shared" si="260"/>
        <v>4.2669862648995763E-2</v>
      </c>
      <c r="E318" s="17"/>
      <c r="F318" s="19">
        <v>46337</v>
      </c>
      <c r="G318" s="17">
        <f t="shared" si="217"/>
        <v>9495929.8588947915</v>
      </c>
      <c r="H318" s="17">
        <v>7429839.5055282405</v>
      </c>
      <c r="I318" s="17">
        <v>2066090.3533665501</v>
      </c>
      <c r="J318" s="17">
        <v>5483822</v>
      </c>
      <c r="K318" s="17"/>
      <c r="L318" s="17">
        <v>68879.310344827594</v>
      </c>
      <c r="M318" s="17"/>
      <c r="N318" s="17">
        <v>48671</v>
      </c>
      <c r="O318" s="17"/>
      <c r="P318" s="17">
        <v>3768</v>
      </c>
      <c r="Q318" s="17"/>
      <c r="R318" s="17">
        <v>118531</v>
      </c>
      <c r="S318" s="17"/>
      <c r="T318" s="17">
        <v>1226151</v>
      </c>
      <c r="U318" s="17"/>
      <c r="V318" s="17">
        <v>160872</v>
      </c>
      <c r="W318" s="17"/>
      <c r="X318" s="17">
        <v>41738</v>
      </c>
      <c r="Y318" s="17"/>
      <c r="Z318" s="17">
        <v>20120</v>
      </c>
      <c r="AA318" s="17"/>
      <c r="AB318" s="17">
        <v>13470.4396551724</v>
      </c>
      <c r="AC318" s="17"/>
      <c r="AD318" s="17">
        <v>1981.03448275862</v>
      </c>
      <c r="AE318" s="17"/>
      <c r="AF318" s="17">
        <f t="shared" si="218"/>
        <v>0</v>
      </c>
      <c r="AG318" s="18">
        <f t="shared" si="219"/>
        <v>0</v>
      </c>
      <c r="AH318" s="17">
        <f t="shared" si="220"/>
        <v>-9495929.8588947915</v>
      </c>
      <c r="AI318" s="20">
        <f t="shared" si="221"/>
        <v>-1</v>
      </c>
      <c r="AJ318" s="20">
        <f t="shared" si="222"/>
        <v>0.12992657618915429</v>
      </c>
      <c r="AK318" s="21" t="e">
        <f t="shared" si="261"/>
        <v>#DIV/0!</v>
      </c>
      <c r="AL318" s="21">
        <f t="shared" si="223"/>
        <v>-1</v>
      </c>
      <c r="AM318" s="31"/>
      <c r="AO318" s="60">
        <f t="shared" si="224"/>
        <v>46337</v>
      </c>
      <c r="AP318" s="6">
        <f>+Tabla22[[#This Row],[Web + APP 2025]]+Tabla22[[#This Row],[Afiliados 2025]]+Tabla22[[#This Row],[TMK 2025]]+Tabla22[[#This Row],[WA 2025]]+Tabla22[[#This Row],[Ent. en Tienda 2025]]</f>
        <v>5723671.3103448274</v>
      </c>
      <c r="AQ318" s="6">
        <f>+Tabla22[[#This Row],[Meli Drop 2025]]+Tabla22[[#This Row],[Meli Full 2025]]+Tabla22[[#This Row],[Amazon Drop 2025]]+Tabla22[[#This Row],[Amazon Full 2025]]+Tabla22[[#This Row],[TikTok 2025]]+Tabla22[[#This Row],[Shein 2025]]</f>
        <v>1464332.4741379311</v>
      </c>
      <c r="AR318" s="58">
        <f t="shared" si="225"/>
        <v>0</v>
      </c>
      <c r="AS318" s="58">
        <f t="shared" si="226"/>
        <v>0</v>
      </c>
      <c r="AT318" s="59">
        <f t="shared" si="227"/>
        <v>-1</v>
      </c>
      <c r="AU318" s="59">
        <f t="shared" si="228"/>
        <v>-1</v>
      </c>
      <c r="AV318" s="58">
        <f t="shared" si="229"/>
        <v>7429839.5055282405</v>
      </c>
      <c r="AW318" s="58">
        <f t="shared" si="230"/>
        <v>2066090.3533665501</v>
      </c>
      <c r="AX318" s="59">
        <f t="shared" si="231"/>
        <v>0</v>
      </c>
      <c r="AY318" s="59">
        <f t="shared" si="232"/>
        <v>0</v>
      </c>
      <c r="AZ318" s="59">
        <f t="shared" si="233"/>
        <v>0</v>
      </c>
      <c r="BA318" s="27">
        <v>3.7771304449114203E-2</v>
      </c>
      <c r="BB318" s="27">
        <v>4.4134218885279401E-2</v>
      </c>
      <c r="BC318" s="27"/>
      <c r="BD318" s="27"/>
    </row>
    <row r="319" spans="1:56" ht="14.25" hidden="1" customHeight="1" x14ac:dyDescent="0.35">
      <c r="A319" s="19">
        <v>45973</v>
      </c>
      <c r="B319" s="17">
        <v>48292081</v>
      </c>
      <c r="C319" s="17">
        <f t="shared" si="216"/>
        <v>6274424.7413793104</v>
      </c>
      <c r="D319" s="18">
        <f t="shared" si="260"/>
        <v>3.7246619498737706E-2</v>
      </c>
      <c r="E319" s="17"/>
      <c r="F319" s="19">
        <v>46338</v>
      </c>
      <c r="G319" s="17">
        <f t="shared" si="217"/>
        <v>8272997.5277931001</v>
      </c>
      <c r="H319" s="17">
        <v>6669805.0466117198</v>
      </c>
      <c r="I319" s="17">
        <v>1603192.4811813801</v>
      </c>
      <c r="J319" s="17">
        <v>4822707</v>
      </c>
      <c r="K319" s="17"/>
      <c r="L319" s="17">
        <v>67868.103448275797</v>
      </c>
      <c r="M319" s="17"/>
      <c r="N319" s="17">
        <v>98985</v>
      </c>
      <c r="O319" s="17"/>
      <c r="P319" s="17">
        <v>4095</v>
      </c>
      <c r="Q319" s="17"/>
      <c r="R319" s="17">
        <v>144514</v>
      </c>
      <c r="S319" s="17"/>
      <c r="T319" s="17">
        <v>868042</v>
      </c>
      <c r="U319" s="17"/>
      <c r="V319" s="17">
        <v>187197</v>
      </c>
      <c r="W319" s="17"/>
      <c r="X319" s="17">
        <v>46378</v>
      </c>
      <c r="Y319" s="17"/>
      <c r="Z319" s="17">
        <v>28094</v>
      </c>
      <c r="AA319" s="17"/>
      <c r="AB319" s="17">
        <v>6544.6379310344801</v>
      </c>
      <c r="AC319" s="17"/>
      <c r="AD319" s="17">
        <v>0</v>
      </c>
      <c r="AE319" s="17"/>
      <c r="AF319" s="17">
        <f t="shared" si="218"/>
        <v>0</v>
      </c>
      <c r="AG319" s="18">
        <f t="shared" si="219"/>
        <v>0</v>
      </c>
      <c r="AH319" s="17">
        <f t="shared" si="220"/>
        <v>-8272997.5277931001</v>
      </c>
      <c r="AI319" s="20">
        <f t="shared" si="221"/>
        <v>-1</v>
      </c>
      <c r="AJ319" s="20">
        <f t="shared" si="222"/>
        <v>0.11452765452777235</v>
      </c>
      <c r="AK319" s="21" t="e">
        <f t="shared" si="261"/>
        <v>#DIV/0!</v>
      </c>
      <c r="AL319" s="21">
        <f t="shared" si="223"/>
        <v>-1</v>
      </c>
      <c r="AM319" s="31"/>
      <c r="AO319" s="57">
        <f t="shared" si="224"/>
        <v>46338</v>
      </c>
      <c r="AP319" s="6">
        <f>+Tabla22[[#This Row],[Web + APP 2025]]+Tabla22[[#This Row],[Afiliados 2025]]+Tabla22[[#This Row],[TMK 2025]]+Tabla22[[#This Row],[WA 2025]]+Tabla22[[#This Row],[Ent. en Tienda 2025]]</f>
        <v>5138169.1034482755</v>
      </c>
      <c r="AQ319" s="6">
        <f>+Tabla22[[#This Row],[Meli Drop 2025]]+Tabla22[[#This Row],[Meli Full 2025]]+Tabla22[[#This Row],[Amazon Drop 2025]]+Tabla22[[#This Row],[Amazon Full 2025]]+Tabla22[[#This Row],[TikTok 2025]]+Tabla22[[#This Row],[Shein 2025]]</f>
        <v>1136255.6379310344</v>
      </c>
      <c r="AR319" s="58">
        <f t="shared" si="225"/>
        <v>0</v>
      </c>
      <c r="AS319" s="58">
        <f t="shared" si="226"/>
        <v>0</v>
      </c>
      <c r="AT319" s="59">
        <f t="shared" si="227"/>
        <v>-1</v>
      </c>
      <c r="AU319" s="59">
        <f t="shared" si="228"/>
        <v>-1</v>
      </c>
      <c r="AV319" s="58">
        <f t="shared" si="229"/>
        <v>6669805.0466117198</v>
      </c>
      <c r="AW319" s="58">
        <f t="shared" si="230"/>
        <v>1603192.4811813801</v>
      </c>
      <c r="AX319" s="59">
        <f t="shared" si="231"/>
        <v>0</v>
      </c>
      <c r="AY319" s="59">
        <f t="shared" si="232"/>
        <v>0</v>
      </c>
      <c r="AZ319" s="59">
        <f t="shared" si="233"/>
        <v>0</v>
      </c>
      <c r="BA319" s="27">
        <v>2.9308820496917399E-2</v>
      </c>
      <c r="BB319" s="27">
        <v>3.9619514745947902E-2</v>
      </c>
      <c r="BC319" s="27"/>
      <c r="BD319" s="27"/>
    </row>
    <row r="320" spans="1:56" ht="14.25" hidden="1" customHeight="1" x14ac:dyDescent="0.35">
      <c r="A320" s="16">
        <v>45974</v>
      </c>
      <c r="B320" s="17">
        <v>65809693</v>
      </c>
      <c r="C320" s="17">
        <f t="shared" si="216"/>
        <v>7537029.7844827585</v>
      </c>
      <c r="D320" s="18">
        <f t="shared" si="260"/>
        <v>4.4741771892154301E-2</v>
      </c>
      <c r="E320" s="17"/>
      <c r="F320" s="19">
        <v>46339</v>
      </c>
      <c r="G320" s="17">
        <f t="shared" si="217"/>
        <v>9958097.8704865705</v>
      </c>
      <c r="H320" s="17">
        <v>7778224.1211139001</v>
      </c>
      <c r="I320" s="17">
        <v>2179873.74937267</v>
      </c>
      <c r="J320" s="17">
        <v>5687818</v>
      </c>
      <c r="K320" s="17"/>
      <c r="L320" s="17">
        <v>65544.827586206899</v>
      </c>
      <c r="M320" s="17"/>
      <c r="N320" s="17">
        <v>82830</v>
      </c>
      <c r="O320" s="17"/>
      <c r="P320" s="17">
        <v>4235</v>
      </c>
      <c r="Q320" s="17"/>
      <c r="R320" s="17">
        <v>151626</v>
      </c>
      <c r="S320" s="17"/>
      <c r="T320" s="17">
        <v>1184601</v>
      </c>
      <c r="U320" s="17"/>
      <c r="V320" s="17">
        <v>265899</v>
      </c>
      <c r="W320" s="17"/>
      <c r="X320" s="17">
        <v>62519</v>
      </c>
      <c r="Y320" s="17"/>
      <c r="Z320" s="17">
        <v>25374</v>
      </c>
      <c r="AA320" s="17"/>
      <c r="AB320" s="17">
        <v>2707.9568965517301</v>
      </c>
      <c r="AC320" s="17"/>
      <c r="AD320" s="17">
        <v>3875</v>
      </c>
      <c r="AE320" s="17"/>
      <c r="AF320" s="17">
        <f t="shared" si="218"/>
        <v>0</v>
      </c>
      <c r="AG320" s="18">
        <f t="shared" si="219"/>
        <v>0</v>
      </c>
      <c r="AH320" s="17">
        <f t="shared" si="220"/>
        <v>-9958097.8704865705</v>
      </c>
      <c r="AI320" s="20">
        <f t="shared" si="221"/>
        <v>-1</v>
      </c>
      <c r="AJ320" s="20">
        <f t="shared" si="222"/>
        <v>0.10664807746096908</v>
      </c>
      <c r="AK320" s="21" t="e">
        <f t="shared" si="261"/>
        <v>#DIV/0!</v>
      </c>
      <c r="AL320" s="21">
        <f t="shared" si="223"/>
        <v>-1</v>
      </c>
      <c r="AM320" s="31"/>
      <c r="AO320" s="57">
        <f t="shared" si="224"/>
        <v>46339</v>
      </c>
      <c r="AP320" s="6">
        <f>+Tabla22[[#This Row],[Web + APP 2025]]+Tabla22[[#This Row],[Afiliados 2025]]+Tabla22[[#This Row],[TMK 2025]]+Tabla22[[#This Row],[WA 2025]]+Tabla22[[#This Row],[Ent. en Tienda 2025]]</f>
        <v>5992053.8275862066</v>
      </c>
      <c r="AQ320" s="6">
        <f>+Tabla22[[#This Row],[Meli Drop 2025]]+Tabla22[[#This Row],[Meli Full 2025]]+Tabla22[[#This Row],[Amazon Drop 2025]]+Tabla22[[#This Row],[Amazon Full 2025]]+Tabla22[[#This Row],[TikTok 2025]]+Tabla22[[#This Row],[Shein 2025]]</f>
        <v>1544975.9568965517</v>
      </c>
      <c r="AR320" s="58">
        <f t="shared" si="225"/>
        <v>0</v>
      </c>
      <c r="AS320" s="58">
        <f t="shared" si="226"/>
        <v>0</v>
      </c>
      <c r="AT320" s="59">
        <f t="shared" si="227"/>
        <v>-1</v>
      </c>
      <c r="AU320" s="59">
        <f t="shared" si="228"/>
        <v>-1</v>
      </c>
      <c r="AV320" s="58">
        <f t="shared" si="229"/>
        <v>7778224.1211139001</v>
      </c>
      <c r="AW320" s="58">
        <f t="shared" si="230"/>
        <v>2179873.74937267</v>
      </c>
      <c r="AX320" s="59">
        <f t="shared" si="231"/>
        <v>0</v>
      </c>
      <c r="AY320" s="59">
        <f t="shared" si="232"/>
        <v>0</v>
      </c>
      <c r="AZ320" s="59">
        <f t="shared" si="233"/>
        <v>0</v>
      </c>
      <c r="BA320" s="27">
        <v>3.9851439659463903E-2</v>
      </c>
      <c r="BB320" s="27">
        <v>4.62036690892954E-2</v>
      </c>
      <c r="BC320" s="27"/>
      <c r="BD320" s="27"/>
    </row>
    <row r="321" spans="1:56" ht="14.25" hidden="1" customHeight="1" x14ac:dyDescent="0.35">
      <c r="A321" s="19">
        <v>45975</v>
      </c>
      <c r="B321" s="17">
        <v>75117979</v>
      </c>
      <c r="C321" s="17">
        <f t="shared" si="216"/>
        <v>8011188.0431034481</v>
      </c>
      <c r="D321" s="18">
        <f t="shared" si="260"/>
        <v>4.7556498814378331E-2</v>
      </c>
      <c r="E321" s="17"/>
      <c r="F321" s="19">
        <v>46340</v>
      </c>
      <c r="G321" s="17">
        <f t="shared" si="217"/>
        <v>10598196.073287521</v>
      </c>
      <c r="H321" s="17">
        <v>8110785.4693160597</v>
      </c>
      <c r="I321" s="17">
        <v>2487410.6039714599</v>
      </c>
      <c r="J321" s="17">
        <v>5897136</v>
      </c>
      <c r="K321" s="17"/>
      <c r="L321" s="17">
        <v>73120.689655172406</v>
      </c>
      <c r="M321" s="17"/>
      <c r="N321" s="17">
        <v>58945</v>
      </c>
      <c r="O321" s="17"/>
      <c r="P321" s="17">
        <v>7484</v>
      </c>
      <c r="Q321" s="17"/>
      <c r="R321" s="17">
        <v>211561</v>
      </c>
      <c r="S321" s="17"/>
      <c r="T321" s="17">
        <v>1342849</v>
      </c>
      <c r="U321" s="17"/>
      <c r="V321" s="17">
        <v>347316</v>
      </c>
      <c r="W321" s="17"/>
      <c r="X321" s="17">
        <v>17568</v>
      </c>
      <c r="Y321" s="17"/>
      <c r="Z321" s="17">
        <v>34059</v>
      </c>
      <c r="AA321" s="17"/>
      <c r="AB321" s="17">
        <v>18479.525862069</v>
      </c>
      <c r="AC321" s="17"/>
      <c r="AD321" s="17">
        <v>2669.8275862068999</v>
      </c>
      <c r="AE321" s="17"/>
      <c r="AF321" s="17">
        <f t="shared" si="218"/>
        <v>0</v>
      </c>
      <c r="AG321" s="18">
        <f t="shared" si="219"/>
        <v>0</v>
      </c>
      <c r="AH321" s="17">
        <f t="shared" si="220"/>
        <v>-10598196.073287521</v>
      </c>
      <c r="AI321" s="20">
        <f t="shared" si="221"/>
        <v>-1</v>
      </c>
      <c r="AJ321" s="20">
        <f t="shared" si="222"/>
        <v>7.1044674116166731E-2</v>
      </c>
      <c r="AK321" s="21" t="e">
        <f t="shared" si="261"/>
        <v>#DIV/0!</v>
      </c>
      <c r="AL321" s="21">
        <f t="shared" si="223"/>
        <v>-1</v>
      </c>
      <c r="AM321" s="31"/>
      <c r="AO321" s="57">
        <f t="shared" si="224"/>
        <v>46340</v>
      </c>
      <c r="AP321" s="6">
        <f>+Tabla22[[#This Row],[Web + APP 2025]]+Tabla22[[#This Row],[Afiliados 2025]]+Tabla22[[#This Row],[TMK 2025]]+Tabla22[[#This Row],[WA 2025]]+Tabla22[[#This Row],[Ent. en Tienda 2025]]</f>
        <v>6248246.6896551726</v>
      </c>
      <c r="AQ321" s="6">
        <f>+Tabla22[[#This Row],[Meli Drop 2025]]+Tabla22[[#This Row],[Meli Full 2025]]+Tabla22[[#This Row],[Amazon Drop 2025]]+Tabla22[[#This Row],[Amazon Full 2025]]+Tabla22[[#This Row],[TikTok 2025]]+Tabla22[[#This Row],[Shein 2025]]</f>
        <v>1762941.3534482759</v>
      </c>
      <c r="AR321" s="58">
        <f t="shared" si="225"/>
        <v>0</v>
      </c>
      <c r="AS321" s="58">
        <f t="shared" si="226"/>
        <v>0</v>
      </c>
      <c r="AT321" s="59">
        <f t="shared" si="227"/>
        <v>-1</v>
      </c>
      <c r="AU321" s="59">
        <f t="shared" si="228"/>
        <v>-1</v>
      </c>
      <c r="AV321" s="58">
        <f t="shared" si="229"/>
        <v>8110785.4693160597</v>
      </c>
      <c r="AW321" s="58">
        <f t="shared" si="230"/>
        <v>2487410.6039714599</v>
      </c>
      <c r="AX321" s="59">
        <f t="shared" si="231"/>
        <v>0</v>
      </c>
      <c r="AY321" s="59">
        <f t="shared" si="232"/>
        <v>0</v>
      </c>
      <c r="AZ321" s="59">
        <f t="shared" si="233"/>
        <v>0</v>
      </c>
      <c r="BA321" s="27">
        <v>4.54736856301911E-2</v>
      </c>
      <c r="BB321" s="27">
        <v>4.8179127014519402E-2</v>
      </c>
      <c r="BC321" s="27"/>
      <c r="BD321" s="27"/>
    </row>
    <row r="322" spans="1:56" ht="14.25" hidden="1" customHeight="1" x14ac:dyDescent="0.35">
      <c r="A322" s="16">
        <v>45976</v>
      </c>
      <c r="B322" s="17">
        <v>87981274</v>
      </c>
      <c r="C322" s="17">
        <f t="shared" si="216"/>
        <v>6250600.9396551726</v>
      </c>
      <c r="D322" s="18">
        <f t="shared" si="260"/>
        <v>3.7105195206566299E-2</v>
      </c>
      <c r="E322" s="17"/>
      <c r="F322" s="19">
        <v>46341</v>
      </c>
      <c r="G322" s="17">
        <f t="shared" si="217"/>
        <v>8281975.1424713098</v>
      </c>
      <c r="H322" s="17">
        <v>6179898.0675442601</v>
      </c>
      <c r="I322" s="17">
        <v>2102077.0749270502</v>
      </c>
      <c r="J322" s="17">
        <v>4408030</v>
      </c>
      <c r="K322" s="17"/>
      <c r="L322" s="17">
        <v>69456.034482758594</v>
      </c>
      <c r="M322" s="17"/>
      <c r="N322" s="17">
        <v>25308</v>
      </c>
      <c r="O322" s="17"/>
      <c r="P322" s="17">
        <v>1153</v>
      </c>
      <c r="Q322" s="17"/>
      <c r="R322" s="17">
        <v>256816</v>
      </c>
      <c r="S322" s="17"/>
      <c r="T322" s="17">
        <v>1108972</v>
      </c>
      <c r="U322" s="17"/>
      <c r="V322" s="17">
        <v>362812</v>
      </c>
      <c r="W322" s="17"/>
      <c r="X322" s="17">
        <v>-2259</v>
      </c>
      <c r="Y322" s="17"/>
      <c r="Z322" s="17">
        <v>12703</v>
      </c>
      <c r="AA322" s="17"/>
      <c r="AB322" s="17">
        <v>3562.4913793103501</v>
      </c>
      <c r="AC322" s="17"/>
      <c r="AD322" s="17">
        <v>4047.4137931034502</v>
      </c>
      <c r="AE322" s="17"/>
      <c r="AF322" s="17">
        <f t="shared" si="218"/>
        <v>0</v>
      </c>
      <c r="AG322" s="18">
        <f t="shared" si="219"/>
        <v>0</v>
      </c>
      <c r="AH322" s="17">
        <f t="shared" si="220"/>
        <v>-8281975.1424713098</v>
      </c>
      <c r="AI322" s="20">
        <f t="shared" si="221"/>
        <v>-1</v>
      </c>
      <c r="AJ322" s="20">
        <f t="shared" si="222"/>
        <v>6.8283459955625625E-2</v>
      </c>
      <c r="AK322" s="21" t="e">
        <f t="shared" si="261"/>
        <v>#DIV/0!</v>
      </c>
      <c r="AL322" s="21">
        <f t="shared" si="223"/>
        <v>-1</v>
      </c>
      <c r="AM322" s="31"/>
      <c r="AO322" s="57">
        <f t="shared" si="224"/>
        <v>46341</v>
      </c>
      <c r="AP322" s="6">
        <f>+Tabla22[[#This Row],[Web + APP 2025]]+Tabla22[[#This Row],[Afiliados 2025]]+Tabla22[[#This Row],[TMK 2025]]+Tabla22[[#This Row],[WA 2025]]+Tabla22[[#This Row],[Ent. en Tienda 2025]]</f>
        <v>4760763.0344827585</v>
      </c>
      <c r="AQ322" s="6">
        <f>+Tabla22[[#This Row],[Meli Drop 2025]]+Tabla22[[#This Row],[Meli Full 2025]]+Tabla22[[#This Row],[Amazon Drop 2025]]+Tabla22[[#This Row],[Amazon Full 2025]]+Tabla22[[#This Row],[TikTok 2025]]+Tabla22[[#This Row],[Shein 2025]]</f>
        <v>1489837.9051724139</v>
      </c>
      <c r="AR322" s="58">
        <f t="shared" si="225"/>
        <v>0</v>
      </c>
      <c r="AS322" s="58">
        <f t="shared" si="226"/>
        <v>0</v>
      </c>
      <c r="AT322" s="59">
        <f t="shared" si="227"/>
        <v>-1</v>
      </c>
      <c r="AU322" s="59">
        <f t="shared" si="228"/>
        <v>-1</v>
      </c>
      <c r="AV322" s="58">
        <f t="shared" si="229"/>
        <v>6179898.0675442601</v>
      </c>
      <c r="AW322" s="58">
        <f t="shared" si="230"/>
        <v>2102077.0749270502</v>
      </c>
      <c r="AX322" s="59">
        <f t="shared" si="231"/>
        <v>0</v>
      </c>
      <c r="AY322" s="59">
        <f t="shared" si="232"/>
        <v>0</v>
      </c>
      <c r="AZ322" s="59">
        <f t="shared" si="233"/>
        <v>0</v>
      </c>
      <c r="BA322" s="27">
        <v>3.84291969822129E-2</v>
      </c>
      <c r="BB322" s="27">
        <v>3.6709403184116599E-2</v>
      </c>
      <c r="BC322" s="27"/>
      <c r="BD322" s="27"/>
    </row>
    <row r="323" spans="1:56" ht="14.25" hidden="1" customHeight="1" x14ac:dyDescent="0.35">
      <c r="A323" s="19">
        <v>45977</v>
      </c>
      <c r="B323" s="17">
        <v>90614671</v>
      </c>
      <c r="C323" s="17">
        <f t="shared" si="216"/>
        <v>6187483.2586206906</v>
      </c>
      <c r="D323" s="18">
        <f t="shared" si="260"/>
        <v>3.6730512212342151E-2</v>
      </c>
      <c r="E323" s="17"/>
      <c r="F323" s="19">
        <v>46342</v>
      </c>
      <c r="G323" s="17">
        <f t="shared" si="217"/>
        <v>8152312.3388383891</v>
      </c>
      <c r="H323" s="17">
        <v>6646980.4645995097</v>
      </c>
      <c r="I323" s="17">
        <v>1505331.8742388799</v>
      </c>
      <c r="J323" s="17">
        <v>4732740</v>
      </c>
      <c r="K323" s="17"/>
      <c r="L323" s="17">
        <v>78706.896551724101</v>
      </c>
      <c r="M323" s="17"/>
      <c r="N323" s="17">
        <v>23936</v>
      </c>
      <c r="O323" s="17"/>
      <c r="P323" s="17">
        <v>4170</v>
      </c>
      <c r="Q323" s="17"/>
      <c r="R323" s="17">
        <v>281033</v>
      </c>
      <c r="S323" s="17"/>
      <c r="T323" s="17">
        <v>434970</v>
      </c>
      <c r="U323" s="17"/>
      <c r="V323" s="17">
        <v>457126</v>
      </c>
      <c r="W323" s="17"/>
      <c r="X323" s="17">
        <v>158214</v>
      </c>
      <c r="Y323" s="17"/>
      <c r="Z323" s="17">
        <v>13795</v>
      </c>
      <c r="AA323" s="17"/>
      <c r="AB323" s="17">
        <v>1069.94827586207</v>
      </c>
      <c r="AC323" s="17"/>
      <c r="AD323" s="17">
        <v>1722.41379310345</v>
      </c>
      <c r="AE323" s="17"/>
      <c r="AF323" s="17">
        <f t="shared" si="218"/>
        <v>0</v>
      </c>
      <c r="AG323" s="18">
        <f t="shared" si="219"/>
        <v>0</v>
      </c>
      <c r="AH323" s="17">
        <f t="shared" si="220"/>
        <v>-8152312.3388383891</v>
      </c>
      <c r="AI323" s="20">
        <f t="shared" si="221"/>
        <v>-1</v>
      </c>
      <c r="AJ323" s="20">
        <f t="shared" si="222"/>
        <v>0.10441891513293554</v>
      </c>
      <c r="AK323" s="21" t="e">
        <f t="shared" si="261"/>
        <v>#DIV/0!</v>
      </c>
      <c r="AL323" s="21">
        <f t="shared" si="223"/>
        <v>-1</v>
      </c>
      <c r="AM323" s="31"/>
      <c r="AO323" s="60">
        <f t="shared" si="224"/>
        <v>46342</v>
      </c>
      <c r="AP323" s="6">
        <f>+Tabla22[[#This Row],[Web + APP 2025]]+Tabla22[[#This Row],[Afiliados 2025]]+Tabla22[[#This Row],[TMK 2025]]+Tabla22[[#This Row],[WA 2025]]+Tabla22[[#This Row],[Ent. en Tienda 2025]]</f>
        <v>5120585.8965517245</v>
      </c>
      <c r="AQ323" s="6">
        <f>+Tabla22[[#This Row],[Meli Drop 2025]]+Tabla22[[#This Row],[Meli Full 2025]]+Tabla22[[#This Row],[Amazon Drop 2025]]+Tabla22[[#This Row],[Amazon Full 2025]]+Tabla22[[#This Row],[TikTok 2025]]+Tabla22[[#This Row],[Shein 2025]]</f>
        <v>1066897.3620689656</v>
      </c>
      <c r="AR323" s="58">
        <f t="shared" si="225"/>
        <v>0</v>
      </c>
      <c r="AS323" s="58">
        <f t="shared" si="226"/>
        <v>0</v>
      </c>
      <c r="AT323" s="59">
        <f t="shared" si="227"/>
        <v>-1</v>
      </c>
      <c r="AU323" s="59">
        <f t="shared" si="228"/>
        <v>-1</v>
      </c>
      <c r="AV323" s="58">
        <f t="shared" si="229"/>
        <v>6646980.4645995097</v>
      </c>
      <c r="AW323" s="58">
        <f t="shared" si="230"/>
        <v>1505331.8742388799</v>
      </c>
      <c r="AX323" s="59">
        <f t="shared" si="231"/>
        <v>0</v>
      </c>
      <c r="AY323" s="59">
        <f t="shared" si="232"/>
        <v>0</v>
      </c>
      <c r="AZ323" s="59">
        <f t="shared" si="233"/>
        <v>0</v>
      </c>
      <c r="BA323" s="27">
        <v>2.7519778322465799E-2</v>
      </c>
      <c r="BB323" s="27">
        <v>3.9483933742113099E-2</v>
      </c>
      <c r="BC323" s="27"/>
      <c r="BD323" s="27"/>
    </row>
    <row r="324" spans="1:56" ht="14.25" hidden="1" customHeight="1" x14ac:dyDescent="0.35">
      <c r="A324" s="16">
        <v>45978</v>
      </c>
      <c r="B324" s="17">
        <v>92083785</v>
      </c>
      <c r="C324" s="17">
        <f t="shared" ref="C324:C368" si="262">+J324+L324+N324+P324+R324+T324+V324+X324+Z324+AB324+AD324</f>
        <v>9615288.931034483</v>
      </c>
      <c r="D324" s="18">
        <f t="shared" si="260"/>
        <v>5.7078859488549114E-2</v>
      </c>
      <c r="E324" s="17"/>
      <c r="F324" s="19">
        <v>46343</v>
      </c>
      <c r="G324" s="17">
        <f t="shared" ref="G324:G368" si="263">+H324+I324</f>
        <v>12714274.281289689</v>
      </c>
      <c r="H324" s="17">
        <v>9804142.3963300195</v>
      </c>
      <c r="I324" s="17">
        <v>2910131.8849596698</v>
      </c>
      <c r="J324" s="17">
        <v>7301102</v>
      </c>
      <c r="K324" s="17"/>
      <c r="L324" s="17">
        <v>73426.724137931</v>
      </c>
      <c r="M324" s="17"/>
      <c r="N324" s="17">
        <v>16174</v>
      </c>
      <c r="O324" s="17"/>
      <c r="P324" s="17">
        <v>2385</v>
      </c>
      <c r="Q324" s="17"/>
      <c r="R324" s="17">
        <v>159658</v>
      </c>
      <c r="S324" s="17"/>
      <c r="T324" s="17">
        <v>1473035</v>
      </c>
      <c r="U324" s="17"/>
      <c r="V324" s="17">
        <v>390070</v>
      </c>
      <c r="W324" s="17"/>
      <c r="X324" s="17">
        <v>88451</v>
      </c>
      <c r="Y324" s="17"/>
      <c r="Z324" s="17">
        <v>106398</v>
      </c>
      <c r="AA324" s="17"/>
      <c r="AB324" s="17">
        <v>886.62068965517301</v>
      </c>
      <c r="AC324" s="17"/>
      <c r="AD324" s="17">
        <v>3702.5862068965498</v>
      </c>
      <c r="AE324" s="17"/>
      <c r="AF324" s="17">
        <f t="shared" ref="AF324:AF368" si="264">+AE324+AC324+AA324+Y324+W324+U324+S324+Q324+O324+M324+K324</f>
        <v>0</v>
      </c>
      <c r="AG324" s="18">
        <f t="shared" ref="AG324:AG368" si="265">+AF324/G324</f>
        <v>0</v>
      </c>
      <c r="AH324" s="17">
        <f t="shared" ref="AH324:AH368" si="266">+AF324-G324</f>
        <v>-12714274.281289689</v>
      </c>
      <c r="AI324" s="20">
        <f t="shared" ref="AI324:AI368" si="267">+AF324/C325-1</f>
        <v>-1</v>
      </c>
      <c r="AJ324" s="20">
        <f t="shared" ref="AJ324:AJ368" si="268">+C325/B325</f>
        <v>0.16021420753121948</v>
      </c>
      <c r="AK324" s="21" t="e">
        <f t="shared" si="261"/>
        <v>#DIV/0!</v>
      </c>
      <c r="AL324" s="21">
        <f t="shared" ref="AL324:AL368" si="269">+E324/B325-1</f>
        <v>-1</v>
      </c>
      <c r="AM324" s="31"/>
      <c r="AO324" s="57">
        <f t="shared" ref="AO324:AO368" si="270">+F324</f>
        <v>46343</v>
      </c>
      <c r="AP324" s="6">
        <f>+Tabla22[[#This Row],[Web + APP 2025]]+Tabla22[[#This Row],[Afiliados 2025]]+Tabla22[[#This Row],[TMK 2025]]+Tabla22[[#This Row],[WA 2025]]+Tabla22[[#This Row],[Ent. en Tienda 2025]]</f>
        <v>7552745.7241379311</v>
      </c>
      <c r="AQ324" s="6">
        <f>+Tabla22[[#This Row],[Meli Drop 2025]]+Tabla22[[#This Row],[Meli Full 2025]]+Tabla22[[#This Row],[Amazon Drop 2025]]+Tabla22[[#This Row],[Amazon Full 2025]]+Tabla22[[#This Row],[TikTok 2025]]+Tabla22[[#This Row],[Shein 2025]]</f>
        <v>2062543.2068965517</v>
      </c>
      <c r="AR324" s="58">
        <f t="shared" ref="AR324:AR368" si="271">+K324+M324+O324+Q324+S324</f>
        <v>0</v>
      </c>
      <c r="AS324" s="58">
        <f t="shared" ref="AS324:AS368" si="272">+U324+W324+Y324+AA324+AC324+AE324</f>
        <v>0</v>
      </c>
      <c r="AT324" s="59">
        <f t="shared" ref="AT324:AT368" si="273">+AR324/AP324-1</f>
        <v>-1</v>
      </c>
      <c r="AU324" s="59">
        <f t="shared" ref="AU324:AU368" si="274">+AS324/AQ324-1</f>
        <v>-1</v>
      </c>
      <c r="AV324" s="58">
        <f t="shared" ref="AV324:AV368" si="275">+H324</f>
        <v>9804142.3963300195</v>
      </c>
      <c r="AW324" s="58">
        <f t="shared" ref="AW324:AW368" si="276">+I324</f>
        <v>2910131.8849596698</v>
      </c>
      <c r="AX324" s="59">
        <f t="shared" ref="AX324:AX368" si="277">+AR324/AV324</f>
        <v>0</v>
      </c>
      <c r="AY324" s="59">
        <f t="shared" ref="AY324:AY368" si="278">+AS324/AW324</f>
        <v>0</v>
      </c>
      <c r="AZ324" s="59">
        <f t="shared" ref="AZ324:AZ368" si="279">+(AR324+AS324)/(AV324+AW324)</f>
        <v>0</v>
      </c>
      <c r="BA324" s="27">
        <v>5.3201679798165702E-2</v>
      </c>
      <c r="BB324" s="27">
        <v>5.82378887431046E-2</v>
      </c>
      <c r="BC324" s="27"/>
      <c r="BD324" s="27"/>
    </row>
    <row r="325" spans="1:56" ht="14.25" hidden="1" customHeight="1" x14ac:dyDescent="0.35">
      <c r="A325" s="19">
        <v>45979</v>
      </c>
      <c r="B325" s="17">
        <v>39600628</v>
      </c>
      <c r="C325" s="17">
        <f t="shared" si="262"/>
        <v>6344583.2327586208</v>
      </c>
      <c r="D325" s="18">
        <f t="shared" si="260"/>
        <v>3.7663098577015115E-2</v>
      </c>
      <c r="E325" s="17"/>
      <c r="F325" s="19">
        <v>46344</v>
      </c>
      <c r="G325" s="17">
        <f t="shared" si="263"/>
        <v>8386418.3696318399</v>
      </c>
      <c r="H325" s="17">
        <v>6503811.6308371797</v>
      </c>
      <c r="I325" s="17">
        <v>1882606.73879466</v>
      </c>
      <c r="J325" s="17">
        <v>4720959</v>
      </c>
      <c r="K325" s="17"/>
      <c r="L325" s="17">
        <v>47643.965517241399</v>
      </c>
      <c r="M325" s="17"/>
      <c r="N325" s="17">
        <v>95259</v>
      </c>
      <c r="O325" s="17"/>
      <c r="P325" s="17">
        <v>-1341</v>
      </c>
      <c r="Q325" s="17"/>
      <c r="R325" s="17">
        <v>147773</v>
      </c>
      <c r="S325" s="17"/>
      <c r="T325" s="17">
        <v>932318</v>
      </c>
      <c r="U325" s="17"/>
      <c r="V325" s="17">
        <v>326265</v>
      </c>
      <c r="W325" s="17"/>
      <c r="X325" s="17">
        <v>34579</v>
      </c>
      <c r="Y325" s="17"/>
      <c r="Z325" s="17">
        <v>35129</v>
      </c>
      <c r="AA325" s="17"/>
      <c r="AB325" s="17">
        <v>5998.2672413793098</v>
      </c>
      <c r="AC325" s="17"/>
      <c r="AD325" s="17">
        <v>0</v>
      </c>
      <c r="AE325" s="17"/>
      <c r="AF325" s="17">
        <f t="shared" si="264"/>
        <v>0</v>
      </c>
      <c r="AG325" s="18">
        <f t="shared" si="265"/>
        <v>0</v>
      </c>
      <c r="AH325" s="17">
        <f t="shared" si="266"/>
        <v>-8386418.3696318399</v>
      </c>
      <c r="AI325" s="20">
        <f t="shared" si="267"/>
        <v>-1</v>
      </c>
      <c r="AJ325" s="20">
        <f t="shared" si="268"/>
        <v>0.13850719600983555</v>
      </c>
      <c r="AK325" s="21" t="e">
        <f t="shared" si="261"/>
        <v>#DIV/0!</v>
      </c>
      <c r="AL325" s="21">
        <f t="shared" si="269"/>
        <v>-1</v>
      </c>
      <c r="AM325" s="31"/>
      <c r="AO325" s="57">
        <f t="shared" si="270"/>
        <v>46344</v>
      </c>
      <c r="AP325" s="6">
        <f>+Tabla22[[#This Row],[Web + APP 2025]]+Tabla22[[#This Row],[Afiliados 2025]]+Tabla22[[#This Row],[TMK 2025]]+Tabla22[[#This Row],[WA 2025]]+Tabla22[[#This Row],[Ent. en Tienda 2025]]</f>
        <v>5010293.9655172415</v>
      </c>
      <c r="AQ325" s="6">
        <f>+Tabla22[[#This Row],[Meli Drop 2025]]+Tabla22[[#This Row],[Meli Full 2025]]+Tabla22[[#This Row],[Amazon Drop 2025]]+Tabla22[[#This Row],[Amazon Full 2025]]+Tabla22[[#This Row],[TikTok 2025]]+Tabla22[[#This Row],[Shein 2025]]</f>
        <v>1334289.2672413792</v>
      </c>
      <c r="AR325" s="58">
        <f t="shared" si="271"/>
        <v>0</v>
      </c>
      <c r="AS325" s="58">
        <f t="shared" si="272"/>
        <v>0</v>
      </c>
      <c r="AT325" s="59">
        <f t="shared" si="273"/>
        <v>-1</v>
      </c>
      <c r="AU325" s="59">
        <f t="shared" si="274"/>
        <v>-1</v>
      </c>
      <c r="AV325" s="58">
        <f t="shared" si="275"/>
        <v>6503811.6308371797</v>
      </c>
      <c r="AW325" s="58">
        <f t="shared" si="276"/>
        <v>1882606.73879466</v>
      </c>
      <c r="AX325" s="59">
        <f t="shared" si="277"/>
        <v>0</v>
      </c>
      <c r="AY325" s="59">
        <f t="shared" si="278"/>
        <v>0</v>
      </c>
      <c r="AZ325" s="59">
        <f t="shared" si="279"/>
        <v>0</v>
      </c>
      <c r="BA325" s="27">
        <v>3.4416942208311999E-2</v>
      </c>
      <c r="BB325" s="27">
        <v>3.8633492135384501E-2</v>
      </c>
      <c r="BC325" s="27"/>
      <c r="BD325" s="27"/>
    </row>
    <row r="326" spans="1:56" ht="14.25" hidden="1" customHeight="1" x14ac:dyDescent="0.35">
      <c r="A326" s="16">
        <v>45980</v>
      </c>
      <c r="B326" s="17">
        <v>44043429</v>
      </c>
      <c r="C326" s="17">
        <f t="shared" si="262"/>
        <v>6100331.8534482755</v>
      </c>
      <c r="D326" s="18">
        <f t="shared" si="260"/>
        <v>3.6213158771822018E-2</v>
      </c>
      <c r="E326" s="17"/>
      <c r="F326" s="19">
        <v>46345</v>
      </c>
      <c r="G326" s="17">
        <f t="shared" si="263"/>
        <v>8086775.2394312397</v>
      </c>
      <c r="H326" s="17">
        <v>5986412.6311157104</v>
      </c>
      <c r="I326" s="17">
        <v>2100362.6083155298</v>
      </c>
      <c r="J326" s="17">
        <v>4242519</v>
      </c>
      <c r="K326" s="17"/>
      <c r="L326" s="17">
        <v>49587.068965517203</v>
      </c>
      <c r="M326" s="17"/>
      <c r="N326" s="17">
        <v>76524</v>
      </c>
      <c r="O326" s="17"/>
      <c r="P326" s="17">
        <v>2601</v>
      </c>
      <c r="Q326" s="17"/>
      <c r="R326" s="17">
        <v>240478</v>
      </c>
      <c r="S326" s="17"/>
      <c r="T326" s="17">
        <v>1127916</v>
      </c>
      <c r="U326" s="17"/>
      <c r="V326" s="17">
        <v>278096</v>
      </c>
      <c r="W326" s="17"/>
      <c r="X326" s="17">
        <v>37316</v>
      </c>
      <c r="Y326" s="17"/>
      <c r="Z326" s="17">
        <v>34950</v>
      </c>
      <c r="AA326" s="17"/>
      <c r="AB326" s="17">
        <v>5866.3362068965498</v>
      </c>
      <c r="AC326" s="17"/>
      <c r="AD326" s="17">
        <v>4478.4482758620697</v>
      </c>
      <c r="AE326" s="17"/>
      <c r="AF326" s="17">
        <f t="shared" si="264"/>
        <v>0</v>
      </c>
      <c r="AG326" s="18">
        <f t="shared" si="265"/>
        <v>0</v>
      </c>
      <c r="AH326" s="17">
        <f t="shared" si="266"/>
        <v>-8086775.2394312397</v>
      </c>
      <c r="AI326" s="20">
        <f t="shared" si="267"/>
        <v>-1</v>
      </c>
      <c r="AJ326" s="20">
        <f t="shared" si="268"/>
        <v>9.3308248291307808E-2</v>
      </c>
      <c r="AK326" s="21" t="e">
        <f t="shared" si="261"/>
        <v>#DIV/0!</v>
      </c>
      <c r="AL326" s="21">
        <f t="shared" si="269"/>
        <v>-1</v>
      </c>
      <c r="AM326" s="31"/>
      <c r="AO326" s="57">
        <f t="shared" si="270"/>
        <v>46345</v>
      </c>
      <c r="AP326" s="6">
        <f>+Tabla22[[#This Row],[Web + APP 2025]]+Tabla22[[#This Row],[Afiliados 2025]]+Tabla22[[#This Row],[TMK 2025]]+Tabla22[[#This Row],[WA 2025]]+Tabla22[[#This Row],[Ent. en Tienda 2025]]</f>
        <v>4611709.068965517</v>
      </c>
      <c r="AQ326" s="6">
        <f>+Tabla22[[#This Row],[Meli Drop 2025]]+Tabla22[[#This Row],[Meli Full 2025]]+Tabla22[[#This Row],[Amazon Drop 2025]]+Tabla22[[#This Row],[Amazon Full 2025]]+Tabla22[[#This Row],[TikTok 2025]]+Tabla22[[#This Row],[Shein 2025]]</f>
        <v>1488622.7844827585</v>
      </c>
      <c r="AR326" s="58">
        <f t="shared" si="271"/>
        <v>0</v>
      </c>
      <c r="AS326" s="58">
        <f t="shared" si="272"/>
        <v>0</v>
      </c>
      <c r="AT326" s="59">
        <f t="shared" si="273"/>
        <v>-1</v>
      </c>
      <c r="AU326" s="59">
        <f t="shared" si="274"/>
        <v>-1</v>
      </c>
      <c r="AV326" s="58">
        <f t="shared" si="275"/>
        <v>5986412.6311157104</v>
      </c>
      <c r="AW326" s="58">
        <f t="shared" si="276"/>
        <v>2100362.6083155298</v>
      </c>
      <c r="AX326" s="59">
        <f t="shared" si="277"/>
        <v>0</v>
      </c>
      <c r="AY326" s="59">
        <f t="shared" si="278"/>
        <v>0</v>
      </c>
      <c r="AZ326" s="59">
        <f t="shared" si="279"/>
        <v>0</v>
      </c>
      <c r="BA326" s="27">
        <v>3.83978538997354E-2</v>
      </c>
      <c r="BB326" s="27">
        <v>3.5560074373434003E-2</v>
      </c>
      <c r="BC326" s="27"/>
      <c r="BD326" s="27"/>
    </row>
    <row r="327" spans="1:56" ht="14.25" hidden="1" customHeight="1" x14ac:dyDescent="0.35">
      <c r="A327" s="19">
        <v>45981</v>
      </c>
      <c r="B327" s="17">
        <v>45264544</v>
      </c>
      <c r="C327" s="17">
        <f t="shared" si="262"/>
        <v>4223555.3103448274</v>
      </c>
      <c r="D327" s="18">
        <f t="shared" si="260"/>
        <v>2.5072124387566497E-2</v>
      </c>
      <c r="E327" s="17"/>
      <c r="F327" s="19">
        <v>46346</v>
      </c>
      <c r="G327" s="17">
        <f t="shared" si="263"/>
        <v>5561961.8076369297</v>
      </c>
      <c r="H327" s="17">
        <v>4569174.5399318105</v>
      </c>
      <c r="I327" s="17">
        <v>992787.26770511898</v>
      </c>
      <c r="J327" s="17">
        <v>3180652</v>
      </c>
      <c r="K327" s="17"/>
      <c r="L327" s="17">
        <v>40595.689655172398</v>
      </c>
      <c r="M327" s="17"/>
      <c r="N327" s="17">
        <v>49953</v>
      </c>
      <c r="O327" s="17"/>
      <c r="P327" s="17">
        <v>6804</v>
      </c>
      <c r="Q327" s="17"/>
      <c r="R327" s="17">
        <v>241917</v>
      </c>
      <c r="S327" s="17"/>
      <c r="T327" s="17">
        <v>322746</v>
      </c>
      <c r="U327" s="17"/>
      <c r="V327" s="17">
        <v>305105</v>
      </c>
      <c r="W327" s="17"/>
      <c r="X327" s="17">
        <v>24957</v>
      </c>
      <c r="Y327" s="17"/>
      <c r="Z327" s="17">
        <v>45711</v>
      </c>
      <c r="AA327" s="17"/>
      <c r="AB327" s="17">
        <v>2272.3793103448302</v>
      </c>
      <c r="AC327" s="17"/>
      <c r="AD327" s="17">
        <v>2842.2413793103501</v>
      </c>
      <c r="AE327" s="17"/>
      <c r="AF327" s="17">
        <f t="shared" si="264"/>
        <v>0</v>
      </c>
      <c r="AG327" s="18">
        <f t="shared" si="265"/>
        <v>0</v>
      </c>
      <c r="AH327" s="17">
        <f t="shared" si="266"/>
        <v>-5561961.8076369297</v>
      </c>
      <c r="AI327" s="20">
        <f t="shared" si="267"/>
        <v>-1</v>
      </c>
      <c r="AJ327" s="20">
        <f t="shared" si="268"/>
        <v>7.8852145747983951E-2</v>
      </c>
      <c r="AK327" s="21" t="e">
        <f t="shared" si="261"/>
        <v>#DIV/0!</v>
      </c>
      <c r="AL327" s="21">
        <f t="shared" si="269"/>
        <v>-1</v>
      </c>
      <c r="AM327" s="31"/>
      <c r="AO327" s="57">
        <f t="shared" si="270"/>
        <v>46346</v>
      </c>
      <c r="AP327" s="6">
        <f>+Tabla22[[#This Row],[Web + APP 2025]]+Tabla22[[#This Row],[Afiliados 2025]]+Tabla22[[#This Row],[TMK 2025]]+Tabla22[[#This Row],[WA 2025]]+Tabla22[[#This Row],[Ent. en Tienda 2025]]</f>
        <v>3519921.6896551722</v>
      </c>
      <c r="AQ327" s="6">
        <f>+Tabla22[[#This Row],[Meli Drop 2025]]+Tabla22[[#This Row],[Meli Full 2025]]+Tabla22[[#This Row],[Amazon Drop 2025]]+Tabla22[[#This Row],[Amazon Full 2025]]+Tabla22[[#This Row],[TikTok 2025]]+Tabla22[[#This Row],[Shein 2025]]</f>
        <v>703633.62068965519</v>
      </c>
      <c r="AR327" s="58">
        <f t="shared" si="271"/>
        <v>0</v>
      </c>
      <c r="AS327" s="58">
        <f t="shared" si="272"/>
        <v>0</v>
      </c>
      <c r="AT327" s="59">
        <f t="shared" si="273"/>
        <v>-1</v>
      </c>
      <c r="AU327" s="59">
        <f t="shared" si="274"/>
        <v>-1</v>
      </c>
      <c r="AV327" s="58">
        <f t="shared" si="275"/>
        <v>4569174.5399318105</v>
      </c>
      <c r="AW327" s="58">
        <f t="shared" si="276"/>
        <v>992787.26770511898</v>
      </c>
      <c r="AX327" s="59">
        <f t="shared" si="277"/>
        <v>0</v>
      </c>
      <c r="AY327" s="59">
        <f t="shared" si="278"/>
        <v>0</v>
      </c>
      <c r="AZ327" s="59">
        <f t="shared" si="279"/>
        <v>0</v>
      </c>
      <c r="BA327" s="27">
        <v>1.8149675826419E-2</v>
      </c>
      <c r="BB327" s="27">
        <v>2.7141494660867401E-2</v>
      </c>
      <c r="BC327" s="27"/>
      <c r="BD327" s="27"/>
    </row>
    <row r="328" spans="1:56" ht="14.25" hidden="1" customHeight="1" x14ac:dyDescent="0.35">
      <c r="A328" s="16">
        <v>45982</v>
      </c>
      <c r="B328" s="17">
        <v>48516289</v>
      </c>
      <c r="C328" s="17">
        <f t="shared" si="262"/>
        <v>3825613.4913793104</v>
      </c>
      <c r="D328" s="18">
        <f t="shared" si="260"/>
        <v>2.2709838102435941E-2</v>
      </c>
      <c r="E328" s="17"/>
      <c r="F328" s="19">
        <v>46347</v>
      </c>
      <c r="G328" s="17">
        <f t="shared" si="263"/>
        <v>5057961.3563756002</v>
      </c>
      <c r="H328" s="17">
        <v>3908096.51238397</v>
      </c>
      <c r="I328" s="17">
        <v>1149864.84399163</v>
      </c>
      <c r="J328" s="17">
        <v>2745907</v>
      </c>
      <c r="K328" s="17"/>
      <c r="L328" s="17">
        <v>33519.827586206899</v>
      </c>
      <c r="M328" s="17"/>
      <c r="N328" s="17">
        <v>17150</v>
      </c>
      <c r="O328" s="17"/>
      <c r="P328" s="17">
        <v>7339</v>
      </c>
      <c r="Q328" s="17"/>
      <c r="R328" s="17">
        <v>206736</v>
      </c>
      <c r="S328" s="17"/>
      <c r="T328" s="17">
        <v>475176</v>
      </c>
      <c r="U328" s="17"/>
      <c r="V328" s="17">
        <v>235742</v>
      </c>
      <c r="W328" s="17"/>
      <c r="X328" s="17">
        <v>25815</v>
      </c>
      <c r="Y328" s="17"/>
      <c r="Z328" s="17">
        <v>62744</v>
      </c>
      <c r="AA328" s="17"/>
      <c r="AB328" s="17">
        <v>14709.6637931035</v>
      </c>
      <c r="AC328" s="17"/>
      <c r="AD328" s="17">
        <v>775</v>
      </c>
      <c r="AE328" s="17"/>
      <c r="AF328" s="17">
        <f t="shared" si="264"/>
        <v>0</v>
      </c>
      <c r="AG328" s="18">
        <f t="shared" si="265"/>
        <v>0</v>
      </c>
      <c r="AH328" s="17">
        <f t="shared" si="266"/>
        <v>-5057961.3563756002</v>
      </c>
      <c r="AI328" s="20">
        <f t="shared" si="267"/>
        <v>-1</v>
      </c>
      <c r="AJ328" s="20">
        <f t="shared" si="268"/>
        <v>9.6721207255750855E-2</v>
      </c>
      <c r="AK328" s="21" t="e">
        <f t="shared" si="261"/>
        <v>#DIV/0!</v>
      </c>
      <c r="AL328" s="21">
        <f t="shared" si="269"/>
        <v>-1</v>
      </c>
      <c r="AM328" s="31"/>
      <c r="AO328" s="60">
        <f t="shared" si="270"/>
        <v>46347</v>
      </c>
      <c r="AP328" s="6">
        <f>+Tabla22[[#This Row],[Web + APP 2025]]+Tabla22[[#This Row],[Afiliados 2025]]+Tabla22[[#This Row],[TMK 2025]]+Tabla22[[#This Row],[WA 2025]]+Tabla22[[#This Row],[Ent. en Tienda 2025]]</f>
        <v>3010651.8275862071</v>
      </c>
      <c r="AQ328" s="6">
        <f>+Tabla22[[#This Row],[Meli Drop 2025]]+Tabla22[[#This Row],[Meli Full 2025]]+Tabla22[[#This Row],[Amazon Drop 2025]]+Tabla22[[#This Row],[Amazon Full 2025]]+Tabla22[[#This Row],[TikTok 2025]]+Tabla22[[#This Row],[Shein 2025]]</f>
        <v>814961.66379310354</v>
      </c>
      <c r="AR328" s="58">
        <f t="shared" si="271"/>
        <v>0</v>
      </c>
      <c r="AS328" s="58">
        <f t="shared" si="272"/>
        <v>0</v>
      </c>
      <c r="AT328" s="59">
        <f t="shared" si="273"/>
        <v>-1</v>
      </c>
      <c r="AU328" s="59">
        <f t="shared" si="274"/>
        <v>-1</v>
      </c>
      <c r="AV328" s="58">
        <f t="shared" si="275"/>
        <v>3908096.51238397</v>
      </c>
      <c r="AW328" s="58">
        <f t="shared" si="276"/>
        <v>1149864.84399163</v>
      </c>
      <c r="AX328" s="59">
        <f t="shared" si="277"/>
        <v>0</v>
      </c>
      <c r="AY328" s="59">
        <f t="shared" si="278"/>
        <v>0</v>
      </c>
      <c r="AZ328" s="59">
        <f t="shared" si="279"/>
        <v>0</v>
      </c>
      <c r="BA328" s="27">
        <v>2.1021295136958398E-2</v>
      </c>
      <c r="BB328" s="27">
        <v>2.32146046726871E-2</v>
      </c>
      <c r="BC328" s="27"/>
      <c r="BD328" s="27"/>
    </row>
    <row r="329" spans="1:56" ht="14.25" hidden="1" customHeight="1" x14ac:dyDescent="0.35">
      <c r="A329" s="19">
        <v>45983</v>
      </c>
      <c r="B329" s="17">
        <v>62976306</v>
      </c>
      <c r="C329" s="17">
        <f t="shared" si="262"/>
        <v>6091144.3448275859</v>
      </c>
      <c r="D329" s="18">
        <f t="shared" si="260"/>
        <v>3.6158619327675147E-2</v>
      </c>
      <c r="E329" s="17"/>
      <c r="F329" s="19">
        <v>46348</v>
      </c>
      <c r="G329" s="17">
        <f t="shared" si="263"/>
        <v>8261030.5790344095</v>
      </c>
      <c r="H329" s="17">
        <v>3832948.4360700799</v>
      </c>
      <c r="I329" s="17">
        <v>4428082.1429643296</v>
      </c>
      <c r="J329" s="17">
        <v>2622616</v>
      </c>
      <c r="K329" s="17"/>
      <c r="L329" s="17">
        <v>47146.551724137898</v>
      </c>
      <c r="M329" s="17"/>
      <c r="N329" s="17">
        <v>58779</v>
      </c>
      <c r="O329" s="17"/>
      <c r="P329" s="17">
        <v>5619</v>
      </c>
      <c r="Q329" s="17"/>
      <c r="R329" s="17">
        <v>218600</v>
      </c>
      <c r="S329" s="17"/>
      <c r="T329" s="17">
        <v>2828747</v>
      </c>
      <c r="U329" s="17"/>
      <c r="V329" s="17">
        <v>232232</v>
      </c>
      <c r="W329" s="17"/>
      <c r="X329" s="17">
        <v>32234</v>
      </c>
      <c r="Y329" s="17"/>
      <c r="Z329" s="17">
        <v>42932</v>
      </c>
      <c r="AA329" s="17"/>
      <c r="AB329" s="17">
        <v>0</v>
      </c>
      <c r="AC329" s="17"/>
      <c r="AD329" s="17">
        <v>2238.7931034482799</v>
      </c>
      <c r="AE329" s="17"/>
      <c r="AF329" s="17">
        <f t="shared" si="264"/>
        <v>0</v>
      </c>
      <c r="AG329" s="18">
        <f t="shared" si="265"/>
        <v>0</v>
      </c>
      <c r="AH329" s="17">
        <f t="shared" si="266"/>
        <v>-8261030.5790344095</v>
      </c>
      <c r="AI329" s="20">
        <f t="shared" si="267"/>
        <v>-1</v>
      </c>
      <c r="AJ329" s="20">
        <f t="shared" si="268"/>
        <v>5.3332503329828654E-2</v>
      </c>
      <c r="AK329" s="21" t="e">
        <f t="shared" si="261"/>
        <v>#DIV/0!</v>
      </c>
      <c r="AL329" s="21">
        <f t="shared" si="269"/>
        <v>-1</v>
      </c>
      <c r="AM329" s="31"/>
      <c r="AO329" s="57">
        <f t="shared" si="270"/>
        <v>46348</v>
      </c>
      <c r="AP329" s="6">
        <f>+Tabla22[[#This Row],[Web + APP 2025]]+Tabla22[[#This Row],[Afiliados 2025]]+Tabla22[[#This Row],[TMK 2025]]+Tabla22[[#This Row],[WA 2025]]+Tabla22[[#This Row],[Ent. en Tienda 2025]]</f>
        <v>2952760.5517241377</v>
      </c>
      <c r="AQ329" s="6">
        <f>+Tabla22[[#This Row],[Meli Drop 2025]]+Tabla22[[#This Row],[Meli Full 2025]]+Tabla22[[#This Row],[Amazon Drop 2025]]+Tabla22[[#This Row],[Amazon Full 2025]]+Tabla22[[#This Row],[TikTok 2025]]+Tabla22[[#This Row],[Shein 2025]]</f>
        <v>3138383.7931034481</v>
      </c>
      <c r="AR329" s="58">
        <f t="shared" si="271"/>
        <v>0</v>
      </c>
      <c r="AS329" s="58">
        <f t="shared" si="272"/>
        <v>0</v>
      </c>
      <c r="AT329" s="59">
        <f t="shared" si="273"/>
        <v>-1</v>
      </c>
      <c r="AU329" s="59">
        <f t="shared" si="274"/>
        <v>-1</v>
      </c>
      <c r="AV329" s="58">
        <f t="shared" si="275"/>
        <v>3832948.4360700799</v>
      </c>
      <c r="AW329" s="58">
        <f t="shared" si="276"/>
        <v>4428082.1429643296</v>
      </c>
      <c r="AX329" s="59">
        <f t="shared" si="277"/>
        <v>0</v>
      </c>
      <c r="AY329" s="59">
        <f t="shared" si="278"/>
        <v>0</v>
      </c>
      <c r="AZ329" s="59">
        <f t="shared" si="279"/>
        <v>0</v>
      </c>
      <c r="BA329" s="27">
        <v>8.0952141553278401E-2</v>
      </c>
      <c r="BB329" s="27">
        <v>2.2768215265974199E-2</v>
      </c>
      <c r="BC329" s="27"/>
      <c r="BD329" s="27"/>
    </row>
    <row r="330" spans="1:56" ht="14.25" hidden="1" customHeight="1" x14ac:dyDescent="0.35">
      <c r="A330" s="16">
        <v>45984</v>
      </c>
      <c r="B330" s="17">
        <v>64339155</v>
      </c>
      <c r="C330" s="17">
        <f t="shared" si="262"/>
        <v>3431368.1982758618</v>
      </c>
      <c r="D330" s="18">
        <f t="shared" si="260"/>
        <v>2.0369495357618127E-2</v>
      </c>
      <c r="E330" s="17"/>
      <c r="F330" s="19">
        <v>46349</v>
      </c>
      <c r="G330" s="17">
        <f t="shared" si="263"/>
        <v>4486178.6751943501</v>
      </c>
      <c r="H330" s="17">
        <v>4086669.89572642</v>
      </c>
      <c r="I330" s="17">
        <v>399508.77946793003</v>
      </c>
      <c r="J330" s="17">
        <v>2912051</v>
      </c>
      <c r="K330" s="17"/>
      <c r="L330" s="17">
        <v>50568.103448275797</v>
      </c>
      <c r="M330" s="17"/>
      <c r="N330" s="17">
        <v>-4265</v>
      </c>
      <c r="O330" s="17"/>
      <c r="P330" s="17">
        <v>1723</v>
      </c>
      <c r="Q330" s="17"/>
      <c r="R330" s="17">
        <v>188141</v>
      </c>
      <c r="S330" s="17"/>
      <c r="T330" s="17">
        <v>-35352</v>
      </c>
      <c r="U330" s="17"/>
      <c r="V330" s="17">
        <v>235657</v>
      </c>
      <c r="W330" s="17"/>
      <c r="X330" s="17">
        <v>30424</v>
      </c>
      <c r="Y330" s="17"/>
      <c r="Z330" s="17">
        <v>50063</v>
      </c>
      <c r="AA330" s="17"/>
      <c r="AB330" s="17">
        <v>635.68103448275895</v>
      </c>
      <c r="AC330" s="17"/>
      <c r="AD330" s="17">
        <v>1722.41379310345</v>
      </c>
      <c r="AE330" s="17"/>
      <c r="AF330" s="17">
        <f t="shared" si="264"/>
        <v>0</v>
      </c>
      <c r="AG330" s="18">
        <f t="shared" si="265"/>
        <v>0</v>
      </c>
      <c r="AH330" s="17">
        <f t="shared" si="266"/>
        <v>-4486178.6751943501</v>
      </c>
      <c r="AI330" s="20">
        <f t="shared" si="267"/>
        <v>-1</v>
      </c>
      <c r="AJ330" s="20">
        <f t="shared" si="268"/>
        <v>0.17890553497733533</v>
      </c>
      <c r="AK330" s="21" t="e">
        <f t="shared" si="261"/>
        <v>#DIV/0!</v>
      </c>
      <c r="AL330" s="21">
        <f t="shared" si="269"/>
        <v>-1</v>
      </c>
      <c r="AM330" s="31"/>
      <c r="AO330" s="57">
        <f t="shared" si="270"/>
        <v>46349</v>
      </c>
      <c r="AP330" s="6">
        <f>+Tabla22[[#This Row],[Web + APP 2025]]+Tabla22[[#This Row],[Afiliados 2025]]+Tabla22[[#This Row],[TMK 2025]]+Tabla22[[#This Row],[WA 2025]]+Tabla22[[#This Row],[Ent. en Tienda 2025]]</f>
        <v>3148218.1034482759</v>
      </c>
      <c r="AQ330" s="6">
        <f>+Tabla22[[#This Row],[Meli Drop 2025]]+Tabla22[[#This Row],[Meli Full 2025]]+Tabla22[[#This Row],[Amazon Drop 2025]]+Tabla22[[#This Row],[Amazon Full 2025]]+Tabla22[[#This Row],[TikTok 2025]]+Tabla22[[#This Row],[Shein 2025]]</f>
        <v>283150.09482758626</v>
      </c>
      <c r="AR330" s="58">
        <f t="shared" si="271"/>
        <v>0</v>
      </c>
      <c r="AS330" s="58">
        <f t="shared" si="272"/>
        <v>0</v>
      </c>
      <c r="AT330" s="59">
        <f t="shared" si="273"/>
        <v>-1</v>
      </c>
      <c r="AU330" s="59">
        <f t="shared" si="274"/>
        <v>-1</v>
      </c>
      <c r="AV330" s="58">
        <f t="shared" si="275"/>
        <v>4086669.89572642</v>
      </c>
      <c r="AW330" s="58">
        <f t="shared" si="276"/>
        <v>399508.77946793003</v>
      </c>
      <c r="AX330" s="59">
        <f t="shared" si="277"/>
        <v>0</v>
      </c>
      <c r="AY330" s="59">
        <f t="shared" si="278"/>
        <v>0</v>
      </c>
      <c r="AZ330" s="59">
        <f t="shared" si="279"/>
        <v>0</v>
      </c>
      <c r="BA330" s="27">
        <v>7.30363399392925E-3</v>
      </c>
      <c r="BB330" s="27">
        <v>2.4275353936740102E-2</v>
      </c>
      <c r="BC330" s="27"/>
      <c r="BD330" s="27"/>
    </row>
    <row r="331" spans="1:56" ht="14.25" hidden="1" customHeight="1" x14ac:dyDescent="0.35">
      <c r="A331" s="19">
        <v>45985</v>
      </c>
      <c r="B331" s="17">
        <v>34296937</v>
      </c>
      <c r="C331" s="17">
        <f t="shared" si="262"/>
        <v>6135911.862068966</v>
      </c>
      <c r="D331" s="18">
        <f t="shared" si="260"/>
        <v>3.6424370970147842E-2</v>
      </c>
      <c r="E331" s="17"/>
      <c r="F331" s="19">
        <v>46350</v>
      </c>
      <c r="G331" s="17">
        <f t="shared" si="263"/>
        <v>8145394.5805129893</v>
      </c>
      <c r="H331" s="17">
        <v>5889585.7384903599</v>
      </c>
      <c r="I331" s="17">
        <v>2255808.8420226299</v>
      </c>
      <c r="J331" s="17">
        <v>4329304</v>
      </c>
      <c r="K331" s="17"/>
      <c r="L331" s="17">
        <v>41142.241379310297</v>
      </c>
      <c r="M331" s="17"/>
      <c r="N331" s="17">
        <v>88047</v>
      </c>
      <c r="O331" s="17"/>
      <c r="P331" s="17">
        <v>6720</v>
      </c>
      <c r="Q331" s="17"/>
      <c r="R331" s="17">
        <v>71904</v>
      </c>
      <c r="S331" s="17"/>
      <c r="T331" s="17">
        <v>1270753</v>
      </c>
      <c r="U331" s="17"/>
      <c r="V331" s="17">
        <v>227520</v>
      </c>
      <c r="W331" s="17"/>
      <c r="X331" s="17">
        <v>42479</v>
      </c>
      <c r="Y331" s="17"/>
      <c r="Z331" s="17">
        <v>30741</v>
      </c>
      <c r="AA331" s="17"/>
      <c r="AB331" s="17">
        <v>26526.620689655199</v>
      </c>
      <c r="AC331" s="17"/>
      <c r="AD331" s="17">
        <v>775</v>
      </c>
      <c r="AE331" s="17"/>
      <c r="AF331" s="17">
        <f t="shared" si="264"/>
        <v>0</v>
      </c>
      <c r="AG331" s="18">
        <f t="shared" si="265"/>
        <v>0</v>
      </c>
      <c r="AH331" s="17">
        <f t="shared" si="266"/>
        <v>-8145394.5805129893</v>
      </c>
      <c r="AI331" s="20">
        <f t="shared" si="267"/>
        <v>-1</v>
      </c>
      <c r="AJ331" s="20">
        <f t="shared" si="268"/>
        <v>0.14404502982535219</v>
      </c>
      <c r="AK331" s="21" t="e">
        <f t="shared" si="261"/>
        <v>#DIV/0!</v>
      </c>
      <c r="AL331" s="21">
        <f t="shared" si="269"/>
        <v>-1</v>
      </c>
      <c r="AM331" s="31"/>
      <c r="AO331" s="57">
        <f t="shared" si="270"/>
        <v>46350</v>
      </c>
      <c r="AP331" s="6">
        <f>+Tabla22[[#This Row],[Web + APP 2025]]+Tabla22[[#This Row],[Afiliados 2025]]+Tabla22[[#This Row],[TMK 2025]]+Tabla22[[#This Row],[WA 2025]]+Tabla22[[#This Row],[Ent. en Tienda 2025]]</f>
        <v>4537117.2413793104</v>
      </c>
      <c r="AQ331" s="6">
        <f>+Tabla22[[#This Row],[Meli Drop 2025]]+Tabla22[[#This Row],[Meli Full 2025]]+Tabla22[[#This Row],[Amazon Drop 2025]]+Tabla22[[#This Row],[Amazon Full 2025]]+Tabla22[[#This Row],[TikTok 2025]]+Tabla22[[#This Row],[Shein 2025]]</f>
        <v>1598794.6206896552</v>
      </c>
      <c r="AR331" s="58">
        <f t="shared" si="271"/>
        <v>0</v>
      </c>
      <c r="AS331" s="58">
        <f t="shared" si="272"/>
        <v>0</v>
      </c>
      <c r="AT331" s="59">
        <f t="shared" si="273"/>
        <v>-1</v>
      </c>
      <c r="AU331" s="59">
        <f t="shared" si="274"/>
        <v>-1</v>
      </c>
      <c r="AV331" s="58">
        <f t="shared" si="275"/>
        <v>5889585.7384903599</v>
      </c>
      <c r="AW331" s="58">
        <f t="shared" si="276"/>
        <v>2255808.8420226299</v>
      </c>
      <c r="AX331" s="59">
        <f t="shared" si="277"/>
        <v>0</v>
      </c>
      <c r="AY331" s="59">
        <f t="shared" si="278"/>
        <v>0</v>
      </c>
      <c r="AZ331" s="59">
        <f t="shared" si="279"/>
        <v>0</v>
      </c>
      <c r="BA331" s="27">
        <v>4.1239649762753801E-2</v>
      </c>
      <c r="BB331" s="27">
        <v>3.4984909961076303E-2</v>
      </c>
      <c r="BC331" s="27"/>
      <c r="BD331" s="27"/>
    </row>
    <row r="332" spans="1:56" ht="14.25" hidden="1" customHeight="1" x14ac:dyDescent="0.35">
      <c r="A332" s="16">
        <v>45986</v>
      </c>
      <c r="B332" s="17">
        <v>41221018</v>
      </c>
      <c r="C332" s="17">
        <f t="shared" si="262"/>
        <v>5937682.7672413802</v>
      </c>
      <c r="D332" s="18">
        <f t="shared" si="260"/>
        <v>3.5247631432588383E-2</v>
      </c>
      <c r="E332" s="17"/>
      <c r="F332" s="19">
        <v>46351</v>
      </c>
      <c r="G332" s="17">
        <f t="shared" si="263"/>
        <v>7878997.6218831399</v>
      </c>
      <c r="H332" s="17">
        <v>5736683.0662500998</v>
      </c>
      <c r="I332" s="17">
        <v>2142314.5556330401</v>
      </c>
      <c r="J332" s="17">
        <v>4166212</v>
      </c>
      <c r="K332" s="17"/>
      <c r="L332" s="17">
        <v>42426.724137931</v>
      </c>
      <c r="M332" s="17"/>
      <c r="N332" s="17">
        <v>58241</v>
      </c>
      <c r="O332" s="17"/>
      <c r="P332" s="17">
        <v>1526</v>
      </c>
      <c r="Q332" s="17"/>
      <c r="R332" s="17">
        <v>150921</v>
      </c>
      <c r="S332" s="17"/>
      <c r="T332" s="17">
        <v>1227377</v>
      </c>
      <c r="U332" s="17"/>
      <c r="V332" s="17">
        <v>207275</v>
      </c>
      <c r="W332" s="17"/>
      <c r="X332" s="17">
        <v>45350</v>
      </c>
      <c r="Y332" s="17"/>
      <c r="Z332" s="17">
        <v>31920</v>
      </c>
      <c r="AA332" s="17"/>
      <c r="AB332" s="17">
        <v>5486.6293103448297</v>
      </c>
      <c r="AC332" s="17"/>
      <c r="AD332" s="17">
        <v>947.41379310344803</v>
      </c>
      <c r="AE332" s="17"/>
      <c r="AF332" s="17">
        <f t="shared" si="264"/>
        <v>0</v>
      </c>
      <c r="AG332" s="18">
        <f t="shared" si="265"/>
        <v>0</v>
      </c>
      <c r="AH332" s="17">
        <f t="shared" si="266"/>
        <v>-7878997.6218831399</v>
      </c>
      <c r="AI332" s="20">
        <f t="shared" si="267"/>
        <v>-1</v>
      </c>
      <c r="AJ332" s="20">
        <f t="shared" si="268"/>
        <v>0.13321215599143663</v>
      </c>
      <c r="AK332" s="21" t="e">
        <f t="shared" si="261"/>
        <v>#DIV/0!</v>
      </c>
      <c r="AL332" s="21">
        <f t="shared" si="269"/>
        <v>-1</v>
      </c>
      <c r="AM332" s="31"/>
      <c r="AO332" s="57">
        <f t="shared" si="270"/>
        <v>46351</v>
      </c>
      <c r="AP332" s="6">
        <f>+Tabla22[[#This Row],[Web + APP 2025]]+Tabla22[[#This Row],[Afiliados 2025]]+Tabla22[[#This Row],[TMK 2025]]+Tabla22[[#This Row],[WA 2025]]+Tabla22[[#This Row],[Ent. en Tienda 2025]]</f>
        <v>4419326.7241379311</v>
      </c>
      <c r="AQ332" s="6">
        <f>+Tabla22[[#This Row],[Meli Drop 2025]]+Tabla22[[#This Row],[Meli Full 2025]]+Tabla22[[#This Row],[Amazon Drop 2025]]+Tabla22[[#This Row],[Amazon Full 2025]]+Tabla22[[#This Row],[TikTok 2025]]+Tabla22[[#This Row],[Shein 2025]]</f>
        <v>1518356.0431034483</v>
      </c>
      <c r="AR332" s="58">
        <f t="shared" si="271"/>
        <v>0</v>
      </c>
      <c r="AS332" s="58">
        <f t="shared" si="272"/>
        <v>0</v>
      </c>
      <c r="AT332" s="59">
        <f t="shared" si="273"/>
        <v>-1</v>
      </c>
      <c r="AU332" s="59">
        <f t="shared" si="274"/>
        <v>-1</v>
      </c>
      <c r="AV332" s="58">
        <f t="shared" si="275"/>
        <v>5736683.0662500998</v>
      </c>
      <c r="AW332" s="58">
        <f t="shared" si="276"/>
        <v>2142314.5556330401</v>
      </c>
      <c r="AX332" s="59">
        <f t="shared" si="277"/>
        <v>0</v>
      </c>
      <c r="AY332" s="59">
        <f t="shared" si="278"/>
        <v>0</v>
      </c>
      <c r="AZ332" s="59">
        <f t="shared" si="279"/>
        <v>0</v>
      </c>
      <c r="BA332" s="27">
        <v>3.9164799920165298E-2</v>
      </c>
      <c r="BB332" s="27">
        <v>3.40766480800795E-2</v>
      </c>
      <c r="BC332" s="27"/>
      <c r="BD332" s="27"/>
    </row>
    <row r="333" spans="1:56" ht="14.25" hidden="1" customHeight="1" x14ac:dyDescent="0.35">
      <c r="A333" s="19">
        <v>45987</v>
      </c>
      <c r="B333" s="17">
        <v>45570391</v>
      </c>
      <c r="C333" s="17">
        <f t="shared" si="262"/>
        <v>6070530.0344827594</v>
      </c>
      <c r="D333" s="18">
        <f t="shared" si="260"/>
        <v>3.6036247412274042E-2</v>
      </c>
      <c r="E333" s="17"/>
      <c r="F333" s="19">
        <v>46352</v>
      </c>
      <c r="G333" s="17">
        <f t="shared" si="263"/>
        <v>8060819.3982962798</v>
      </c>
      <c r="H333" s="17">
        <v>5801306.0511934701</v>
      </c>
      <c r="I333" s="17">
        <v>2259513.3471028102</v>
      </c>
      <c r="J333" s="17">
        <v>4117696</v>
      </c>
      <c r="K333" s="17"/>
      <c r="L333" s="17">
        <v>37900.8620689655</v>
      </c>
      <c r="M333" s="17"/>
      <c r="N333" s="17">
        <v>90470</v>
      </c>
      <c r="O333" s="17"/>
      <c r="P333" s="17">
        <v>6491</v>
      </c>
      <c r="Q333" s="17"/>
      <c r="R333" s="17">
        <v>216552</v>
      </c>
      <c r="S333" s="17"/>
      <c r="T333" s="17">
        <v>1254318</v>
      </c>
      <c r="U333" s="17"/>
      <c r="V333" s="17">
        <v>277281</v>
      </c>
      <c r="W333" s="17"/>
      <c r="X333" s="17">
        <v>43933</v>
      </c>
      <c r="Y333" s="17"/>
      <c r="Z333" s="17">
        <v>18743</v>
      </c>
      <c r="AA333" s="17"/>
      <c r="AB333" s="17">
        <v>6197.7586206896603</v>
      </c>
      <c r="AC333" s="17"/>
      <c r="AD333" s="17">
        <v>947.41379310344803</v>
      </c>
      <c r="AE333" s="17"/>
      <c r="AF333" s="17">
        <f t="shared" si="264"/>
        <v>0</v>
      </c>
      <c r="AG333" s="18">
        <f t="shared" si="265"/>
        <v>0</v>
      </c>
      <c r="AH333" s="17">
        <f t="shared" si="266"/>
        <v>-8060819.3982962798</v>
      </c>
      <c r="AI333" s="20">
        <f t="shared" si="267"/>
        <v>-1</v>
      </c>
      <c r="AJ333" s="20">
        <f t="shared" si="268"/>
        <v>0.10258856545620262</v>
      </c>
      <c r="AK333" s="21" t="e">
        <f t="shared" si="261"/>
        <v>#DIV/0!</v>
      </c>
      <c r="AL333" s="21">
        <f t="shared" si="269"/>
        <v>-1</v>
      </c>
      <c r="AM333" s="31"/>
      <c r="AO333" s="60">
        <f t="shared" si="270"/>
        <v>46352</v>
      </c>
      <c r="AP333" s="6">
        <f>+Tabla22[[#This Row],[Web + APP 2025]]+Tabla22[[#This Row],[Afiliados 2025]]+Tabla22[[#This Row],[TMK 2025]]+Tabla22[[#This Row],[WA 2025]]+Tabla22[[#This Row],[Ent. en Tienda 2025]]</f>
        <v>4469109.862068966</v>
      </c>
      <c r="AQ333" s="6">
        <f>+Tabla22[[#This Row],[Meli Drop 2025]]+Tabla22[[#This Row],[Meli Full 2025]]+Tabla22[[#This Row],[Amazon Drop 2025]]+Tabla22[[#This Row],[Amazon Full 2025]]+Tabla22[[#This Row],[TikTok 2025]]+Tabla22[[#This Row],[Shein 2025]]</f>
        <v>1601420.1724137932</v>
      </c>
      <c r="AR333" s="58">
        <f t="shared" si="271"/>
        <v>0</v>
      </c>
      <c r="AS333" s="58">
        <f t="shared" si="272"/>
        <v>0</v>
      </c>
      <c r="AT333" s="59">
        <f t="shared" si="273"/>
        <v>-1</v>
      </c>
      <c r="AU333" s="59">
        <f t="shared" si="274"/>
        <v>-1</v>
      </c>
      <c r="AV333" s="58">
        <f t="shared" si="275"/>
        <v>5801306.0511934701</v>
      </c>
      <c r="AW333" s="58">
        <f t="shared" si="276"/>
        <v>2259513.3471028102</v>
      </c>
      <c r="AX333" s="59">
        <f t="shared" si="277"/>
        <v>0</v>
      </c>
      <c r="AY333" s="59">
        <f t="shared" si="278"/>
        <v>0</v>
      </c>
      <c r="AZ333" s="59">
        <f t="shared" si="279"/>
        <v>0</v>
      </c>
      <c r="BA333" s="27">
        <v>4.1307373804438899E-2</v>
      </c>
      <c r="BB333" s="27">
        <v>3.4460517066803698E-2</v>
      </c>
      <c r="BC333" s="27"/>
      <c r="BD333" s="27"/>
    </row>
    <row r="334" spans="1:56" ht="14.25" hidden="1" customHeight="1" x14ac:dyDescent="0.35">
      <c r="A334" s="16">
        <v>45988</v>
      </c>
      <c r="B334" s="17">
        <v>50030169</v>
      </c>
      <c r="C334" s="17">
        <f t="shared" si="262"/>
        <v>5132523.2672413792</v>
      </c>
      <c r="D334" s="18">
        <f t="shared" si="260"/>
        <v>3.0467994929098931E-2</v>
      </c>
      <c r="E334" s="17"/>
      <c r="F334" s="19">
        <v>46353</v>
      </c>
      <c r="G334" s="17">
        <f t="shared" si="263"/>
        <v>6814130.4330856297</v>
      </c>
      <c r="H334" s="17">
        <v>4918086.4037961299</v>
      </c>
      <c r="I334" s="17">
        <v>1896044.0292895001</v>
      </c>
      <c r="J334" s="17">
        <v>3604392</v>
      </c>
      <c r="K334" s="17"/>
      <c r="L334" s="17">
        <v>43066.379310344797</v>
      </c>
      <c r="M334" s="17"/>
      <c r="N334" s="17">
        <v>49493</v>
      </c>
      <c r="O334" s="17"/>
      <c r="P334" s="17">
        <v>2376</v>
      </c>
      <c r="Q334" s="17"/>
      <c r="R334" s="17">
        <v>89383</v>
      </c>
      <c r="S334" s="17"/>
      <c r="T334" s="17">
        <v>885777</v>
      </c>
      <c r="U334" s="17"/>
      <c r="V334" s="17">
        <v>367182</v>
      </c>
      <c r="W334" s="17"/>
      <c r="X334" s="17">
        <v>52085</v>
      </c>
      <c r="Y334" s="17"/>
      <c r="Z334" s="17">
        <v>32521</v>
      </c>
      <c r="AA334" s="17"/>
      <c r="AB334" s="17">
        <v>7195.3017241379303</v>
      </c>
      <c r="AC334" s="17"/>
      <c r="AD334" s="17">
        <v>-947.41379310344803</v>
      </c>
      <c r="AE334" s="17"/>
      <c r="AF334" s="17">
        <f t="shared" si="264"/>
        <v>0</v>
      </c>
      <c r="AG334" s="18">
        <f t="shared" si="265"/>
        <v>0</v>
      </c>
      <c r="AH334" s="17">
        <f t="shared" si="266"/>
        <v>-6814130.4330856297</v>
      </c>
      <c r="AI334" s="20">
        <f t="shared" si="267"/>
        <v>-1</v>
      </c>
      <c r="AJ334" s="20">
        <f t="shared" si="268"/>
        <v>0.11336835928654444</v>
      </c>
      <c r="AK334" s="21" t="e">
        <f t="shared" si="261"/>
        <v>#DIV/0!</v>
      </c>
      <c r="AL334" s="21">
        <f t="shared" si="269"/>
        <v>-1</v>
      </c>
      <c r="AM334" s="31"/>
      <c r="AO334" s="57">
        <f t="shared" si="270"/>
        <v>46353</v>
      </c>
      <c r="AP334" s="6">
        <f>+Tabla22[[#This Row],[Web + APP 2025]]+Tabla22[[#This Row],[Afiliados 2025]]+Tabla22[[#This Row],[TMK 2025]]+Tabla22[[#This Row],[WA 2025]]+Tabla22[[#This Row],[Ent. en Tienda 2025]]</f>
        <v>3788710.3793103448</v>
      </c>
      <c r="AQ334" s="6">
        <f>+Tabla22[[#This Row],[Meli Drop 2025]]+Tabla22[[#This Row],[Meli Full 2025]]+Tabla22[[#This Row],[Amazon Drop 2025]]+Tabla22[[#This Row],[Amazon Full 2025]]+Tabla22[[#This Row],[TikTok 2025]]+Tabla22[[#This Row],[Shein 2025]]</f>
        <v>1343812.8879310344</v>
      </c>
      <c r="AR334" s="58">
        <f t="shared" si="271"/>
        <v>0</v>
      </c>
      <c r="AS334" s="58">
        <f t="shared" si="272"/>
        <v>0</v>
      </c>
      <c r="AT334" s="59">
        <f t="shared" si="273"/>
        <v>-1</v>
      </c>
      <c r="AU334" s="59">
        <f t="shared" si="274"/>
        <v>-1</v>
      </c>
      <c r="AV334" s="58">
        <f t="shared" si="275"/>
        <v>4918086.4037961299</v>
      </c>
      <c r="AW334" s="58">
        <f t="shared" si="276"/>
        <v>1896044.0292895001</v>
      </c>
      <c r="AX334" s="59">
        <f t="shared" si="277"/>
        <v>0</v>
      </c>
      <c r="AY334" s="59">
        <f t="shared" si="278"/>
        <v>0</v>
      </c>
      <c r="AZ334" s="59">
        <f t="shared" si="279"/>
        <v>0</v>
      </c>
      <c r="BA334" s="27">
        <v>3.46625965135193E-2</v>
      </c>
      <c r="BB334" s="27">
        <v>2.9214076788651101E-2</v>
      </c>
      <c r="BC334" s="27"/>
      <c r="BD334" s="27"/>
    </row>
    <row r="335" spans="1:56" ht="14.25" hidden="1" customHeight="1" x14ac:dyDescent="0.35">
      <c r="A335" s="19">
        <v>45989</v>
      </c>
      <c r="B335" s="17">
        <v>61473070</v>
      </c>
      <c r="C335" s="17">
        <f t="shared" si="262"/>
        <v>6969101.0862068962</v>
      </c>
      <c r="D335" s="18">
        <f t="shared" si="260"/>
        <v>4.1370399216729671E-2</v>
      </c>
      <c r="E335" s="17"/>
      <c r="F335" s="19">
        <v>46354</v>
      </c>
      <c r="G335" s="17">
        <f t="shared" si="263"/>
        <v>9340018.4454301596</v>
      </c>
      <c r="H335" s="17">
        <v>5670568.62085634</v>
      </c>
      <c r="I335" s="17">
        <v>3669449.82457382</v>
      </c>
      <c r="J335" s="17">
        <v>4096929</v>
      </c>
      <c r="K335" s="17"/>
      <c r="L335" s="17">
        <v>54208.620689655203</v>
      </c>
      <c r="M335" s="17"/>
      <c r="N335" s="17">
        <v>68087</v>
      </c>
      <c r="O335" s="17"/>
      <c r="P335" s="17">
        <v>4812</v>
      </c>
      <c r="Q335" s="17"/>
      <c r="R335" s="17">
        <v>144358</v>
      </c>
      <c r="S335" s="17"/>
      <c r="T335" s="17">
        <v>1726586</v>
      </c>
      <c r="U335" s="17"/>
      <c r="V335" s="17">
        <v>740810</v>
      </c>
      <c r="W335" s="17"/>
      <c r="X335" s="17">
        <v>72416</v>
      </c>
      <c r="Y335" s="17"/>
      <c r="Z335" s="17">
        <v>40806</v>
      </c>
      <c r="AA335" s="17"/>
      <c r="AB335" s="17">
        <v>18624.672413793101</v>
      </c>
      <c r="AC335" s="17"/>
      <c r="AD335" s="17">
        <v>1463.7931034482799</v>
      </c>
      <c r="AE335" s="17"/>
      <c r="AF335" s="17">
        <f t="shared" si="264"/>
        <v>0</v>
      </c>
      <c r="AG335" s="18">
        <f t="shared" si="265"/>
        <v>0</v>
      </c>
      <c r="AH335" s="17">
        <f t="shared" si="266"/>
        <v>-9340018.4454301596</v>
      </c>
      <c r="AI335" s="20">
        <f t="shared" si="267"/>
        <v>-1</v>
      </c>
      <c r="AJ335" s="20">
        <f t="shared" si="268"/>
        <v>6.9067686931212319E-2</v>
      </c>
      <c r="AK335" s="21" t="e">
        <f t="shared" si="261"/>
        <v>#DIV/0!</v>
      </c>
      <c r="AL335" s="21">
        <f t="shared" si="269"/>
        <v>-1</v>
      </c>
      <c r="AM335" s="31"/>
      <c r="AO335" s="57">
        <f t="shared" si="270"/>
        <v>46354</v>
      </c>
      <c r="AP335" s="6">
        <f>+Tabla22[[#This Row],[Web + APP 2025]]+Tabla22[[#This Row],[Afiliados 2025]]+Tabla22[[#This Row],[TMK 2025]]+Tabla22[[#This Row],[WA 2025]]+Tabla22[[#This Row],[Ent. en Tienda 2025]]</f>
        <v>4368394.6206896547</v>
      </c>
      <c r="AQ335" s="6">
        <f>+Tabla22[[#This Row],[Meli Drop 2025]]+Tabla22[[#This Row],[Meli Full 2025]]+Tabla22[[#This Row],[Amazon Drop 2025]]+Tabla22[[#This Row],[Amazon Full 2025]]+Tabla22[[#This Row],[TikTok 2025]]+Tabla22[[#This Row],[Shein 2025]]</f>
        <v>2600706.465517241</v>
      </c>
      <c r="AR335" s="58">
        <f t="shared" si="271"/>
        <v>0</v>
      </c>
      <c r="AS335" s="58">
        <f t="shared" si="272"/>
        <v>0</v>
      </c>
      <c r="AT335" s="59">
        <f t="shared" si="273"/>
        <v>-1</v>
      </c>
      <c r="AU335" s="59">
        <f t="shared" si="274"/>
        <v>-1</v>
      </c>
      <c r="AV335" s="58">
        <f t="shared" si="275"/>
        <v>5670568.62085634</v>
      </c>
      <c r="AW335" s="58">
        <f t="shared" si="276"/>
        <v>3669449.82457382</v>
      </c>
      <c r="AX335" s="59">
        <f t="shared" si="277"/>
        <v>0</v>
      </c>
      <c r="AY335" s="59">
        <f t="shared" si="278"/>
        <v>0</v>
      </c>
      <c r="AZ335" s="59">
        <f t="shared" si="279"/>
        <v>0</v>
      </c>
      <c r="BA335" s="27">
        <v>6.7083177780143E-2</v>
      </c>
      <c r="BB335" s="27">
        <v>3.3683919623116697E-2</v>
      </c>
      <c r="BC335" s="27"/>
      <c r="BD335" s="27"/>
    </row>
    <row r="336" spans="1:56" ht="14.25" hidden="1" customHeight="1" x14ac:dyDescent="0.35">
      <c r="A336" s="16">
        <v>45990</v>
      </c>
      <c r="B336" s="17">
        <v>71412130</v>
      </c>
      <c r="C336" s="17">
        <f t="shared" si="262"/>
        <v>4932270.6379310349</v>
      </c>
      <c r="D336" s="18">
        <f t="shared" si="260"/>
        <v>2.9279243163800921E-2</v>
      </c>
      <c r="E336" s="17"/>
      <c r="F336" s="19">
        <v>46355</v>
      </c>
      <c r="G336" s="17">
        <f t="shared" si="263"/>
        <v>6636601.8939045798</v>
      </c>
      <c r="H336" s="17">
        <v>3710141.5736314901</v>
      </c>
      <c r="I336" s="17">
        <v>2926460.3202730902</v>
      </c>
      <c r="J336" s="17">
        <v>2657112</v>
      </c>
      <c r="K336" s="17"/>
      <c r="L336" s="17">
        <v>46651.724137931</v>
      </c>
      <c r="M336" s="17"/>
      <c r="N336" s="17">
        <v>33620</v>
      </c>
      <c r="O336" s="17"/>
      <c r="P336" s="17">
        <v>-301</v>
      </c>
      <c r="Q336" s="17"/>
      <c r="R336" s="17">
        <v>121072</v>
      </c>
      <c r="S336" s="17"/>
      <c r="T336" s="17">
        <v>1566964</v>
      </c>
      <c r="U336" s="17"/>
      <c r="V336" s="17">
        <v>376748</v>
      </c>
      <c r="W336" s="17"/>
      <c r="X336" s="17">
        <v>87941</v>
      </c>
      <c r="Y336" s="17"/>
      <c r="Z336" s="17">
        <v>21084</v>
      </c>
      <c r="AA336" s="17"/>
      <c r="AB336" s="17">
        <v>21378.9137931035</v>
      </c>
      <c r="AC336" s="17"/>
      <c r="AD336" s="17">
        <v>0</v>
      </c>
      <c r="AE336" s="17"/>
      <c r="AF336" s="17">
        <f t="shared" si="264"/>
        <v>0</v>
      </c>
      <c r="AG336" s="18">
        <f t="shared" si="265"/>
        <v>0</v>
      </c>
      <c r="AH336" s="17">
        <f t="shared" si="266"/>
        <v>-6636601.8939045798</v>
      </c>
      <c r="AI336" s="20">
        <f t="shared" si="267"/>
        <v>-1</v>
      </c>
      <c r="AJ336" s="20">
        <f t="shared" si="268"/>
        <v>7.0656751132996715E-2</v>
      </c>
      <c r="AK336" s="21" t="e">
        <f t="shared" si="261"/>
        <v>#DIV/0!</v>
      </c>
      <c r="AL336" s="21">
        <f t="shared" si="269"/>
        <v>-1</v>
      </c>
      <c r="AM336" s="31"/>
      <c r="AO336" s="57">
        <f t="shared" si="270"/>
        <v>46355</v>
      </c>
      <c r="AP336" s="6">
        <f>+Tabla22[[#This Row],[Web + APP 2025]]+Tabla22[[#This Row],[Afiliados 2025]]+Tabla22[[#This Row],[TMK 2025]]+Tabla22[[#This Row],[WA 2025]]+Tabla22[[#This Row],[Ent. en Tienda 2025]]</f>
        <v>2858154.7241379311</v>
      </c>
      <c r="AQ336" s="6">
        <f>+Tabla22[[#This Row],[Meli Drop 2025]]+Tabla22[[#This Row],[Meli Full 2025]]+Tabla22[[#This Row],[Amazon Drop 2025]]+Tabla22[[#This Row],[Amazon Full 2025]]+Tabla22[[#This Row],[TikTok 2025]]+Tabla22[[#This Row],[Shein 2025]]</f>
        <v>2074115.9137931035</v>
      </c>
      <c r="AR336" s="58">
        <f t="shared" si="271"/>
        <v>0</v>
      </c>
      <c r="AS336" s="58">
        <f t="shared" si="272"/>
        <v>0</v>
      </c>
      <c r="AT336" s="59">
        <f t="shared" si="273"/>
        <v>-1</v>
      </c>
      <c r="AU336" s="59">
        <f t="shared" si="274"/>
        <v>-1</v>
      </c>
      <c r="AV336" s="58">
        <f t="shared" si="275"/>
        <v>3710141.5736314901</v>
      </c>
      <c r="AW336" s="58">
        <f t="shared" si="276"/>
        <v>2926460.3202730902</v>
      </c>
      <c r="AX336" s="59">
        <f t="shared" si="277"/>
        <v>0</v>
      </c>
      <c r="AY336" s="59">
        <f t="shared" si="278"/>
        <v>0</v>
      </c>
      <c r="AZ336" s="59">
        <f t="shared" si="279"/>
        <v>0</v>
      </c>
      <c r="BA336" s="27">
        <v>5.3500188670440402E-2</v>
      </c>
      <c r="BB336" s="27">
        <v>2.2038726433349198E-2</v>
      </c>
      <c r="BC336" s="27"/>
      <c r="BD336" s="27"/>
    </row>
    <row r="337" spans="1:56" ht="14.25" hidden="1" customHeight="1" x14ac:dyDescent="0.35">
      <c r="A337" s="19">
        <v>45991</v>
      </c>
      <c r="B337" s="17">
        <v>76776183</v>
      </c>
      <c r="C337" s="17">
        <f t="shared" si="262"/>
        <v>5424755.6551724132</v>
      </c>
      <c r="D337" s="18">
        <f t="shared" si="260"/>
        <v>3.2202762498576856E-2</v>
      </c>
      <c r="E337" s="17"/>
      <c r="F337" s="19">
        <v>46356</v>
      </c>
      <c r="G337" s="17">
        <f t="shared" si="263"/>
        <v>7227302.4975645505</v>
      </c>
      <c r="H337" s="17">
        <v>4908324.4997209003</v>
      </c>
      <c r="I337" s="17">
        <v>2318977.9978436502</v>
      </c>
      <c r="J337" s="17">
        <v>3541686</v>
      </c>
      <c r="K337" s="17"/>
      <c r="L337" s="17">
        <v>50855.172413793101</v>
      </c>
      <c r="M337" s="17"/>
      <c r="N337" s="17">
        <v>-6179</v>
      </c>
      <c r="O337" s="17"/>
      <c r="P337" s="17">
        <v>2597</v>
      </c>
      <c r="Q337" s="17"/>
      <c r="R337" s="17">
        <v>192231</v>
      </c>
      <c r="S337" s="17"/>
      <c r="T337" s="17">
        <v>1294466</v>
      </c>
      <c r="U337" s="17"/>
      <c r="V337" s="17">
        <v>250269</v>
      </c>
      <c r="W337" s="17"/>
      <c r="X337" s="17">
        <v>68872</v>
      </c>
      <c r="Y337" s="17"/>
      <c r="Z337" s="17">
        <v>26453</v>
      </c>
      <c r="AA337" s="17"/>
      <c r="AB337" s="17">
        <v>2816.6896551724099</v>
      </c>
      <c r="AC337" s="17"/>
      <c r="AD337" s="17">
        <v>688.79310344827604</v>
      </c>
      <c r="AE337" s="17"/>
      <c r="AF337" s="17">
        <f t="shared" si="264"/>
        <v>0</v>
      </c>
      <c r="AG337" s="18">
        <f t="shared" si="265"/>
        <v>0</v>
      </c>
      <c r="AH337" s="17">
        <f t="shared" si="266"/>
        <v>-7227302.4975645505</v>
      </c>
      <c r="AI337" s="20">
        <f t="shared" si="267"/>
        <v>-1</v>
      </c>
      <c r="AJ337" s="20">
        <f t="shared" si="268"/>
        <v>0.15851760098190079</v>
      </c>
      <c r="AK337" s="21" t="e">
        <f t="shared" si="261"/>
        <v>#DIV/0!</v>
      </c>
      <c r="AL337" s="21">
        <f t="shared" si="269"/>
        <v>-1</v>
      </c>
      <c r="AM337" s="31"/>
      <c r="AO337" s="57">
        <f t="shared" si="270"/>
        <v>46356</v>
      </c>
      <c r="AP337" s="6">
        <f>+Tabla22[[#This Row],[Web + APP 2025]]+Tabla22[[#This Row],[Afiliados 2025]]+Tabla22[[#This Row],[TMK 2025]]+Tabla22[[#This Row],[WA 2025]]+Tabla22[[#This Row],[Ent. en Tienda 2025]]</f>
        <v>3781190.1724137929</v>
      </c>
      <c r="AQ337" s="6">
        <f>+Tabla22[[#This Row],[Meli Drop 2025]]+Tabla22[[#This Row],[Meli Full 2025]]+Tabla22[[#This Row],[Amazon Drop 2025]]+Tabla22[[#This Row],[Amazon Full 2025]]+Tabla22[[#This Row],[TikTok 2025]]+Tabla22[[#This Row],[Shein 2025]]</f>
        <v>1643565.4827586208</v>
      </c>
      <c r="AR337" s="58">
        <f t="shared" si="271"/>
        <v>0</v>
      </c>
      <c r="AS337" s="58">
        <f t="shared" si="272"/>
        <v>0</v>
      </c>
      <c r="AT337" s="59">
        <f t="shared" si="273"/>
        <v>-1</v>
      </c>
      <c r="AU337" s="59">
        <f t="shared" si="274"/>
        <v>-1</v>
      </c>
      <c r="AV337" s="58">
        <f t="shared" si="275"/>
        <v>4908324.4997209003</v>
      </c>
      <c r="AW337" s="58">
        <f t="shared" si="276"/>
        <v>2318977.9978436502</v>
      </c>
      <c r="AX337" s="59">
        <f t="shared" si="277"/>
        <v>0</v>
      </c>
      <c r="AY337" s="59">
        <f t="shared" si="278"/>
        <v>0</v>
      </c>
      <c r="AZ337" s="59">
        <f t="shared" si="279"/>
        <v>0</v>
      </c>
      <c r="BA337" s="27">
        <v>4.2394478936812599E-2</v>
      </c>
      <c r="BB337" s="27">
        <v>2.9156089801062299E-2</v>
      </c>
      <c r="BC337" s="27"/>
      <c r="BD337" s="27"/>
    </row>
    <row r="338" spans="1:56" ht="14.25" hidden="1" customHeight="1" x14ac:dyDescent="0.35">
      <c r="A338" s="16">
        <v>45992</v>
      </c>
      <c r="B338" s="17">
        <v>44076818</v>
      </c>
      <c r="C338" s="17">
        <f t="shared" si="262"/>
        <v>6986951.4482758623</v>
      </c>
      <c r="D338" s="18">
        <f t="shared" ref="D338:D368" si="280">+C338/(SUM($C$338:$C$368))</f>
        <v>3.718505903657026E-2</v>
      </c>
      <c r="E338" s="17"/>
      <c r="F338" s="19">
        <v>46357</v>
      </c>
      <c r="G338" s="17">
        <f t="shared" si="263"/>
        <v>9106665.4773930795</v>
      </c>
      <c r="H338" s="17">
        <v>6659548.1180451997</v>
      </c>
      <c r="I338" s="17">
        <v>2447117.3593478799</v>
      </c>
      <c r="J338" s="17">
        <v>4957610</v>
      </c>
      <c r="K338" s="17"/>
      <c r="L338" s="17">
        <v>38026.724137931</v>
      </c>
      <c r="M338" s="17"/>
      <c r="N338" s="17">
        <v>2176</v>
      </c>
      <c r="O338" s="17"/>
      <c r="P338" s="17">
        <v>2708</v>
      </c>
      <c r="Q338" s="17"/>
      <c r="R338" s="17">
        <v>131176</v>
      </c>
      <c r="S338" s="17"/>
      <c r="T338" s="17">
        <v>1425540</v>
      </c>
      <c r="U338" s="17"/>
      <c r="V338" s="17">
        <v>251615</v>
      </c>
      <c r="W338" s="17"/>
      <c r="X338" s="17">
        <v>71926</v>
      </c>
      <c r="Y338" s="17"/>
      <c r="Z338" s="17">
        <v>87429</v>
      </c>
      <c r="AA338" s="17"/>
      <c r="AB338" s="17">
        <v>17280.931034482801</v>
      </c>
      <c r="AC338" s="17"/>
      <c r="AD338" s="17">
        <v>1463.7931034482799</v>
      </c>
      <c r="AE338" s="17"/>
      <c r="AF338" s="17">
        <f t="shared" si="264"/>
        <v>0</v>
      </c>
      <c r="AG338" s="18">
        <f t="shared" si="265"/>
        <v>0</v>
      </c>
      <c r="AH338" s="17">
        <f t="shared" si="266"/>
        <v>-9106665.4773930795</v>
      </c>
      <c r="AI338" s="20">
        <f t="shared" si="267"/>
        <v>-1</v>
      </c>
      <c r="AJ338" s="20">
        <f t="shared" si="268"/>
        <v>0.15767581007759246</v>
      </c>
      <c r="AK338" s="21" t="e">
        <f t="shared" si="261"/>
        <v>#DIV/0!</v>
      </c>
      <c r="AL338" s="21">
        <f t="shared" si="269"/>
        <v>-1</v>
      </c>
      <c r="AM338" s="31"/>
      <c r="AO338" s="60">
        <f t="shared" si="270"/>
        <v>46357</v>
      </c>
      <c r="AP338" s="6">
        <f>+Tabla22[[#This Row],[Web + APP 2025]]+Tabla22[[#This Row],[Afiliados 2025]]+Tabla22[[#This Row],[TMK 2025]]+Tabla22[[#This Row],[WA 2025]]+Tabla22[[#This Row],[Ent. en Tienda 2025]]</f>
        <v>5131696.7241379311</v>
      </c>
      <c r="AQ338" s="6">
        <f>+Tabla22[[#This Row],[Meli Drop 2025]]+Tabla22[[#This Row],[Meli Full 2025]]+Tabla22[[#This Row],[Amazon Drop 2025]]+Tabla22[[#This Row],[Amazon Full 2025]]+Tabla22[[#This Row],[TikTok 2025]]+Tabla22[[#This Row],[Shein 2025]]</f>
        <v>1855254.7241379311</v>
      </c>
      <c r="AR338" s="58">
        <f t="shared" si="271"/>
        <v>0</v>
      </c>
      <c r="AS338" s="58">
        <f t="shared" si="272"/>
        <v>0</v>
      </c>
      <c r="AT338" s="59">
        <f t="shared" si="273"/>
        <v>-1</v>
      </c>
      <c r="AU338" s="59">
        <f t="shared" si="274"/>
        <v>-1</v>
      </c>
      <c r="AV338" s="58">
        <f t="shared" si="275"/>
        <v>6659548.1180451997</v>
      </c>
      <c r="AW338" s="58">
        <f t="shared" si="276"/>
        <v>2447117.3593478799</v>
      </c>
      <c r="AX338" s="59">
        <f t="shared" si="277"/>
        <v>0</v>
      </c>
      <c r="AY338" s="59">
        <f t="shared" si="278"/>
        <v>0</v>
      </c>
      <c r="AZ338" s="59">
        <f t="shared" si="279"/>
        <v>0</v>
      </c>
      <c r="BA338" s="27">
        <v>3.1780744926595897E-2</v>
      </c>
      <c r="BB338" s="27">
        <v>3.96208670185123E-2</v>
      </c>
      <c r="BC338" s="27"/>
      <c r="BD338" s="27"/>
    </row>
    <row r="339" spans="1:56" ht="14.25" hidden="1" customHeight="1" x14ac:dyDescent="0.35">
      <c r="A339" s="19">
        <v>45993</v>
      </c>
      <c r="B339" s="17">
        <v>48777721</v>
      </c>
      <c r="C339" s="17">
        <f t="shared" si="262"/>
        <v>7691066.6724137934</v>
      </c>
      <c r="D339" s="18">
        <f t="shared" si="280"/>
        <v>4.0932410992848389E-2</v>
      </c>
      <c r="E339" s="17"/>
      <c r="F339" s="19">
        <v>46358</v>
      </c>
      <c r="G339" s="17">
        <f t="shared" si="263"/>
        <v>10021756.19968288</v>
      </c>
      <c r="H339" s="17">
        <v>7491595.7081994703</v>
      </c>
      <c r="I339" s="17">
        <v>2530160.4914834099</v>
      </c>
      <c r="J339" s="17">
        <v>5378786</v>
      </c>
      <c r="K339" s="17"/>
      <c r="L339" s="17">
        <v>44301.724137931</v>
      </c>
      <c r="M339" s="17"/>
      <c r="N339" s="17">
        <v>199752</v>
      </c>
      <c r="O339" s="17"/>
      <c r="P339" s="17">
        <v>8853</v>
      </c>
      <c r="Q339" s="17"/>
      <c r="R339" s="17">
        <v>141161</v>
      </c>
      <c r="S339" s="17"/>
      <c r="T339" s="17">
        <v>1473812</v>
      </c>
      <c r="U339" s="17"/>
      <c r="V339" s="17">
        <v>201559</v>
      </c>
      <c r="W339" s="17"/>
      <c r="X339" s="17">
        <v>90442</v>
      </c>
      <c r="Y339" s="17"/>
      <c r="Z339" s="17">
        <v>143542</v>
      </c>
      <c r="AA339" s="17"/>
      <c r="AB339" s="17">
        <v>7307.9482758620697</v>
      </c>
      <c r="AC339" s="17"/>
      <c r="AD339" s="17">
        <v>1550</v>
      </c>
      <c r="AE339" s="17"/>
      <c r="AF339" s="17">
        <f t="shared" si="264"/>
        <v>0</v>
      </c>
      <c r="AG339" s="18">
        <f t="shared" si="265"/>
        <v>0</v>
      </c>
      <c r="AH339" s="17">
        <f t="shared" si="266"/>
        <v>-10021756.19968288</v>
      </c>
      <c r="AI339" s="20">
        <f t="shared" si="267"/>
        <v>-1</v>
      </c>
      <c r="AJ339" s="20">
        <f t="shared" si="268"/>
        <v>0.12371209374293493</v>
      </c>
      <c r="AK339" s="21" t="e">
        <f t="shared" si="261"/>
        <v>#DIV/0!</v>
      </c>
      <c r="AL339" s="21">
        <f t="shared" si="269"/>
        <v>-1</v>
      </c>
      <c r="AM339" s="31"/>
      <c r="AO339" s="57">
        <f t="shared" si="270"/>
        <v>46358</v>
      </c>
      <c r="AP339" s="6">
        <f>+Tabla22[[#This Row],[Web + APP 2025]]+Tabla22[[#This Row],[Afiliados 2025]]+Tabla22[[#This Row],[TMK 2025]]+Tabla22[[#This Row],[WA 2025]]+Tabla22[[#This Row],[Ent. en Tienda 2025]]</f>
        <v>5772853.7241379311</v>
      </c>
      <c r="AQ339" s="6">
        <f>+Tabla22[[#This Row],[Meli Drop 2025]]+Tabla22[[#This Row],[Meli Full 2025]]+Tabla22[[#This Row],[Amazon Drop 2025]]+Tabla22[[#This Row],[Amazon Full 2025]]+Tabla22[[#This Row],[TikTok 2025]]+Tabla22[[#This Row],[Shein 2025]]</f>
        <v>1918212.948275862</v>
      </c>
      <c r="AR339" s="58">
        <f t="shared" si="271"/>
        <v>0</v>
      </c>
      <c r="AS339" s="58">
        <f t="shared" si="272"/>
        <v>0</v>
      </c>
      <c r="AT339" s="59">
        <f t="shared" si="273"/>
        <v>-1</v>
      </c>
      <c r="AU339" s="59">
        <f t="shared" si="274"/>
        <v>-1</v>
      </c>
      <c r="AV339" s="58">
        <f t="shared" si="275"/>
        <v>7491595.7081994703</v>
      </c>
      <c r="AW339" s="58">
        <f t="shared" si="276"/>
        <v>2530160.4914834099</v>
      </c>
      <c r="AX339" s="59">
        <f t="shared" si="277"/>
        <v>0</v>
      </c>
      <c r="AY339" s="59">
        <f t="shared" si="278"/>
        <v>0</v>
      </c>
      <c r="AZ339" s="59">
        <f t="shared" si="279"/>
        <v>0</v>
      </c>
      <c r="BA339" s="27">
        <v>3.2859227162122202E-2</v>
      </c>
      <c r="BB339" s="27">
        <v>4.4571119849218299E-2</v>
      </c>
      <c r="BC339" s="27"/>
      <c r="BD339" s="27"/>
    </row>
    <row r="340" spans="1:56" ht="14.25" hidden="1" customHeight="1" x14ac:dyDescent="0.35">
      <c r="A340" s="16">
        <v>45994</v>
      </c>
      <c r="B340" s="17">
        <v>53214752</v>
      </c>
      <c r="C340" s="17">
        <f t="shared" si="262"/>
        <v>6583308.387931034</v>
      </c>
      <c r="D340" s="18">
        <f t="shared" si="280"/>
        <v>3.5036841585835268E-2</v>
      </c>
      <c r="E340" s="17"/>
      <c r="F340" s="19">
        <v>46359</v>
      </c>
      <c r="G340" s="17">
        <f t="shared" si="263"/>
        <v>8581631.7941627502</v>
      </c>
      <c r="H340" s="17">
        <v>6209763.7643569903</v>
      </c>
      <c r="I340" s="17">
        <v>2371868.0298057599</v>
      </c>
      <c r="J340" s="17">
        <v>4538987</v>
      </c>
      <c r="K340" s="17"/>
      <c r="L340" s="17">
        <v>41768.103448275899</v>
      </c>
      <c r="M340" s="17"/>
      <c r="N340" s="17">
        <v>-1295</v>
      </c>
      <c r="O340" s="17"/>
      <c r="P340" s="17">
        <v>7445</v>
      </c>
      <c r="Q340" s="17"/>
      <c r="R340" s="17">
        <v>198198</v>
      </c>
      <c r="S340" s="17"/>
      <c r="T340" s="17">
        <v>1463021</v>
      </c>
      <c r="U340" s="17"/>
      <c r="V340" s="17">
        <v>179885</v>
      </c>
      <c r="W340" s="17"/>
      <c r="X340" s="17">
        <v>54687</v>
      </c>
      <c r="Y340" s="17"/>
      <c r="Z340" s="17">
        <v>79303</v>
      </c>
      <c r="AA340" s="17"/>
      <c r="AB340" s="17">
        <v>19759.284482758601</v>
      </c>
      <c r="AC340" s="17"/>
      <c r="AD340" s="17">
        <v>1550</v>
      </c>
      <c r="AE340" s="17"/>
      <c r="AF340" s="17">
        <f t="shared" si="264"/>
        <v>0</v>
      </c>
      <c r="AG340" s="18">
        <f t="shared" si="265"/>
        <v>0</v>
      </c>
      <c r="AH340" s="17">
        <f t="shared" si="266"/>
        <v>-8581631.7941627502</v>
      </c>
      <c r="AI340" s="20">
        <f t="shared" si="267"/>
        <v>-1</v>
      </c>
      <c r="AJ340" s="20">
        <f t="shared" si="268"/>
        <v>0.110556972094325</v>
      </c>
      <c r="AK340" s="21" t="e">
        <f t="shared" si="261"/>
        <v>#DIV/0!</v>
      </c>
      <c r="AL340" s="21">
        <f t="shared" si="269"/>
        <v>-1</v>
      </c>
      <c r="AM340" s="31"/>
      <c r="AO340" s="57">
        <f t="shared" si="270"/>
        <v>46359</v>
      </c>
      <c r="AP340" s="6">
        <f>+Tabla22[[#This Row],[Web + APP 2025]]+Tabla22[[#This Row],[Afiliados 2025]]+Tabla22[[#This Row],[TMK 2025]]+Tabla22[[#This Row],[WA 2025]]+Tabla22[[#This Row],[Ent. en Tienda 2025]]</f>
        <v>4785103.1034482755</v>
      </c>
      <c r="AQ340" s="6">
        <f>+Tabla22[[#This Row],[Meli Drop 2025]]+Tabla22[[#This Row],[Meli Full 2025]]+Tabla22[[#This Row],[Amazon Drop 2025]]+Tabla22[[#This Row],[Amazon Full 2025]]+Tabla22[[#This Row],[TikTok 2025]]+Tabla22[[#This Row],[Shein 2025]]</f>
        <v>1798205.2844827585</v>
      </c>
      <c r="AR340" s="58">
        <f t="shared" si="271"/>
        <v>0</v>
      </c>
      <c r="AS340" s="58">
        <f t="shared" si="272"/>
        <v>0</v>
      </c>
      <c r="AT340" s="59">
        <f t="shared" si="273"/>
        <v>-1</v>
      </c>
      <c r="AU340" s="59">
        <f t="shared" si="274"/>
        <v>-1</v>
      </c>
      <c r="AV340" s="58">
        <f t="shared" si="275"/>
        <v>6209763.7643569903</v>
      </c>
      <c r="AW340" s="58">
        <f t="shared" si="276"/>
        <v>2371868.0298057599</v>
      </c>
      <c r="AX340" s="59">
        <f t="shared" si="277"/>
        <v>0</v>
      </c>
      <c r="AY340" s="59">
        <f t="shared" si="278"/>
        <v>0</v>
      </c>
      <c r="AZ340" s="59">
        <f t="shared" si="279"/>
        <v>0</v>
      </c>
      <c r="BA340" s="27">
        <v>3.0803480906568301E-2</v>
      </c>
      <c r="BB340" s="27">
        <v>3.6944882740209802E-2</v>
      </c>
      <c r="BC340" s="27"/>
      <c r="BD340" s="27"/>
    </row>
    <row r="341" spans="1:56" ht="14.25" hidden="1" customHeight="1" x14ac:dyDescent="0.35">
      <c r="A341" s="19">
        <v>45995</v>
      </c>
      <c r="B341" s="17">
        <v>60436653</v>
      </c>
      <c r="C341" s="17">
        <f t="shared" si="262"/>
        <v>6681693.3591954028</v>
      </c>
      <c r="D341" s="18">
        <f t="shared" si="280"/>
        <v>3.5560453491808884E-2</v>
      </c>
      <c r="E341" s="17"/>
      <c r="F341" s="19">
        <v>46360</v>
      </c>
      <c r="G341" s="17">
        <f t="shared" si="263"/>
        <v>8720531.61314697</v>
      </c>
      <c r="H341" s="17">
        <v>5653395.1349199796</v>
      </c>
      <c r="I341" s="17">
        <v>3067136.47822699</v>
      </c>
      <c r="J341" s="17">
        <v>3922857</v>
      </c>
      <c r="K341" s="17"/>
      <c r="L341" s="17">
        <v>43610.057471264401</v>
      </c>
      <c r="M341" s="17"/>
      <c r="N341" s="17">
        <v>173906</v>
      </c>
      <c r="O341" s="17"/>
      <c r="P341" s="17">
        <v>5606</v>
      </c>
      <c r="Q341" s="17"/>
      <c r="R341" s="17">
        <v>210399</v>
      </c>
      <c r="S341" s="17"/>
      <c r="T341" s="17">
        <v>1926958</v>
      </c>
      <c r="U341" s="17"/>
      <c r="V341" s="17">
        <v>174968</v>
      </c>
      <c r="W341" s="17"/>
      <c r="X341" s="17">
        <v>92776</v>
      </c>
      <c r="Y341" s="17"/>
      <c r="Z341" s="17">
        <v>116168</v>
      </c>
      <c r="AA341" s="17"/>
      <c r="AB341" s="17">
        <v>13497.8879310345</v>
      </c>
      <c r="AC341" s="17"/>
      <c r="AD341" s="17">
        <v>947.41379310344803</v>
      </c>
      <c r="AE341" s="17"/>
      <c r="AF341" s="17">
        <f t="shared" si="264"/>
        <v>0</v>
      </c>
      <c r="AG341" s="18">
        <f t="shared" si="265"/>
        <v>0</v>
      </c>
      <c r="AH341" s="17">
        <f t="shared" si="266"/>
        <v>-8720531.61314697</v>
      </c>
      <c r="AI341" s="20">
        <f t="shared" si="267"/>
        <v>-1</v>
      </c>
      <c r="AJ341" s="20">
        <f t="shared" si="268"/>
        <v>9.1394059989951412E-2</v>
      </c>
      <c r="AK341" s="21" t="e">
        <f t="shared" si="261"/>
        <v>#DIV/0!</v>
      </c>
      <c r="AL341" s="21">
        <f t="shared" si="269"/>
        <v>-1</v>
      </c>
      <c r="AM341" s="31"/>
      <c r="AO341" s="57">
        <f t="shared" si="270"/>
        <v>46360</v>
      </c>
      <c r="AP341" s="6">
        <f>+Tabla22[[#This Row],[Web + APP 2025]]+Tabla22[[#This Row],[Afiliados 2025]]+Tabla22[[#This Row],[TMK 2025]]+Tabla22[[#This Row],[WA 2025]]+Tabla22[[#This Row],[Ent. en Tienda 2025]]</f>
        <v>4356378.0574712642</v>
      </c>
      <c r="AQ341" s="6">
        <f>+Tabla22[[#This Row],[Meli Drop 2025]]+Tabla22[[#This Row],[Meli Full 2025]]+Tabla22[[#This Row],[Amazon Drop 2025]]+Tabla22[[#This Row],[Amazon Full 2025]]+Tabla22[[#This Row],[TikTok 2025]]+Tabla22[[#This Row],[Shein 2025]]</f>
        <v>2325315.3017241377</v>
      </c>
      <c r="AR341" s="58">
        <f t="shared" si="271"/>
        <v>0</v>
      </c>
      <c r="AS341" s="58">
        <f t="shared" si="272"/>
        <v>0</v>
      </c>
      <c r="AT341" s="59">
        <f t="shared" si="273"/>
        <v>-1</v>
      </c>
      <c r="AU341" s="59">
        <f t="shared" si="274"/>
        <v>-1</v>
      </c>
      <c r="AV341" s="58">
        <f t="shared" si="275"/>
        <v>5653395.1349199796</v>
      </c>
      <c r="AW341" s="58">
        <f t="shared" si="276"/>
        <v>3067136.47822699</v>
      </c>
      <c r="AX341" s="59">
        <f t="shared" si="277"/>
        <v>0</v>
      </c>
      <c r="AY341" s="59">
        <f t="shared" si="278"/>
        <v>0</v>
      </c>
      <c r="AZ341" s="59">
        <f t="shared" si="279"/>
        <v>0</v>
      </c>
      <c r="BA341" s="27">
        <v>3.9832941275675202E-2</v>
      </c>
      <c r="BB341" s="27">
        <v>3.3634777146038297E-2</v>
      </c>
      <c r="BC341" s="27"/>
      <c r="BD341" s="27"/>
    </row>
    <row r="342" spans="1:56" ht="14.25" hidden="1" customHeight="1" x14ac:dyDescent="0.35">
      <c r="A342" s="16">
        <v>45996</v>
      </c>
      <c r="B342" s="17">
        <v>60693345</v>
      </c>
      <c r="C342" s="17">
        <f t="shared" si="262"/>
        <v>5547011.2139208177</v>
      </c>
      <c r="D342" s="18">
        <f t="shared" si="280"/>
        <v>2.95215933577243E-2</v>
      </c>
      <c r="E342" s="17"/>
      <c r="F342" s="19">
        <v>46361</v>
      </c>
      <c r="G342" s="17">
        <f t="shared" si="263"/>
        <v>7240010.9238516204</v>
      </c>
      <c r="H342" s="17">
        <v>4669198.65739433</v>
      </c>
      <c r="I342" s="17">
        <v>2570812.2664572899</v>
      </c>
      <c r="J342" s="17">
        <v>3411915</v>
      </c>
      <c r="K342" s="17"/>
      <c r="L342" s="17">
        <v>50703.575989782898</v>
      </c>
      <c r="M342" s="17"/>
      <c r="N342" s="17">
        <v>-24113</v>
      </c>
      <c r="O342" s="17"/>
      <c r="P342" s="17">
        <v>-438</v>
      </c>
      <c r="Q342" s="17"/>
      <c r="R342" s="17">
        <v>159911</v>
      </c>
      <c r="S342" s="17"/>
      <c r="T342" s="17">
        <v>1631283</v>
      </c>
      <c r="U342" s="17"/>
      <c r="V342" s="17">
        <v>157380</v>
      </c>
      <c r="W342" s="17"/>
      <c r="X342" s="17">
        <v>62080</v>
      </c>
      <c r="Y342" s="17"/>
      <c r="Z342" s="17">
        <v>82359</v>
      </c>
      <c r="AA342" s="17"/>
      <c r="AB342" s="17">
        <v>14983.224137931</v>
      </c>
      <c r="AC342" s="17"/>
      <c r="AD342" s="17">
        <v>947.41379310344803</v>
      </c>
      <c r="AE342" s="17"/>
      <c r="AF342" s="17">
        <f t="shared" si="264"/>
        <v>0</v>
      </c>
      <c r="AG342" s="18">
        <f t="shared" si="265"/>
        <v>0</v>
      </c>
      <c r="AH342" s="17">
        <f t="shared" si="266"/>
        <v>-7240010.9238516204</v>
      </c>
      <c r="AI342" s="20">
        <f t="shared" si="267"/>
        <v>-1</v>
      </c>
      <c r="AJ342" s="20">
        <f t="shared" si="268"/>
        <v>6.5983539802911148E-2</v>
      </c>
      <c r="AK342" s="21" t="e">
        <f t="shared" si="261"/>
        <v>#DIV/0!</v>
      </c>
      <c r="AL342" s="21">
        <f t="shared" si="269"/>
        <v>-1</v>
      </c>
      <c r="AM342" s="31"/>
      <c r="AO342" s="57">
        <f t="shared" si="270"/>
        <v>46361</v>
      </c>
      <c r="AP342" s="6">
        <f>+Tabla22[[#This Row],[Web + APP 2025]]+Tabla22[[#This Row],[Afiliados 2025]]+Tabla22[[#This Row],[TMK 2025]]+Tabla22[[#This Row],[WA 2025]]+Tabla22[[#This Row],[Ent. en Tienda 2025]]</f>
        <v>3597978.5759897828</v>
      </c>
      <c r="AQ342" s="6">
        <f>+Tabla22[[#This Row],[Meli Drop 2025]]+Tabla22[[#This Row],[Meli Full 2025]]+Tabla22[[#This Row],[Amazon Drop 2025]]+Tabla22[[#This Row],[Amazon Full 2025]]+Tabla22[[#This Row],[TikTok 2025]]+Tabla22[[#This Row],[Shein 2025]]</f>
        <v>1949032.6379310344</v>
      </c>
      <c r="AR342" s="58">
        <f t="shared" si="271"/>
        <v>0</v>
      </c>
      <c r="AS342" s="58">
        <f t="shared" si="272"/>
        <v>0</v>
      </c>
      <c r="AT342" s="59">
        <f t="shared" si="273"/>
        <v>-1</v>
      </c>
      <c r="AU342" s="59">
        <f t="shared" si="274"/>
        <v>-1</v>
      </c>
      <c r="AV342" s="58">
        <f t="shared" si="275"/>
        <v>4669198.65739433</v>
      </c>
      <c r="AW342" s="58">
        <f t="shared" si="276"/>
        <v>2570812.2664572899</v>
      </c>
      <c r="AX342" s="59">
        <f t="shared" si="277"/>
        <v>0</v>
      </c>
      <c r="AY342" s="59">
        <f t="shared" si="278"/>
        <v>0</v>
      </c>
      <c r="AZ342" s="59">
        <f t="shared" si="279"/>
        <v>0</v>
      </c>
      <c r="BA342" s="27">
        <v>3.3387172291653201E-2</v>
      </c>
      <c r="BB342" s="27">
        <v>2.7779317126090601E-2</v>
      </c>
      <c r="BC342" s="27"/>
      <c r="BD342" s="27"/>
    </row>
    <row r="343" spans="1:56" ht="14.25" hidden="1" customHeight="1" x14ac:dyDescent="0.35">
      <c r="A343" s="19">
        <v>45997</v>
      </c>
      <c r="B343" s="17">
        <v>79744108</v>
      </c>
      <c r="C343" s="17">
        <f t="shared" si="262"/>
        <v>5261798.5242656451</v>
      </c>
      <c r="D343" s="18">
        <f t="shared" si="280"/>
        <v>2.800367087302982E-2</v>
      </c>
      <c r="E343" s="17"/>
      <c r="F343" s="19">
        <v>46362</v>
      </c>
      <c r="G343" s="17">
        <f t="shared" si="263"/>
        <v>6871184.3849720396</v>
      </c>
      <c r="H343" s="17">
        <v>4219709.1117787901</v>
      </c>
      <c r="I343" s="17">
        <v>2651475.2731932499</v>
      </c>
      <c r="J343" s="17">
        <v>3024346</v>
      </c>
      <c r="K343" s="17"/>
      <c r="L343" s="17">
        <v>56625.127713920803</v>
      </c>
      <c r="M343" s="17"/>
      <c r="N343" s="17">
        <v>72012</v>
      </c>
      <c r="O343" s="17"/>
      <c r="P343" s="17">
        <v>2160</v>
      </c>
      <c r="Q343" s="17"/>
      <c r="R343" s="17">
        <v>96469</v>
      </c>
      <c r="S343" s="17"/>
      <c r="T343" s="17">
        <v>1700937</v>
      </c>
      <c r="U343" s="17"/>
      <c r="V343" s="17">
        <v>135278</v>
      </c>
      <c r="W343" s="17"/>
      <c r="X343" s="17">
        <v>74970</v>
      </c>
      <c r="Y343" s="17"/>
      <c r="Z343" s="17">
        <v>95661</v>
      </c>
      <c r="AA343" s="17"/>
      <c r="AB343" s="17">
        <v>3340.39655172414</v>
      </c>
      <c r="AC343" s="17"/>
      <c r="AD343" s="17">
        <v>0</v>
      </c>
      <c r="AE343" s="17"/>
      <c r="AF343" s="17">
        <f t="shared" si="264"/>
        <v>0</v>
      </c>
      <c r="AG343" s="18">
        <f t="shared" si="265"/>
        <v>0</v>
      </c>
      <c r="AH343" s="17">
        <f t="shared" si="266"/>
        <v>-6871184.3849720396</v>
      </c>
      <c r="AI343" s="20">
        <f t="shared" si="267"/>
        <v>-1</v>
      </c>
      <c r="AJ343" s="20">
        <f t="shared" si="268"/>
        <v>7.0008407482111942E-2</v>
      </c>
      <c r="AK343" s="21" t="e">
        <f t="shared" si="261"/>
        <v>#DIV/0!</v>
      </c>
      <c r="AL343" s="21">
        <f t="shared" si="269"/>
        <v>-1</v>
      </c>
      <c r="AM343" s="31"/>
      <c r="AO343" s="60">
        <f t="shared" si="270"/>
        <v>46362</v>
      </c>
      <c r="AP343" s="6">
        <f>+Tabla22[[#This Row],[Web + APP 2025]]+Tabla22[[#This Row],[Afiliados 2025]]+Tabla22[[#This Row],[TMK 2025]]+Tabla22[[#This Row],[WA 2025]]+Tabla22[[#This Row],[Ent. en Tienda 2025]]</f>
        <v>3251612.127713921</v>
      </c>
      <c r="AQ343" s="6">
        <f>+Tabla22[[#This Row],[Meli Drop 2025]]+Tabla22[[#This Row],[Meli Full 2025]]+Tabla22[[#This Row],[Amazon Drop 2025]]+Tabla22[[#This Row],[Amazon Full 2025]]+Tabla22[[#This Row],[TikTok 2025]]+Tabla22[[#This Row],[Shein 2025]]</f>
        <v>2010186.3965517241</v>
      </c>
      <c r="AR343" s="58">
        <f t="shared" si="271"/>
        <v>0</v>
      </c>
      <c r="AS343" s="58">
        <f t="shared" si="272"/>
        <v>0</v>
      </c>
      <c r="AT343" s="59">
        <f t="shared" si="273"/>
        <v>-1</v>
      </c>
      <c r="AU343" s="59">
        <f t="shared" si="274"/>
        <v>-1</v>
      </c>
      <c r="AV343" s="58">
        <f t="shared" si="275"/>
        <v>4219709.1117787901</v>
      </c>
      <c r="AW343" s="58">
        <f t="shared" si="276"/>
        <v>2651475.2731932499</v>
      </c>
      <c r="AX343" s="59">
        <f t="shared" si="277"/>
        <v>0</v>
      </c>
      <c r="AY343" s="59">
        <f t="shared" si="278"/>
        <v>0</v>
      </c>
      <c r="AZ343" s="59">
        <f t="shared" si="279"/>
        <v>0</v>
      </c>
      <c r="BA343" s="27">
        <v>3.4434743807704601E-2</v>
      </c>
      <c r="BB343" s="27">
        <v>2.51050868033472E-2</v>
      </c>
      <c r="BC343" s="27"/>
      <c r="BD343" s="27"/>
    </row>
    <row r="344" spans="1:56" ht="14.25" hidden="1" customHeight="1" x14ac:dyDescent="0.35">
      <c r="A344" s="16">
        <v>45998</v>
      </c>
      <c r="B344" s="17">
        <v>90362378</v>
      </c>
      <c r="C344" s="17">
        <f t="shared" si="262"/>
        <v>6326126.180076628</v>
      </c>
      <c r="D344" s="18">
        <f t="shared" si="280"/>
        <v>3.3668099344956882E-2</v>
      </c>
      <c r="E344" s="17"/>
      <c r="F344" s="19">
        <v>46363</v>
      </c>
      <c r="G344" s="17">
        <f t="shared" si="263"/>
        <v>8260183.3157518897</v>
      </c>
      <c r="H344" s="17">
        <v>5126059.2782656197</v>
      </c>
      <c r="I344" s="17">
        <v>3134124.0374862701</v>
      </c>
      <c r="J344" s="17">
        <v>3620613</v>
      </c>
      <c r="K344" s="17"/>
      <c r="L344" s="17">
        <v>54843.007662835204</v>
      </c>
      <c r="M344" s="17"/>
      <c r="N344" s="17">
        <v>85835</v>
      </c>
      <c r="O344" s="17"/>
      <c r="P344" s="17">
        <v>2936</v>
      </c>
      <c r="Q344" s="17"/>
      <c r="R344" s="17">
        <v>185798</v>
      </c>
      <c r="S344" s="17"/>
      <c r="T344" s="17">
        <v>1934319</v>
      </c>
      <c r="U344" s="17"/>
      <c r="V344" s="17">
        <v>233864</v>
      </c>
      <c r="W344" s="17"/>
      <c r="X344" s="17">
        <v>92460</v>
      </c>
      <c r="Y344" s="17"/>
      <c r="Z344" s="17">
        <v>115028</v>
      </c>
      <c r="AA344" s="17"/>
      <c r="AB344" s="17">
        <v>430.172413793104</v>
      </c>
      <c r="AC344" s="17"/>
      <c r="AD344" s="17">
        <v>0</v>
      </c>
      <c r="AE344" s="17"/>
      <c r="AF344" s="17">
        <f t="shared" si="264"/>
        <v>0</v>
      </c>
      <c r="AG344" s="18">
        <f t="shared" si="265"/>
        <v>0</v>
      </c>
      <c r="AH344" s="17">
        <f t="shared" si="266"/>
        <v>-8260183.3157518897</v>
      </c>
      <c r="AI344" s="20">
        <f t="shared" si="267"/>
        <v>-1</v>
      </c>
      <c r="AJ344" s="20">
        <f t="shared" si="268"/>
        <v>0.1637269582896744</v>
      </c>
      <c r="AK344" s="21" t="e">
        <f t="shared" ref="AK344:AK368" si="281">+AF344/E344</f>
        <v>#DIV/0!</v>
      </c>
      <c r="AL344" s="21">
        <f t="shared" si="269"/>
        <v>-1</v>
      </c>
      <c r="AM344" s="31"/>
      <c r="AO344" s="57">
        <f t="shared" si="270"/>
        <v>46363</v>
      </c>
      <c r="AP344" s="6">
        <f>+Tabla22[[#This Row],[Web + APP 2025]]+Tabla22[[#This Row],[Afiliados 2025]]+Tabla22[[#This Row],[TMK 2025]]+Tabla22[[#This Row],[WA 2025]]+Tabla22[[#This Row],[Ent. en Tienda 2025]]</f>
        <v>3950025.0076628351</v>
      </c>
      <c r="AQ344" s="6">
        <f>+Tabla22[[#This Row],[Meli Drop 2025]]+Tabla22[[#This Row],[Meli Full 2025]]+Tabla22[[#This Row],[Amazon Drop 2025]]+Tabla22[[#This Row],[Amazon Full 2025]]+Tabla22[[#This Row],[TikTok 2025]]+Tabla22[[#This Row],[Shein 2025]]</f>
        <v>2376101.1724137929</v>
      </c>
      <c r="AR344" s="58">
        <f t="shared" si="271"/>
        <v>0</v>
      </c>
      <c r="AS344" s="58">
        <f t="shared" si="272"/>
        <v>0</v>
      </c>
      <c r="AT344" s="59">
        <f t="shared" si="273"/>
        <v>-1</v>
      </c>
      <c r="AU344" s="59">
        <f t="shared" si="274"/>
        <v>-1</v>
      </c>
      <c r="AV344" s="58">
        <f t="shared" si="275"/>
        <v>5126059.2782656197</v>
      </c>
      <c r="AW344" s="58">
        <f t="shared" si="276"/>
        <v>3134124.0374862701</v>
      </c>
      <c r="AX344" s="59">
        <f t="shared" si="277"/>
        <v>0</v>
      </c>
      <c r="AY344" s="59">
        <f t="shared" si="278"/>
        <v>0</v>
      </c>
      <c r="AZ344" s="59">
        <f t="shared" si="279"/>
        <v>0</v>
      </c>
      <c r="BA344" s="27">
        <v>4.07029095777438E-2</v>
      </c>
      <c r="BB344" s="27">
        <v>3.04974015343236E-2</v>
      </c>
      <c r="BC344" s="27"/>
      <c r="BD344" s="27"/>
    </row>
    <row r="345" spans="1:56" ht="14.25" hidden="1" customHeight="1" x14ac:dyDescent="0.35">
      <c r="A345" s="19">
        <v>45999</v>
      </c>
      <c r="B345" s="17">
        <v>51770672</v>
      </c>
      <c r="C345" s="17">
        <f t="shared" si="262"/>
        <v>8476254.6551724151</v>
      </c>
      <c r="D345" s="18">
        <f t="shared" si="280"/>
        <v>4.5111238012018495E-2</v>
      </c>
      <c r="E345" s="17"/>
      <c r="F345" s="19">
        <v>46364</v>
      </c>
      <c r="G345" s="17">
        <f t="shared" si="263"/>
        <v>11048605.67883426</v>
      </c>
      <c r="H345" s="17">
        <v>8029724.9303178396</v>
      </c>
      <c r="I345" s="17">
        <v>3018880.7485164199</v>
      </c>
      <c r="J345" s="17">
        <v>5946618</v>
      </c>
      <c r="K345" s="17"/>
      <c r="L345" s="17">
        <v>48381.896551724101</v>
      </c>
      <c r="M345" s="17"/>
      <c r="N345" s="17">
        <v>16084</v>
      </c>
      <c r="O345" s="17"/>
      <c r="P345" s="17">
        <v>8369</v>
      </c>
      <c r="Q345" s="17"/>
      <c r="R345" s="17">
        <v>168071</v>
      </c>
      <c r="S345" s="17"/>
      <c r="T345" s="17">
        <v>1704520</v>
      </c>
      <c r="U345" s="17"/>
      <c r="V345" s="17">
        <v>319874</v>
      </c>
      <c r="W345" s="17"/>
      <c r="X345" s="17">
        <v>110203</v>
      </c>
      <c r="Y345" s="17"/>
      <c r="Z345" s="17">
        <v>125518</v>
      </c>
      <c r="AA345" s="17"/>
      <c r="AB345" s="17">
        <v>27668.344827586199</v>
      </c>
      <c r="AC345" s="17"/>
      <c r="AD345" s="17">
        <v>947.41379310344803</v>
      </c>
      <c r="AE345" s="17"/>
      <c r="AF345" s="17">
        <f t="shared" si="264"/>
        <v>0</v>
      </c>
      <c r="AG345" s="18">
        <f t="shared" si="265"/>
        <v>0</v>
      </c>
      <c r="AH345" s="17">
        <f t="shared" si="266"/>
        <v>-11048605.67883426</v>
      </c>
      <c r="AI345" s="20">
        <f t="shared" si="267"/>
        <v>-1</v>
      </c>
      <c r="AJ345" s="20">
        <f t="shared" si="268"/>
        <v>0.14667852484588231</v>
      </c>
      <c r="AK345" s="21" t="e">
        <f t="shared" si="281"/>
        <v>#DIV/0!</v>
      </c>
      <c r="AL345" s="21">
        <f t="shared" si="269"/>
        <v>-1</v>
      </c>
      <c r="AM345" s="31"/>
      <c r="AO345" s="57">
        <f t="shared" si="270"/>
        <v>46364</v>
      </c>
      <c r="AP345" s="6">
        <f>+Tabla22[[#This Row],[Web + APP 2025]]+Tabla22[[#This Row],[Afiliados 2025]]+Tabla22[[#This Row],[TMK 2025]]+Tabla22[[#This Row],[WA 2025]]+Tabla22[[#This Row],[Ent. en Tienda 2025]]</f>
        <v>6187523.8965517245</v>
      </c>
      <c r="AQ345" s="6">
        <f>+Tabla22[[#This Row],[Meli Drop 2025]]+Tabla22[[#This Row],[Meli Full 2025]]+Tabla22[[#This Row],[Amazon Drop 2025]]+Tabla22[[#This Row],[Amazon Full 2025]]+Tabla22[[#This Row],[TikTok 2025]]+Tabla22[[#This Row],[Shein 2025]]</f>
        <v>2288730.7586206896</v>
      </c>
      <c r="AR345" s="58">
        <f t="shared" si="271"/>
        <v>0</v>
      </c>
      <c r="AS345" s="58">
        <f t="shared" si="272"/>
        <v>0</v>
      </c>
      <c r="AT345" s="59">
        <f t="shared" si="273"/>
        <v>-1</v>
      </c>
      <c r="AU345" s="59">
        <f t="shared" si="274"/>
        <v>-1</v>
      </c>
      <c r="AV345" s="58">
        <f t="shared" si="275"/>
        <v>8029724.9303178396</v>
      </c>
      <c r="AW345" s="58">
        <f t="shared" si="276"/>
        <v>3018880.7485164199</v>
      </c>
      <c r="AX345" s="59">
        <f t="shared" si="277"/>
        <v>0</v>
      </c>
      <c r="AY345" s="59">
        <f t="shared" si="278"/>
        <v>0</v>
      </c>
      <c r="AZ345" s="59">
        <f t="shared" si="279"/>
        <v>0</v>
      </c>
      <c r="BA345" s="27">
        <v>3.9206243487226199E-2</v>
      </c>
      <c r="BB345" s="27">
        <v>4.7772710403171097E-2</v>
      </c>
      <c r="BC345" s="27"/>
      <c r="BD345" s="27"/>
    </row>
    <row r="346" spans="1:56" ht="14.25" hidden="1" customHeight="1" x14ac:dyDescent="0.35">
      <c r="A346" s="16">
        <v>46000</v>
      </c>
      <c r="B346" s="17">
        <v>58970219</v>
      </c>
      <c r="C346" s="17">
        <f t="shared" si="262"/>
        <v>8649664.7327586208</v>
      </c>
      <c r="D346" s="18">
        <f t="shared" si="280"/>
        <v>4.6034138939599796E-2</v>
      </c>
      <c r="E346" s="17"/>
      <c r="F346" s="19">
        <v>46365</v>
      </c>
      <c r="G346" s="17">
        <f t="shared" si="263"/>
        <v>11274150.919565121</v>
      </c>
      <c r="H346" s="17">
        <v>8223918.3371270504</v>
      </c>
      <c r="I346" s="17">
        <v>3050232.5824380699</v>
      </c>
      <c r="J346" s="17">
        <v>6085695</v>
      </c>
      <c r="K346" s="17"/>
      <c r="L346" s="17">
        <v>46312.931034482703</v>
      </c>
      <c r="M346" s="17"/>
      <c r="N346" s="17">
        <v>50291</v>
      </c>
      <c r="O346" s="17"/>
      <c r="P346" s="17">
        <v>6649</v>
      </c>
      <c r="Q346" s="17"/>
      <c r="R346" s="17">
        <v>148217</v>
      </c>
      <c r="S346" s="17"/>
      <c r="T346" s="17">
        <v>1686373</v>
      </c>
      <c r="U346" s="17"/>
      <c r="V346" s="17">
        <v>385223</v>
      </c>
      <c r="W346" s="17"/>
      <c r="X346" s="17">
        <v>96804</v>
      </c>
      <c r="Y346" s="17"/>
      <c r="Z346" s="17">
        <v>119084</v>
      </c>
      <c r="AA346" s="17"/>
      <c r="AB346" s="17">
        <v>25015.801724137898</v>
      </c>
      <c r="AC346" s="17"/>
      <c r="AD346" s="17">
        <v>0</v>
      </c>
      <c r="AE346" s="17"/>
      <c r="AF346" s="17">
        <f t="shared" si="264"/>
        <v>0</v>
      </c>
      <c r="AG346" s="18">
        <f t="shared" si="265"/>
        <v>0</v>
      </c>
      <c r="AH346" s="17">
        <f t="shared" si="266"/>
        <v>-11274150.919565121</v>
      </c>
      <c r="AI346" s="20">
        <f t="shared" si="267"/>
        <v>-1</v>
      </c>
      <c r="AJ346" s="20">
        <f t="shared" si="268"/>
        <v>0.1220932438054229</v>
      </c>
      <c r="AK346" s="21" t="e">
        <f t="shared" si="281"/>
        <v>#DIV/0!</v>
      </c>
      <c r="AL346" s="21">
        <f t="shared" si="269"/>
        <v>-1</v>
      </c>
      <c r="AM346" s="31"/>
      <c r="AO346" s="57">
        <f t="shared" si="270"/>
        <v>46365</v>
      </c>
      <c r="AP346" s="6">
        <f>+Tabla22[[#This Row],[Web + APP 2025]]+Tabla22[[#This Row],[Afiliados 2025]]+Tabla22[[#This Row],[TMK 2025]]+Tabla22[[#This Row],[WA 2025]]+Tabla22[[#This Row],[Ent. en Tienda 2025]]</f>
        <v>6337164.931034483</v>
      </c>
      <c r="AQ346" s="6">
        <f>+Tabla22[[#This Row],[Meli Drop 2025]]+Tabla22[[#This Row],[Meli Full 2025]]+Tabla22[[#This Row],[Amazon Drop 2025]]+Tabla22[[#This Row],[Amazon Full 2025]]+Tabla22[[#This Row],[TikTok 2025]]+Tabla22[[#This Row],[Shein 2025]]</f>
        <v>2312499.8017241377</v>
      </c>
      <c r="AR346" s="58">
        <f t="shared" si="271"/>
        <v>0</v>
      </c>
      <c r="AS346" s="58">
        <f t="shared" si="272"/>
        <v>0</v>
      </c>
      <c r="AT346" s="59">
        <f t="shared" si="273"/>
        <v>-1</v>
      </c>
      <c r="AU346" s="59">
        <f t="shared" si="274"/>
        <v>-1</v>
      </c>
      <c r="AV346" s="58">
        <f t="shared" si="275"/>
        <v>8223918.3371270504</v>
      </c>
      <c r="AW346" s="58">
        <f t="shared" si="276"/>
        <v>3050232.5824380699</v>
      </c>
      <c r="AX346" s="59">
        <f t="shared" si="277"/>
        <v>0</v>
      </c>
      <c r="AY346" s="59">
        <f t="shared" si="278"/>
        <v>0</v>
      </c>
      <c r="AZ346" s="59">
        <f t="shared" si="279"/>
        <v>0</v>
      </c>
      <c r="BA346" s="27">
        <v>3.9613410161533399E-2</v>
      </c>
      <c r="BB346" s="27">
        <v>4.8928060737859901E-2</v>
      </c>
      <c r="BC346" s="27"/>
      <c r="BD346" s="27"/>
    </row>
    <row r="347" spans="1:56" ht="14.25" hidden="1" customHeight="1" x14ac:dyDescent="0.35">
      <c r="A347" s="19">
        <v>46001</v>
      </c>
      <c r="B347" s="17">
        <v>66302976</v>
      </c>
      <c r="C347" s="17">
        <f t="shared" si="262"/>
        <v>8095145.4137931028</v>
      </c>
      <c r="D347" s="18">
        <f t="shared" si="280"/>
        <v>4.3082947169440895E-2</v>
      </c>
      <c r="E347" s="17"/>
      <c r="F347" s="19">
        <v>46366</v>
      </c>
      <c r="G347" s="17">
        <f t="shared" si="263"/>
        <v>10554981.21780456</v>
      </c>
      <c r="H347" s="17">
        <v>7477135.9718751898</v>
      </c>
      <c r="I347" s="17">
        <v>3077845.2459293702</v>
      </c>
      <c r="J347" s="17">
        <v>5484191</v>
      </c>
      <c r="K347" s="17"/>
      <c r="L347" s="17">
        <v>52041.379310344797</v>
      </c>
      <c r="M347" s="17"/>
      <c r="N347" s="17">
        <v>112954</v>
      </c>
      <c r="O347" s="17"/>
      <c r="P347" s="17">
        <v>4560</v>
      </c>
      <c r="Q347" s="17"/>
      <c r="R347" s="17">
        <v>107965</v>
      </c>
      <c r="S347" s="17"/>
      <c r="T347" s="17">
        <v>1680477</v>
      </c>
      <c r="U347" s="17"/>
      <c r="V347" s="17">
        <v>410059</v>
      </c>
      <c r="W347" s="17"/>
      <c r="X347" s="17">
        <v>100505</v>
      </c>
      <c r="Y347" s="17"/>
      <c r="Z347" s="17">
        <v>119493</v>
      </c>
      <c r="AA347" s="17"/>
      <c r="AB347" s="17">
        <v>22211.241379310399</v>
      </c>
      <c r="AC347" s="17"/>
      <c r="AD347" s="17">
        <v>688.79310344827604</v>
      </c>
      <c r="AE347" s="17"/>
      <c r="AF347" s="17">
        <f t="shared" si="264"/>
        <v>0</v>
      </c>
      <c r="AG347" s="18">
        <f t="shared" si="265"/>
        <v>0</v>
      </c>
      <c r="AH347" s="17">
        <f t="shared" si="266"/>
        <v>-10554981.21780456</v>
      </c>
      <c r="AI347" s="20">
        <f t="shared" si="267"/>
        <v>-1</v>
      </c>
      <c r="AJ347" s="20">
        <f t="shared" si="268"/>
        <v>0.12828590531200632</v>
      </c>
      <c r="AK347" s="21" t="e">
        <f t="shared" si="281"/>
        <v>#DIV/0!</v>
      </c>
      <c r="AL347" s="21">
        <f t="shared" si="269"/>
        <v>-1</v>
      </c>
      <c r="AM347" s="31"/>
      <c r="AO347" s="57">
        <f t="shared" si="270"/>
        <v>46366</v>
      </c>
      <c r="AP347" s="6">
        <f>+Tabla22[[#This Row],[Web + APP 2025]]+Tabla22[[#This Row],[Afiliados 2025]]+Tabla22[[#This Row],[TMK 2025]]+Tabla22[[#This Row],[WA 2025]]+Tabla22[[#This Row],[Ent. en Tienda 2025]]</f>
        <v>5761711.3793103443</v>
      </c>
      <c r="AQ347" s="6">
        <f>+Tabla22[[#This Row],[Meli Drop 2025]]+Tabla22[[#This Row],[Meli Full 2025]]+Tabla22[[#This Row],[Amazon Drop 2025]]+Tabla22[[#This Row],[Amazon Full 2025]]+Tabla22[[#This Row],[TikTok 2025]]+Tabla22[[#This Row],[Shein 2025]]</f>
        <v>2333434.0344827585</v>
      </c>
      <c r="AR347" s="58">
        <f t="shared" si="271"/>
        <v>0</v>
      </c>
      <c r="AS347" s="58">
        <f t="shared" si="272"/>
        <v>0</v>
      </c>
      <c r="AT347" s="59">
        <f t="shared" si="273"/>
        <v>-1</v>
      </c>
      <c r="AU347" s="59">
        <f t="shared" si="274"/>
        <v>-1</v>
      </c>
      <c r="AV347" s="58">
        <f t="shared" si="275"/>
        <v>7477135.9718751898</v>
      </c>
      <c r="AW347" s="58">
        <f t="shared" si="276"/>
        <v>3077845.2459293702</v>
      </c>
      <c r="AX347" s="59">
        <f t="shared" si="277"/>
        <v>0</v>
      </c>
      <c r="AY347" s="59">
        <f t="shared" si="278"/>
        <v>0</v>
      </c>
      <c r="AZ347" s="59">
        <f t="shared" si="279"/>
        <v>0</v>
      </c>
      <c r="BA347" s="27">
        <v>3.9972016180900898E-2</v>
      </c>
      <c r="BB347" s="27">
        <v>4.44850918965898E-2</v>
      </c>
      <c r="BC347" s="27"/>
      <c r="BD347" s="27"/>
    </row>
    <row r="348" spans="1:56" ht="14.25" hidden="1" customHeight="1" x14ac:dyDescent="0.35">
      <c r="A348" s="16">
        <v>46002</v>
      </c>
      <c r="B348" s="17">
        <v>68556369</v>
      </c>
      <c r="C348" s="17">
        <f t="shared" si="262"/>
        <v>8794815.8620689642</v>
      </c>
      <c r="D348" s="18">
        <f t="shared" si="280"/>
        <v>4.6806643708322909E-2</v>
      </c>
      <c r="E348" s="17"/>
      <c r="F348" s="19">
        <v>46367</v>
      </c>
      <c r="G348" s="17">
        <f t="shared" si="263"/>
        <v>11461586.5777383</v>
      </c>
      <c r="H348" s="17">
        <v>8469034.9160715099</v>
      </c>
      <c r="I348" s="17">
        <v>2992551.66166679</v>
      </c>
      <c r="J348" s="17">
        <v>6211860</v>
      </c>
      <c r="K348" s="17"/>
      <c r="L348" s="17">
        <v>49136.206896551703</v>
      </c>
      <c r="M348" s="17"/>
      <c r="N348" s="17">
        <v>53115</v>
      </c>
      <c r="O348" s="17"/>
      <c r="P348" s="17">
        <v>4450</v>
      </c>
      <c r="Q348" s="17"/>
      <c r="R348" s="17">
        <v>207485</v>
      </c>
      <c r="S348" s="17"/>
      <c r="T348" s="17">
        <v>1665235</v>
      </c>
      <c r="U348" s="17"/>
      <c r="V348" s="17">
        <v>400482</v>
      </c>
      <c r="W348" s="17"/>
      <c r="X348" s="17">
        <v>84857</v>
      </c>
      <c r="Y348" s="17"/>
      <c r="Z348" s="17">
        <v>100371</v>
      </c>
      <c r="AA348" s="17"/>
      <c r="AB348" s="17">
        <v>17824.655172413801</v>
      </c>
      <c r="AC348" s="17"/>
      <c r="AD348" s="17">
        <v>0</v>
      </c>
      <c r="AE348" s="17"/>
      <c r="AF348" s="17">
        <f t="shared" si="264"/>
        <v>0</v>
      </c>
      <c r="AG348" s="18">
        <f t="shared" si="265"/>
        <v>0</v>
      </c>
      <c r="AH348" s="17">
        <f t="shared" si="266"/>
        <v>-11461586.5777383</v>
      </c>
      <c r="AI348" s="20">
        <f t="shared" si="267"/>
        <v>-1</v>
      </c>
      <c r="AJ348" s="20">
        <f t="shared" si="268"/>
        <v>8.346433843313196E-2</v>
      </c>
      <c r="AK348" s="21" t="e">
        <f t="shared" si="281"/>
        <v>#DIV/0!</v>
      </c>
      <c r="AL348" s="21">
        <f t="shared" si="269"/>
        <v>-1</v>
      </c>
      <c r="AM348" s="31"/>
      <c r="AO348" s="60">
        <f t="shared" si="270"/>
        <v>46367</v>
      </c>
      <c r="AP348" s="6">
        <f>+Tabla22[[#This Row],[Web + APP 2025]]+Tabla22[[#This Row],[Afiliados 2025]]+Tabla22[[#This Row],[TMK 2025]]+Tabla22[[#This Row],[WA 2025]]+Tabla22[[#This Row],[Ent. en Tienda 2025]]</f>
        <v>6526046.2068965519</v>
      </c>
      <c r="AQ348" s="6">
        <f>+Tabla22[[#This Row],[Meli Drop 2025]]+Tabla22[[#This Row],[Meli Full 2025]]+Tabla22[[#This Row],[Amazon Drop 2025]]+Tabla22[[#This Row],[Amazon Full 2025]]+Tabla22[[#This Row],[TikTok 2025]]+Tabla22[[#This Row],[Shein 2025]]</f>
        <v>2268769.6551724137</v>
      </c>
      <c r="AR348" s="58">
        <f t="shared" si="271"/>
        <v>0</v>
      </c>
      <c r="AS348" s="58">
        <f t="shared" si="272"/>
        <v>0</v>
      </c>
      <c r="AT348" s="59">
        <f t="shared" si="273"/>
        <v>-1</v>
      </c>
      <c r="AU348" s="59">
        <f t="shared" si="274"/>
        <v>-1</v>
      </c>
      <c r="AV348" s="58">
        <f t="shared" si="275"/>
        <v>8469034.9160715099</v>
      </c>
      <c r="AW348" s="58">
        <f t="shared" si="276"/>
        <v>2992551.66166679</v>
      </c>
      <c r="AX348" s="59">
        <f t="shared" si="277"/>
        <v>0</v>
      </c>
      <c r="AY348" s="59">
        <f t="shared" si="278"/>
        <v>0</v>
      </c>
      <c r="AZ348" s="59">
        <f t="shared" si="279"/>
        <v>0</v>
      </c>
      <c r="BA348" s="27">
        <v>3.8864307294373901E-2</v>
      </c>
      <c r="BB348" s="27">
        <v>5.0386377609552099E-2</v>
      </c>
      <c r="BC348" s="27"/>
      <c r="BD348" s="27"/>
    </row>
    <row r="349" spans="1:56" ht="14.25" hidden="1" customHeight="1" x14ac:dyDescent="0.35">
      <c r="A349" s="19">
        <v>46003</v>
      </c>
      <c r="B349" s="17">
        <v>77482550</v>
      </c>
      <c r="C349" s="17">
        <f t="shared" si="262"/>
        <v>6467029.7758620689</v>
      </c>
      <c r="D349" s="18">
        <f t="shared" si="280"/>
        <v>3.4417998434214128E-2</v>
      </c>
      <c r="E349" s="17"/>
      <c r="F349" s="19">
        <v>46368</v>
      </c>
      <c r="G349" s="17">
        <f t="shared" si="263"/>
        <v>8442164.1292602494</v>
      </c>
      <c r="H349" s="17">
        <v>5362171.2237663995</v>
      </c>
      <c r="I349" s="17">
        <v>3079992.9054938499</v>
      </c>
      <c r="J349" s="17">
        <v>3784370</v>
      </c>
      <c r="K349" s="17"/>
      <c r="L349" s="17">
        <v>54965.517241379297</v>
      </c>
      <c r="M349" s="17"/>
      <c r="N349" s="17">
        <v>67282</v>
      </c>
      <c r="O349" s="17"/>
      <c r="P349" s="17">
        <v>3570</v>
      </c>
      <c r="Q349" s="17"/>
      <c r="R349" s="17">
        <v>221780</v>
      </c>
      <c r="S349" s="17"/>
      <c r="T349" s="17">
        <v>1763567</v>
      </c>
      <c r="U349" s="17"/>
      <c r="V349" s="17">
        <v>363270</v>
      </c>
      <c r="W349" s="17"/>
      <c r="X349" s="17">
        <v>90425</v>
      </c>
      <c r="Y349" s="17"/>
      <c r="Z349" s="17">
        <v>114050</v>
      </c>
      <c r="AA349" s="17"/>
      <c r="AB349" s="17">
        <v>3750.2586206896599</v>
      </c>
      <c r="AC349" s="17"/>
      <c r="AD349" s="17">
        <v>0</v>
      </c>
      <c r="AE349" s="17"/>
      <c r="AF349" s="17">
        <f t="shared" si="264"/>
        <v>0</v>
      </c>
      <c r="AG349" s="18">
        <f t="shared" si="265"/>
        <v>0</v>
      </c>
      <c r="AH349" s="17">
        <f t="shared" si="266"/>
        <v>-8442164.1292602494</v>
      </c>
      <c r="AI349" s="20">
        <f t="shared" si="267"/>
        <v>-1</v>
      </c>
      <c r="AJ349" s="20">
        <f t="shared" si="268"/>
        <v>5.5650374375691078E-2</v>
      </c>
      <c r="AK349" s="21" t="e">
        <f t="shared" si="281"/>
        <v>#DIV/0!</v>
      </c>
      <c r="AL349" s="21">
        <f t="shared" si="269"/>
        <v>-1</v>
      </c>
      <c r="AM349" s="31"/>
      <c r="AO349" s="57">
        <f t="shared" si="270"/>
        <v>46368</v>
      </c>
      <c r="AP349" s="6">
        <f>+Tabla22[[#This Row],[Web + APP 2025]]+Tabla22[[#This Row],[Afiliados 2025]]+Tabla22[[#This Row],[TMK 2025]]+Tabla22[[#This Row],[WA 2025]]+Tabla22[[#This Row],[Ent. en Tienda 2025]]</f>
        <v>4131967.5172413792</v>
      </c>
      <c r="AQ349" s="6">
        <f>+Tabla22[[#This Row],[Meli Drop 2025]]+Tabla22[[#This Row],[Meli Full 2025]]+Tabla22[[#This Row],[Amazon Drop 2025]]+Tabla22[[#This Row],[Amazon Full 2025]]+Tabla22[[#This Row],[TikTok 2025]]+Tabla22[[#This Row],[Shein 2025]]</f>
        <v>2335062.2586206896</v>
      </c>
      <c r="AR349" s="58">
        <f t="shared" si="271"/>
        <v>0</v>
      </c>
      <c r="AS349" s="58">
        <f t="shared" si="272"/>
        <v>0</v>
      </c>
      <c r="AT349" s="59">
        <f t="shared" si="273"/>
        <v>-1</v>
      </c>
      <c r="AU349" s="59">
        <f t="shared" si="274"/>
        <v>-1</v>
      </c>
      <c r="AV349" s="58">
        <f t="shared" si="275"/>
        <v>5362171.2237663995</v>
      </c>
      <c r="AW349" s="58">
        <f t="shared" si="276"/>
        <v>3079992.9054938499</v>
      </c>
      <c r="AX349" s="59">
        <f t="shared" si="277"/>
        <v>0</v>
      </c>
      <c r="AY349" s="59">
        <f t="shared" si="278"/>
        <v>0</v>
      </c>
      <c r="AZ349" s="59">
        <f t="shared" si="279"/>
        <v>0</v>
      </c>
      <c r="BA349" s="27">
        <v>3.9999907863556401E-2</v>
      </c>
      <c r="BB349" s="27">
        <v>3.19021454941757E-2</v>
      </c>
      <c r="BC349" s="27"/>
      <c r="BD349" s="27"/>
    </row>
    <row r="350" spans="1:56" ht="14.25" hidden="1" customHeight="1" x14ac:dyDescent="0.35">
      <c r="A350" s="16">
        <v>46004</v>
      </c>
      <c r="B350" s="17">
        <v>92327737</v>
      </c>
      <c r="C350" s="17">
        <f t="shared" si="262"/>
        <v>5138073.1293103453</v>
      </c>
      <c r="D350" s="18">
        <f t="shared" si="280"/>
        <v>2.7345195406326656E-2</v>
      </c>
      <c r="E350" s="17"/>
      <c r="F350" s="19">
        <v>46369</v>
      </c>
      <c r="G350" s="17">
        <f t="shared" si="263"/>
        <v>6704338.5773267001</v>
      </c>
      <c r="H350" s="17">
        <v>4442155.4196366798</v>
      </c>
      <c r="I350" s="17">
        <v>2262183.1576900198</v>
      </c>
      <c r="J350" s="17">
        <v>3236267</v>
      </c>
      <c r="K350" s="17"/>
      <c r="L350" s="17">
        <v>59461.206896551703</v>
      </c>
      <c r="M350" s="17"/>
      <c r="N350" s="17">
        <v>-5517</v>
      </c>
      <c r="O350" s="17"/>
      <c r="P350" s="17">
        <v>1235</v>
      </c>
      <c r="Q350" s="17"/>
      <c r="R350" s="17">
        <v>131578</v>
      </c>
      <c r="S350" s="17"/>
      <c r="T350" s="17">
        <v>1165862</v>
      </c>
      <c r="U350" s="17"/>
      <c r="V350" s="17">
        <v>332613</v>
      </c>
      <c r="W350" s="17"/>
      <c r="X350" s="17">
        <v>91573</v>
      </c>
      <c r="Y350" s="17"/>
      <c r="Z350" s="17">
        <v>125582</v>
      </c>
      <c r="AA350" s="17"/>
      <c r="AB350" s="17">
        <v>-581.07758620689697</v>
      </c>
      <c r="AC350" s="17"/>
      <c r="AD350" s="17">
        <v>0</v>
      </c>
      <c r="AE350" s="17"/>
      <c r="AF350" s="17">
        <f t="shared" si="264"/>
        <v>0</v>
      </c>
      <c r="AG350" s="18">
        <f t="shared" si="265"/>
        <v>0</v>
      </c>
      <c r="AH350" s="17">
        <f t="shared" si="266"/>
        <v>-6704338.5773267001</v>
      </c>
      <c r="AI350" s="20">
        <f t="shared" si="267"/>
        <v>-1</v>
      </c>
      <c r="AJ350" s="20">
        <f t="shared" si="268"/>
        <v>4.8594738625632079E-2</v>
      </c>
      <c r="AK350" s="21" t="e">
        <f t="shared" si="281"/>
        <v>#DIV/0!</v>
      </c>
      <c r="AL350" s="21">
        <f t="shared" si="269"/>
        <v>-1</v>
      </c>
      <c r="AM350" s="31"/>
      <c r="AO350" s="57">
        <f t="shared" si="270"/>
        <v>46369</v>
      </c>
      <c r="AP350" s="6">
        <f>+Tabla22[[#This Row],[Web + APP 2025]]+Tabla22[[#This Row],[Afiliados 2025]]+Tabla22[[#This Row],[TMK 2025]]+Tabla22[[#This Row],[WA 2025]]+Tabla22[[#This Row],[Ent. en Tienda 2025]]</f>
        <v>3423024.2068965519</v>
      </c>
      <c r="AQ350" s="6">
        <f>+Tabla22[[#This Row],[Meli Drop 2025]]+Tabla22[[#This Row],[Meli Full 2025]]+Tabla22[[#This Row],[Amazon Drop 2025]]+Tabla22[[#This Row],[Amazon Full 2025]]+Tabla22[[#This Row],[TikTok 2025]]+Tabla22[[#This Row],[Shein 2025]]</f>
        <v>1715048.9224137932</v>
      </c>
      <c r="AR350" s="58">
        <f t="shared" si="271"/>
        <v>0</v>
      </c>
      <c r="AS350" s="58">
        <f t="shared" si="272"/>
        <v>0</v>
      </c>
      <c r="AT350" s="59">
        <f t="shared" si="273"/>
        <v>-1</v>
      </c>
      <c r="AU350" s="59">
        <f t="shared" si="274"/>
        <v>-1</v>
      </c>
      <c r="AV350" s="58">
        <f t="shared" si="275"/>
        <v>4442155.4196366798</v>
      </c>
      <c r="AW350" s="58">
        <f t="shared" si="276"/>
        <v>2262183.1576900198</v>
      </c>
      <c r="AX350" s="59">
        <f t="shared" si="277"/>
        <v>0</v>
      </c>
      <c r="AY350" s="59">
        <f t="shared" si="278"/>
        <v>0</v>
      </c>
      <c r="AZ350" s="59">
        <f t="shared" si="279"/>
        <v>0</v>
      </c>
      <c r="BA350" s="27">
        <v>2.93790020479224E-2</v>
      </c>
      <c r="BB350" s="27">
        <v>2.6428527287021299E-2</v>
      </c>
      <c r="BC350" s="27"/>
      <c r="BD350" s="27"/>
    </row>
    <row r="351" spans="1:56" ht="14.25" hidden="1" customHeight="1" x14ac:dyDescent="0.35">
      <c r="A351" s="19">
        <v>46005</v>
      </c>
      <c r="B351" s="17">
        <v>104292228</v>
      </c>
      <c r="C351" s="17">
        <f t="shared" si="262"/>
        <v>5068053.5603448274</v>
      </c>
      <c r="D351" s="18">
        <f t="shared" si="280"/>
        <v>2.6972546215191875E-2</v>
      </c>
      <c r="E351" s="17"/>
      <c r="F351" s="19">
        <v>46370</v>
      </c>
      <c r="G351" s="17">
        <f t="shared" si="263"/>
        <v>6590839.4665274341</v>
      </c>
      <c r="H351" s="17">
        <v>5730779.3602097398</v>
      </c>
      <c r="I351" s="17">
        <v>860060.10631769395</v>
      </c>
      <c r="J351" s="17">
        <v>4186498</v>
      </c>
      <c r="K351" s="17"/>
      <c r="L351" s="17">
        <v>63377.5862068965</v>
      </c>
      <c r="M351" s="17"/>
      <c r="N351" s="17">
        <v>-2176</v>
      </c>
      <c r="O351" s="17"/>
      <c r="P351" s="17">
        <v>4620</v>
      </c>
      <c r="Q351" s="17"/>
      <c r="R351" s="17">
        <v>163689</v>
      </c>
      <c r="S351" s="17"/>
      <c r="T351" s="17">
        <v>3655</v>
      </c>
      <c r="U351" s="17"/>
      <c r="V351" s="17">
        <v>400332</v>
      </c>
      <c r="W351" s="17"/>
      <c r="X351" s="17">
        <v>101596</v>
      </c>
      <c r="Y351" s="17"/>
      <c r="Z351" s="17">
        <v>147093</v>
      </c>
      <c r="AA351" s="17"/>
      <c r="AB351" s="17">
        <v>-631.02586206896603</v>
      </c>
      <c r="AC351" s="17"/>
      <c r="AD351" s="17">
        <v>0</v>
      </c>
      <c r="AE351" s="17"/>
      <c r="AF351" s="17">
        <f t="shared" si="264"/>
        <v>0</v>
      </c>
      <c r="AG351" s="18">
        <f t="shared" si="265"/>
        <v>0</v>
      </c>
      <c r="AH351" s="17">
        <f t="shared" si="266"/>
        <v>-6590839.4665274341</v>
      </c>
      <c r="AI351" s="20">
        <f t="shared" si="267"/>
        <v>-1</v>
      </c>
      <c r="AJ351" s="20">
        <f t="shared" si="268"/>
        <v>0.14440148476815795</v>
      </c>
      <c r="AK351" s="21" t="e">
        <f t="shared" si="281"/>
        <v>#DIV/0!</v>
      </c>
      <c r="AL351" s="21">
        <f t="shared" si="269"/>
        <v>-1</v>
      </c>
      <c r="AM351" s="31"/>
      <c r="AO351" s="57">
        <f t="shared" si="270"/>
        <v>46370</v>
      </c>
      <c r="AP351" s="6">
        <f>+Tabla22[[#This Row],[Web + APP 2025]]+Tabla22[[#This Row],[Afiliados 2025]]+Tabla22[[#This Row],[TMK 2025]]+Tabla22[[#This Row],[WA 2025]]+Tabla22[[#This Row],[Ent. en Tienda 2025]]</f>
        <v>4416008.5862068962</v>
      </c>
      <c r="AQ351" s="6">
        <f>+Tabla22[[#This Row],[Meli Drop 2025]]+Tabla22[[#This Row],[Meli Full 2025]]+Tabla22[[#This Row],[Amazon Drop 2025]]+Tabla22[[#This Row],[Amazon Full 2025]]+Tabla22[[#This Row],[TikTok 2025]]+Tabla22[[#This Row],[Shein 2025]]</f>
        <v>652044.97413793101</v>
      </c>
      <c r="AR351" s="58">
        <f t="shared" si="271"/>
        <v>0</v>
      </c>
      <c r="AS351" s="58">
        <f t="shared" si="272"/>
        <v>0</v>
      </c>
      <c r="AT351" s="59">
        <f t="shared" si="273"/>
        <v>-1</v>
      </c>
      <c r="AU351" s="59">
        <f t="shared" si="274"/>
        <v>-1</v>
      </c>
      <c r="AV351" s="58">
        <f t="shared" si="275"/>
        <v>5730779.3602097398</v>
      </c>
      <c r="AW351" s="58">
        <f t="shared" si="276"/>
        <v>860060.10631769395</v>
      </c>
      <c r="AX351" s="59">
        <f t="shared" si="277"/>
        <v>0</v>
      </c>
      <c r="AY351" s="59">
        <f t="shared" si="278"/>
        <v>0</v>
      </c>
      <c r="AZ351" s="59">
        <f t="shared" si="279"/>
        <v>0</v>
      </c>
      <c r="BA351" s="27">
        <v>1.1169611770359701E-2</v>
      </c>
      <c r="BB351" s="27">
        <v>3.40951732637911E-2</v>
      </c>
      <c r="BC351" s="27"/>
      <c r="BD351" s="27"/>
    </row>
    <row r="352" spans="1:56" ht="14.25" hidden="1" customHeight="1" x14ac:dyDescent="0.35">
      <c r="A352" s="16">
        <v>46006</v>
      </c>
      <c r="B352" s="17">
        <v>65616616</v>
      </c>
      <c r="C352" s="17">
        <f t="shared" si="262"/>
        <v>9475136.7758620698</v>
      </c>
      <c r="D352" s="18">
        <f t="shared" si="280"/>
        <v>5.0427360630501128E-2</v>
      </c>
      <c r="E352" s="17"/>
      <c r="F352" s="19">
        <v>46371</v>
      </c>
      <c r="G352" s="17">
        <f t="shared" si="263"/>
        <v>12364960.58185959</v>
      </c>
      <c r="H352" s="17">
        <v>8102268.9720883202</v>
      </c>
      <c r="I352" s="17">
        <v>4262691.6097712703</v>
      </c>
      <c r="J352" s="17">
        <v>5911164</v>
      </c>
      <c r="K352" s="17"/>
      <c r="L352" s="17">
        <v>55170.689655172398</v>
      </c>
      <c r="M352" s="17"/>
      <c r="N352" s="17">
        <v>96597</v>
      </c>
      <c r="O352" s="17"/>
      <c r="P352" s="17">
        <v>5578</v>
      </c>
      <c r="Q352" s="17"/>
      <c r="R352" s="17">
        <v>174915</v>
      </c>
      <c r="S352" s="17"/>
      <c r="T352" s="17">
        <v>2393939</v>
      </c>
      <c r="U352" s="17"/>
      <c r="V352" s="17">
        <v>492432</v>
      </c>
      <c r="W352" s="17"/>
      <c r="X352" s="17">
        <v>136733</v>
      </c>
      <c r="Y352" s="17"/>
      <c r="Z352" s="17">
        <v>186165</v>
      </c>
      <c r="AA352" s="17"/>
      <c r="AB352" s="17">
        <v>22443.086206896602</v>
      </c>
      <c r="AC352" s="17"/>
      <c r="AD352" s="17">
        <v>0</v>
      </c>
      <c r="AE352" s="17"/>
      <c r="AF352" s="17">
        <f t="shared" si="264"/>
        <v>0</v>
      </c>
      <c r="AG352" s="18">
        <f t="shared" si="265"/>
        <v>0</v>
      </c>
      <c r="AH352" s="17">
        <f t="shared" si="266"/>
        <v>-12364960.58185959</v>
      </c>
      <c r="AI352" s="20">
        <f t="shared" si="267"/>
        <v>-1</v>
      </c>
      <c r="AJ352" s="20">
        <f t="shared" si="268"/>
        <v>0.16264674791345135</v>
      </c>
      <c r="AK352" s="21" t="e">
        <f t="shared" si="281"/>
        <v>#DIV/0!</v>
      </c>
      <c r="AL352" s="21">
        <f t="shared" si="269"/>
        <v>-1</v>
      </c>
      <c r="AM352" s="31"/>
      <c r="AO352" s="57">
        <f t="shared" si="270"/>
        <v>46371</v>
      </c>
      <c r="AP352" s="6">
        <f>+Tabla22[[#This Row],[Web + APP 2025]]+Tabla22[[#This Row],[Afiliados 2025]]+Tabla22[[#This Row],[TMK 2025]]+Tabla22[[#This Row],[WA 2025]]+Tabla22[[#This Row],[Ent. en Tienda 2025]]</f>
        <v>6243424.6896551726</v>
      </c>
      <c r="AQ352" s="6">
        <f>+Tabla22[[#This Row],[Meli Drop 2025]]+Tabla22[[#This Row],[Meli Full 2025]]+Tabla22[[#This Row],[Amazon Drop 2025]]+Tabla22[[#This Row],[Amazon Full 2025]]+Tabla22[[#This Row],[TikTok 2025]]+Tabla22[[#This Row],[Shein 2025]]</f>
        <v>3231712.0862068967</v>
      </c>
      <c r="AR352" s="58">
        <f t="shared" si="271"/>
        <v>0</v>
      </c>
      <c r="AS352" s="58">
        <f t="shared" si="272"/>
        <v>0</v>
      </c>
      <c r="AT352" s="59">
        <f t="shared" si="273"/>
        <v>-1</v>
      </c>
      <c r="AU352" s="59">
        <f t="shared" si="274"/>
        <v>-1</v>
      </c>
      <c r="AV352" s="58">
        <f t="shared" si="275"/>
        <v>8102268.9720883202</v>
      </c>
      <c r="AW352" s="58">
        <f t="shared" si="276"/>
        <v>4262691.6097712703</v>
      </c>
      <c r="AX352" s="59">
        <f t="shared" si="277"/>
        <v>0</v>
      </c>
      <c r="AY352" s="59">
        <f t="shared" si="278"/>
        <v>0</v>
      </c>
      <c r="AZ352" s="59">
        <f t="shared" si="279"/>
        <v>0</v>
      </c>
      <c r="BA352" s="27">
        <v>5.5359631295730703E-2</v>
      </c>
      <c r="BB352" s="27">
        <v>4.8204309932302097E-2</v>
      </c>
      <c r="BC352" s="27"/>
      <c r="BD352" s="27"/>
    </row>
    <row r="353" spans="1:56" ht="14.25" hidden="1" customHeight="1" x14ac:dyDescent="0.35">
      <c r="A353" s="19">
        <v>46007</v>
      </c>
      <c r="B353" s="17">
        <v>77580854</v>
      </c>
      <c r="C353" s="17">
        <f t="shared" si="262"/>
        <v>12618273.603448274</v>
      </c>
      <c r="D353" s="18">
        <f t="shared" si="280"/>
        <v>6.7155361298468066E-2</v>
      </c>
      <c r="E353" s="17"/>
      <c r="F353" s="19">
        <v>46372</v>
      </c>
      <c r="G353" s="17">
        <f t="shared" si="263"/>
        <v>16491338.05188093</v>
      </c>
      <c r="H353" s="17">
        <v>9289696.4170294795</v>
      </c>
      <c r="I353" s="17">
        <v>7201641.6348514501</v>
      </c>
      <c r="J353" s="17">
        <v>6852617</v>
      </c>
      <c r="K353" s="17"/>
      <c r="L353" s="17">
        <v>56310.344827586203</v>
      </c>
      <c r="M353" s="17"/>
      <c r="N353" s="17">
        <v>109047</v>
      </c>
      <c r="O353" s="17"/>
      <c r="P353" s="17">
        <v>2019</v>
      </c>
      <c r="Q353" s="17"/>
      <c r="R353" s="17">
        <v>138436</v>
      </c>
      <c r="S353" s="17"/>
      <c r="T353" s="17">
        <v>4615472</v>
      </c>
      <c r="U353" s="17"/>
      <c r="V353" s="17">
        <v>570628</v>
      </c>
      <c r="W353" s="17"/>
      <c r="X353" s="17">
        <v>102615</v>
      </c>
      <c r="Y353" s="17"/>
      <c r="Z353" s="17">
        <v>148024</v>
      </c>
      <c r="AA353" s="17"/>
      <c r="AB353" s="17">
        <v>22071.6379310345</v>
      </c>
      <c r="AC353" s="17"/>
      <c r="AD353" s="17">
        <v>1033.6206896551701</v>
      </c>
      <c r="AE353" s="17"/>
      <c r="AF353" s="17">
        <f t="shared" si="264"/>
        <v>0</v>
      </c>
      <c r="AG353" s="18">
        <f t="shared" si="265"/>
        <v>0</v>
      </c>
      <c r="AH353" s="17">
        <f t="shared" si="266"/>
        <v>-16491338.05188093</v>
      </c>
      <c r="AI353" s="20">
        <f t="shared" si="267"/>
        <v>-1</v>
      </c>
      <c r="AJ353" s="20">
        <f t="shared" si="268"/>
        <v>0.11495336783884401</v>
      </c>
      <c r="AK353" s="21" t="e">
        <f t="shared" si="281"/>
        <v>#DIV/0!</v>
      </c>
      <c r="AL353" s="21">
        <f t="shared" si="269"/>
        <v>-1</v>
      </c>
      <c r="AM353" s="31"/>
      <c r="AO353" s="60">
        <f t="shared" si="270"/>
        <v>46372</v>
      </c>
      <c r="AP353" s="6">
        <f>+Tabla22[[#This Row],[Web + APP 2025]]+Tabla22[[#This Row],[Afiliados 2025]]+Tabla22[[#This Row],[TMK 2025]]+Tabla22[[#This Row],[WA 2025]]+Tabla22[[#This Row],[Ent. en Tienda 2025]]</f>
        <v>7158429.3448275859</v>
      </c>
      <c r="AQ353" s="6">
        <f>+Tabla22[[#This Row],[Meli Drop 2025]]+Tabla22[[#This Row],[Meli Full 2025]]+Tabla22[[#This Row],[Amazon Drop 2025]]+Tabla22[[#This Row],[Amazon Full 2025]]+Tabla22[[#This Row],[TikTok 2025]]+Tabla22[[#This Row],[Shein 2025]]</f>
        <v>5459844.2586206896</v>
      </c>
      <c r="AR353" s="58">
        <f t="shared" si="271"/>
        <v>0</v>
      </c>
      <c r="AS353" s="58">
        <f t="shared" si="272"/>
        <v>0</v>
      </c>
      <c r="AT353" s="59">
        <f t="shared" si="273"/>
        <v>-1</v>
      </c>
      <c r="AU353" s="59">
        <f t="shared" si="274"/>
        <v>-1</v>
      </c>
      <c r="AV353" s="58">
        <f t="shared" si="275"/>
        <v>9289696.4170294795</v>
      </c>
      <c r="AW353" s="58">
        <f t="shared" si="276"/>
        <v>7201641.6348514501</v>
      </c>
      <c r="AX353" s="59">
        <f t="shared" si="277"/>
        <v>0</v>
      </c>
      <c r="AY353" s="59">
        <f t="shared" si="278"/>
        <v>0</v>
      </c>
      <c r="AZ353" s="59">
        <f t="shared" si="279"/>
        <v>0</v>
      </c>
      <c r="BA353" s="27">
        <v>9.3527813439629195E-2</v>
      </c>
      <c r="BB353" s="27">
        <v>5.5268889098366497E-2</v>
      </c>
      <c r="BC353" s="27"/>
      <c r="BD353" s="27"/>
    </row>
    <row r="354" spans="1:56" ht="14.25" hidden="1" customHeight="1" x14ac:dyDescent="0.35">
      <c r="A354" s="16">
        <v>46008</v>
      </c>
      <c r="B354" s="17">
        <v>80887423</v>
      </c>
      <c r="C354" s="17">
        <f t="shared" si="262"/>
        <v>9298281.6896551717</v>
      </c>
      <c r="D354" s="18">
        <f t="shared" si="280"/>
        <v>4.9486125118818267E-2</v>
      </c>
      <c r="E354" s="17"/>
      <c r="F354" s="19">
        <v>46373</v>
      </c>
      <c r="G354" s="17">
        <f t="shared" si="263"/>
        <v>12140564.735394981</v>
      </c>
      <c r="H354" s="17">
        <v>7561054.78128119</v>
      </c>
      <c r="I354" s="17">
        <v>4579509.9541137898</v>
      </c>
      <c r="J354" s="17">
        <v>5512521</v>
      </c>
      <c r="K354" s="17"/>
      <c r="L354" s="17">
        <v>51579.310344827602</v>
      </c>
      <c r="M354" s="17"/>
      <c r="N354" s="17">
        <v>78025</v>
      </c>
      <c r="O354" s="17"/>
      <c r="P354" s="17">
        <v>134</v>
      </c>
      <c r="Q354" s="17"/>
      <c r="R354" s="17">
        <v>184118</v>
      </c>
      <c r="S354" s="17"/>
      <c r="T354" s="17">
        <v>2496155</v>
      </c>
      <c r="U354" s="17"/>
      <c r="V354" s="17">
        <v>626379</v>
      </c>
      <c r="W354" s="17"/>
      <c r="X354" s="17">
        <v>144053</v>
      </c>
      <c r="Y354" s="17"/>
      <c r="Z354" s="17">
        <v>183327</v>
      </c>
      <c r="AA354" s="17"/>
      <c r="AB354" s="17">
        <v>21990.379310344801</v>
      </c>
      <c r="AC354" s="17"/>
      <c r="AD354" s="17">
        <v>0</v>
      </c>
      <c r="AE354" s="17"/>
      <c r="AF354" s="17">
        <f t="shared" si="264"/>
        <v>0</v>
      </c>
      <c r="AG354" s="18">
        <f t="shared" si="265"/>
        <v>0</v>
      </c>
      <c r="AH354" s="17">
        <f t="shared" si="266"/>
        <v>-12140564.735394981</v>
      </c>
      <c r="AI354" s="20">
        <f t="shared" si="267"/>
        <v>-1</v>
      </c>
      <c r="AJ354" s="20">
        <f t="shared" si="268"/>
        <v>8.3796062506301991E-2</v>
      </c>
      <c r="AK354" s="21" t="e">
        <f t="shared" si="281"/>
        <v>#DIV/0!</v>
      </c>
      <c r="AL354" s="21">
        <f t="shared" si="269"/>
        <v>-1</v>
      </c>
      <c r="AM354" s="31"/>
      <c r="AO354" s="57">
        <f t="shared" si="270"/>
        <v>46373</v>
      </c>
      <c r="AP354" s="6">
        <f>+Tabla22[[#This Row],[Web + APP 2025]]+Tabla22[[#This Row],[Afiliados 2025]]+Tabla22[[#This Row],[TMK 2025]]+Tabla22[[#This Row],[WA 2025]]+Tabla22[[#This Row],[Ent. en Tienda 2025]]</f>
        <v>5826377.3103448274</v>
      </c>
      <c r="AQ354" s="6">
        <f>+Tabla22[[#This Row],[Meli Drop 2025]]+Tabla22[[#This Row],[Meli Full 2025]]+Tabla22[[#This Row],[Amazon Drop 2025]]+Tabla22[[#This Row],[Amazon Full 2025]]+Tabla22[[#This Row],[TikTok 2025]]+Tabla22[[#This Row],[Shein 2025]]</f>
        <v>3471904.3793103448</v>
      </c>
      <c r="AR354" s="58">
        <f t="shared" si="271"/>
        <v>0</v>
      </c>
      <c r="AS354" s="58">
        <f t="shared" si="272"/>
        <v>0</v>
      </c>
      <c r="AT354" s="59">
        <f t="shared" si="273"/>
        <v>-1</v>
      </c>
      <c r="AU354" s="59">
        <f t="shared" si="274"/>
        <v>-1</v>
      </c>
      <c r="AV354" s="58">
        <f t="shared" si="275"/>
        <v>7561054.78128119</v>
      </c>
      <c r="AW354" s="58">
        <f t="shared" si="276"/>
        <v>4579509.9541137898</v>
      </c>
      <c r="AX354" s="59">
        <f t="shared" si="277"/>
        <v>0</v>
      </c>
      <c r="AY354" s="59">
        <f t="shared" si="278"/>
        <v>0</v>
      </c>
      <c r="AZ354" s="59">
        <f t="shared" si="279"/>
        <v>0</v>
      </c>
      <c r="BA354" s="27">
        <v>5.9474155248230999E-2</v>
      </c>
      <c r="BB354" s="27">
        <v>4.4984365410181103E-2</v>
      </c>
      <c r="BC354" s="27"/>
      <c r="BD354" s="27"/>
    </row>
    <row r="355" spans="1:56" ht="14.25" hidden="1" customHeight="1" x14ac:dyDescent="0.35">
      <c r="A355" s="19">
        <v>46009</v>
      </c>
      <c r="B355" s="17">
        <v>89154537</v>
      </c>
      <c r="C355" s="17">
        <f t="shared" si="262"/>
        <v>7470799.1551724132</v>
      </c>
      <c r="D355" s="18">
        <f t="shared" si="280"/>
        <v>3.9760131395216343E-2</v>
      </c>
      <c r="E355" s="17"/>
      <c r="F355" s="19">
        <v>46374</v>
      </c>
      <c r="G355" s="17">
        <f t="shared" si="263"/>
        <v>9743710.1453950405</v>
      </c>
      <c r="H355" s="17">
        <v>6730248.0431377003</v>
      </c>
      <c r="I355" s="17">
        <v>3013462.1022573402</v>
      </c>
      <c r="J355" s="17">
        <v>4907692</v>
      </c>
      <c r="K355" s="17"/>
      <c r="L355" s="17">
        <v>57534.482758620703</v>
      </c>
      <c r="M355" s="17"/>
      <c r="N355" s="17">
        <v>25079</v>
      </c>
      <c r="O355" s="17"/>
      <c r="P355" s="17">
        <v>0</v>
      </c>
      <c r="Q355" s="17"/>
      <c r="R355" s="17">
        <v>195871</v>
      </c>
      <c r="S355" s="17"/>
      <c r="T355" s="17">
        <v>1595724</v>
      </c>
      <c r="U355" s="17"/>
      <c r="V355" s="17">
        <v>465815</v>
      </c>
      <c r="W355" s="17"/>
      <c r="X355" s="17">
        <v>88159</v>
      </c>
      <c r="Y355" s="17"/>
      <c r="Z355" s="17">
        <v>123030</v>
      </c>
      <c r="AA355" s="17"/>
      <c r="AB355" s="17">
        <v>12842.0862068966</v>
      </c>
      <c r="AC355" s="17"/>
      <c r="AD355" s="17">
        <v>-947.41379310344803</v>
      </c>
      <c r="AE355" s="17"/>
      <c r="AF355" s="17">
        <f t="shared" si="264"/>
        <v>0</v>
      </c>
      <c r="AG355" s="18">
        <f t="shared" si="265"/>
        <v>0</v>
      </c>
      <c r="AH355" s="17">
        <f t="shared" si="266"/>
        <v>-9743710.1453950405</v>
      </c>
      <c r="AI355" s="20">
        <f t="shared" si="267"/>
        <v>-1</v>
      </c>
      <c r="AJ355" s="20">
        <f t="shared" si="268"/>
        <v>6.442840868649688E-2</v>
      </c>
      <c r="AK355" s="21" t="e">
        <f t="shared" si="281"/>
        <v>#DIV/0!</v>
      </c>
      <c r="AL355" s="21">
        <f t="shared" si="269"/>
        <v>-1</v>
      </c>
      <c r="AM355" s="31"/>
      <c r="AO355" s="57">
        <f t="shared" si="270"/>
        <v>46374</v>
      </c>
      <c r="AP355" s="6">
        <f>+Tabla22[[#This Row],[Web + APP 2025]]+Tabla22[[#This Row],[Afiliados 2025]]+Tabla22[[#This Row],[TMK 2025]]+Tabla22[[#This Row],[WA 2025]]+Tabla22[[#This Row],[Ent. en Tienda 2025]]</f>
        <v>5186176.4827586208</v>
      </c>
      <c r="AQ355" s="6">
        <f>+Tabla22[[#This Row],[Meli Drop 2025]]+Tabla22[[#This Row],[Meli Full 2025]]+Tabla22[[#This Row],[Amazon Drop 2025]]+Tabla22[[#This Row],[Amazon Full 2025]]+Tabla22[[#This Row],[TikTok 2025]]+Tabla22[[#This Row],[Shein 2025]]</f>
        <v>2284622.6724137934</v>
      </c>
      <c r="AR355" s="58">
        <f t="shared" si="271"/>
        <v>0</v>
      </c>
      <c r="AS355" s="58">
        <f t="shared" si="272"/>
        <v>0</v>
      </c>
      <c r="AT355" s="59">
        <f t="shared" si="273"/>
        <v>-1</v>
      </c>
      <c r="AU355" s="59">
        <f t="shared" si="274"/>
        <v>-1</v>
      </c>
      <c r="AV355" s="58">
        <f t="shared" si="275"/>
        <v>6730248.0431377003</v>
      </c>
      <c r="AW355" s="58">
        <f t="shared" si="276"/>
        <v>3013462.1022573402</v>
      </c>
      <c r="AX355" s="59">
        <f t="shared" si="277"/>
        <v>0</v>
      </c>
      <c r="AY355" s="59">
        <f t="shared" si="278"/>
        <v>0</v>
      </c>
      <c r="AZ355" s="59">
        <f t="shared" si="279"/>
        <v>0</v>
      </c>
      <c r="BA355" s="27">
        <v>3.9135871457887501E-2</v>
      </c>
      <c r="BB355" s="27">
        <v>4.0041495007176998E-2</v>
      </c>
      <c r="BC355" s="27"/>
      <c r="BD355" s="27"/>
    </row>
    <row r="356" spans="1:56" ht="14.25" hidden="1" customHeight="1" x14ac:dyDescent="0.35">
      <c r="A356" s="16">
        <v>46010</v>
      </c>
      <c r="B356" s="17">
        <v>93901132</v>
      </c>
      <c r="C356" s="17">
        <f t="shared" si="262"/>
        <v>6049900.5086206896</v>
      </c>
      <c r="D356" s="18">
        <f t="shared" si="280"/>
        <v>3.2198006418657825E-2</v>
      </c>
      <c r="E356" s="17"/>
      <c r="F356" s="19">
        <v>46375</v>
      </c>
      <c r="G356" s="17">
        <f t="shared" si="263"/>
        <v>7881734.6451879498</v>
      </c>
      <c r="H356" s="17">
        <v>5985567.1027632495</v>
      </c>
      <c r="I356" s="17">
        <v>1896167.5424247</v>
      </c>
      <c r="J356" s="17">
        <v>4233630</v>
      </c>
      <c r="K356" s="17"/>
      <c r="L356" s="17">
        <v>55192.241379310297</v>
      </c>
      <c r="M356" s="17"/>
      <c r="N356" s="17">
        <v>61571</v>
      </c>
      <c r="O356" s="17"/>
      <c r="P356" s="17">
        <v>1807</v>
      </c>
      <c r="Q356" s="17"/>
      <c r="R356" s="17">
        <v>260142</v>
      </c>
      <c r="S356" s="17"/>
      <c r="T356" s="17">
        <v>910724</v>
      </c>
      <c r="U356" s="17"/>
      <c r="V356" s="17">
        <v>311790</v>
      </c>
      <c r="W356" s="17"/>
      <c r="X356" s="17">
        <v>88213</v>
      </c>
      <c r="Y356" s="17"/>
      <c r="Z356" s="17">
        <v>121448</v>
      </c>
      <c r="AA356" s="17"/>
      <c r="AB356" s="17">
        <v>5383.2672413793098</v>
      </c>
      <c r="AC356" s="17"/>
      <c r="AD356" s="17">
        <v>0</v>
      </c>
      <c r="AE356" s="17"/>
      <c r="AF356" s="17">
        <f t="shared" si="264"/>
        <v>0</v>
      </c>
      <c r="AG356" s="18">
        <f t="shared" si="265"/>
        <v>0</v>
      </c>
      <c r="AH356" s="17">
        <f t="shared" si="266"/>
        <v>-7881734.6451879498</v>
      </c>
      <c r="AI356" s="20">
        <f t="shared" si="267"/>
        <v>-1</v>
      </c>
      <c r="AJ356" s="20">
        <f t="shared" si="268"/>
        <v>4.7993648997108257E-2</v>
      </c>
      <c r="AK356" s="21" t="e">
        <f t="shared" si="281"/>
        <v>#DIV/0!</v>
      </c>
      <c r="AL356" s="21">
        <f t="shared" si="269"/>
        <v>-1</v>
      </c>
      <c r="AM356" s="31"/>
      <c r="AO356" s="57">
        <f t="shared" si="270"/>
        <v>46375</v>
      </c>
      <c r="AP356" s="6">
        <f>+Tabla22[[#This Row],[Web + APP 2025]]+Tabla22[[#This Row],[Afiliados 2025]]+Tabla22[[#This Row],[TMK 2025]]+Tabla22[[#This Row],[WA 2025]]+Tabla22[[#This Row],[Ent. en Tienda 2025]]</f>
        <v>4612342.2413793104</v>
      </c>
      <c r="AQ356" s="6">
        <f>+Tabla22[[#This Row],[Meli Drop 2025]]+Tabla22[[#This Row],[Meli Full 2025]]+Tabla22[[#This Row],[Amazon Drop 2025]]+Tabla22[[#This Row],[Amazon Full 2025]]+Tabla22[[#This Row],[TikTok 2025]]+Tabla22[[#This Row],[Shein 2025]]</f>
        <v>1437558.2672413792</v>
      </c>
      <c r="AR356" s="58">
        <f t="shared" si="271"/>
        <v>0</v>
      </c>
      <c r="AS356" s="58">
        <f t="shared" si="272"/>
        <v>0</v>
      </c>
      <c r="AT356" s="59">
        <f t="shared" si="273"/>
        <v>-1</v>
      </c>
      <c r="AU356" s="59">
        <f t="shared" si="274"/>
        <v>-1</v>
      </c>
      <c r="AV356" s="58">
        <f t="shared" si="275"/>
        <v>5985567.1027632495</v>
      </c>
      <c r="AW356" s="58">
        <f t="shared" si="276"/>
        <v>1896167.5424247</v>
      </c>
      <c r="AX356" s="59">
        <f t="shared" si="277"/>
        <v>0</v>
      </c>
      <c r="AY356" s="59">
        <f t="shared" si="278"/>
        <v>0</v>
      </c>
      <c r="AZ356" s="59">
        <f t="shared" si="279"/>
        <v>0</v>
      </c>
      <c r="BA356" s="27">
        <v>2.46255524990221E-2</v>
      </c>
      <c r="BB356" s="27">
        <v>3.5611028557081398E-2</v>
      </c>
      <c r="BC356" s="27"/>
      <c r="BD356" s="27"/>
    </row>
    <row r="357" spans="1:56" ht="14.25" hidden="1" customHeight="1" x14ac:dyDescent="0.35">
      <c r="A357" s="19">
        <v>46011</v>
      </c>
      <c r="B357" s="17">
        <v>109415421</v>
      </c>
      <c r="C357" s="17">
        <f t="shared" si="262"/>
        <v>5251245.3103448274</v>
      </c>
      <c r="D357" s="18">
        <f t="shared" si="280"/>
        <v>2.7947505908155475E-2</v>
      </c>
      <c r="E357" s="17"/>
      <c r="F357" s="19">
        <v>46376</v>
      </c>
      <c r="G357" s="17">
        <f t="shared" si="263"/>
        <v>6854030.7340119798</v>
      </c>
      <c r="H357" s="17">
        <v>4416810.0697513102</v>
      </c>
      <c r="I357" s="17">
        <v>2437220.6642606701</v>
      </c>
      <c r="J357" s="17">
        <v>3162185</v>
      </c>
      <c r="K357" s="17"/>
      <c r="L357" s="17">
        <v>56364.655172413797</v>
      </c>
      <c r="M357" s="17"/>
      <c r="N357" s="17">
        <v>11112</v>
      </c>
      <c r="O357" s="17"/>
      <c r="P357" s="17">
        <v>6379</v>
      </c>
      <c r="Q357" s="17"/>
      <c r="R357" s="17">
        <v>167453</v>
      </c>
      <c r="S357" s="17"/>
      <c r="T357" s="17">
        <v>1460290</v>
      </c>
      <c r="U357" s="17"/>
      <c r="V357" s="17">
        <v>236261</v>
      </c>
      <c r="W357" s="17"/>
      <c r="X357" s="17">
        <v>60838</v>
      </c>
      <c r="Y357" s="17"/>
      <c r="Z357" s="17">
        <v>88123</v>
      </c>
      <c r="AA357" s="17"/>
      <c r="AB357" s="17">
        <v>2239.6551724137898</v>
      </c>
      <c r="AC357" s="17"/>
      <c r="AD357" s="17">
        <v>0</v>
      </c>
      <c r="AE357" s="17"/>
      <c r="AF357" s="17">
        <f t="shared" si="264"/>
        <v>0</v>
      </c>
      <c r="AG357" s="18">
        <f t="shared" si="265"/>
        <v>0</v>
      </c>
      <c r="AH357" s="17">
        <f t="shared" si="266"/>
        <v>-6854030.7340119798</v>
      </c>
      <c r="AI357" s="20">
        <f t="shared" si="267"/>
        <v>-1</v>
      </c>
      <c r="AJ357" s="20">
        <f t="shared" si="268"/>
        <v>3.6739346674946223E-2</v>
      </c>
      <c r="AK357" s="21" t="e">
        <f t="shared" si="281"/>
        <v>#DIV/0!</v>
      </c>
      <c r="AL357" s="21">
        <f t="shared" si="269"/>
        <v>-1</v>
      </c>
      <c r="AM357" s="31"/>
      <c r="AO357" s="57">
        <f t="shared" si="270"/>
        <v>46376</v>
      </c>
      <c r="AP357" s="6">
        <f>+Tabla22[[#This Row],[Web + APP 2025]]+Tabla22[[#This Row],[Afiliados 2025]]+Tabla22[[#This Row],[TMK 2025]]+Tabla22[[#This Row],[WA 2025]]+Tabla22[[#This Row],[Ent. en Tienda 2025]]</f>
        <v>3403493.6551724137</v>
      </c>
      <c r="AQ357" s="6">
        <f>+Tabla22[[#This Row],[Meli Drop 2025]]+Tabla22[[#This Row],[Meli Full 2025]]+Tabla22[[#This Row],[Amazon Drop 2025]]+Tabla22[[#This Row],[Amazon Full 2025]]+Tabla22[[#This Row],[TikTok 2025]]+Tabla22[[#This Row],[Shein 2025]]</f>
        <v>1847751.6551724137</v>
      </c>
      <c r="AR357" s="58">
        <f t="shared" si="271"/>
        <v>0</v>
      </c>
      <c r="AS357" s="58">
        <f t="shared" si="272"/>
        <v>0</v>
      </c>
      <c r="AT357" s="59">
        <f t="shared" si="273"/>
        <v>-1</v>
      </c>
      <c r="AU357" s="59">
        <f t="shared" si="274"/>
        <v>-1</v>
      </c>
      <c r="AV357" s="58">
        <f t="shared" si="275"/>
        <v>4416810.0697513102</v>
      </c>
      <c r="AW357" s="58">
        <f t="shared" si="276"/>
        <v>2437220.6642606701</v>
      </c>
      <c r="AX357" s="59">
        <f t="shared" si="277"/>
        <v>0</v>
      </c>
      <c r="AY357" s="59">
        <f t="shared" si="278"/>
        <v>0</v>
      </c>
      <c r="AZ357" s="59">
        <f t="shared" si="279"/>
        <v>0</v>
      </c>
      <c r="BA357" s="27">
        <v>3.16522164189698E-2</v>
      </c>
      <c r="BB357" s="27">
        <v>2.6277735563687302E-2</v>
      </c>
      <c r="BC357" s="27"/>
      <c r="BD357" s="27"/>
    </row>
    <row r="358" spans="1:56" ht="14.25" hidden="1" customHeight="1" x14ac:dyDescent="0.35">
      <c r="A358" s="16">
        <v>46012</v>
      </c>
      <c r="B358" s="17">
        <v>127581576</v>
      </c>
      <c r="C358" s="17">
        <f t="shared" si="262"/>
        <v>4687263.7499999991</v>
      </c>
      <c r="D358" s="18">
        <f t="shared" si="280"/>
        <v>2.4945955407595675E-2</v>
      </c>
      <c r="E358" s="17"/>
      <c r="F358" s="19">
        <v>46377</v>
      </c>
      <c r="G358" s="17">
        <f t="shared" si="263"/>
        <v>6106597.1445624493</v>
      </c>
      <c r="H358" s="17">
        <v>4632019.4705554498</v>
      </c>
      <c r="I358" s="17">
        <v>1474577.6740069999</v>
      </c>
      <c r="J358" s="17">
        <v>3267153</v>
      </c>
      <c r="K358" s="17"/>
      <c r="L358" s="17">
        <v>67824.137931034493</v>
      </c>
      <c r="M358" s="17"/>
      <c r="N358" s="17">
        <v>8034</v>
      </c>
      <c r="O358" s="17"/>
      <c r="P358" s="17">
        <v>4687</v>
      </c>
      <c r="Q358" s="17"/>
      <c r="R358" s="17">
        <v>221631</v>
      </c>
      <c r="S358" s="17"/>
      <c r="T358" s="17">
        <v>682525</v>
      </c>
      <c r="U358" s="17"/>
      <c r="V358" s="17">
        <v>246073</v>
      </c>
      <c r="W358" s="17"/>
      <c r="X358" s="17">
        <v>84110</v>
      </c>
      <c r="Y358" s="17"/>
      <c r="Z358" s="17">
        <v>101881</v>
      </c>
      <c r="AA358" s="17"/>
      <c r="AB358" s="17">
        <v>2570.6120689655199</v>
      </c>
      <c r="AC358" s="17"/>
      <c r="AD358" s="17">
        <v>775</v>
      </c>
      <c r="AE358" s="17"/>
      <c r="AF358" s="17">
        <f t="shared" si="264"/>
        <v>0</v>
      </c>
      <c r="AG358" s="18">
        <f t="shared" si="265"/>
        <v>0</v>
      </c>
      <c r="AH358" s="17">
        <f t="shared" si="266"/>
        <v>-6106597.1445624493</v>
      </c>
      <c r="AI358" s="20">
        <f t="shared" si="267"/>
        <v>-1</v>
      </c>
      <c r="AJ358" s="20">
        <f t="shared" si="268"/>
        <v>5.8856925811919772E-2</v>
      </c>
      <c r="AK358" s="21" t="e">
        <f t="shared" si="281"/>
        <v>#DIV/0!</v>
      </c>
      <c r="AL358" s="21">
        <f t="shared" si="269"/>
        <v>-1</v>
      </c>
      <c r="AM358" s="31"/>
      <c r="AO358" s="60">
        <f t="shared" si="270"/>
        <v>46377</v>
      </c>
      <c r="AP358" s="6">
        <f>+Tabla22[[#This Row],[Web + APP 2025]]+Tabla22[[#This Row],[Afiliados 2025]]+Tabla22[[#This Row],[TMK 2025]]+Tabla22[[#This Row],[WA 2025]]+Tabla22[[#This Row],[Ent. en Tienda 2025]]</f>
        <v>3569329.1379310344</v>
      </c>
      <c r="AQ358" s="6">
        <f>+Tabla22[[#This Row],[Meli Drop 2025]]+Tabla22[[#This Row],[Meli Full 2025]]+Tabla22[[#This Row],[Amazon Drop 2025]]+Tabla22[[#This Row],[Amazon Full 2025]]+Tabla22[[#This Row],[TikTok 2025]]+Tabla22[[#This Row],[Shein 2025]]</f>
        <v>1117934.6120689656</v>
      </c>
      <c r="AR358" s="58">
        <f t="shared" si="271"/>
        <v>0</v>
      </c>
      <c r="AS358" s="58">
        <f t="shared" si="272"/>
        <v>0</v>
      </c>
      <c r="AT358" s="59">
        <f t="shared" si="273"/>
        <v>-1</v>
      </c>
      <c r="AU358" s="59">
        <f t="shared" si="274"/>
        <v>-1</v>
      </c>
      <c r="AV358" s="58">
        <f t="shared" si="275"/>
        <v>4632019.4705554498</v>
      </c>
      <c r="AW358" s="58">
        <f t="shared" si="276"/>
        <v>1474577.6740069999</v>
      </c>
      <c r="AX358" s="59">
        <f t="shared" si="277"/>
        <v>0</v>
      </c>
      <c r="AY358" s="59">
        <f t="shared" si="278"/>
        <v>0</v>
      </c>
      <c r="AZ358" s="59">
        <f t="shared" si="279"/>
        <v>0</v>
      </c>
      <c r="BA358" s="27">
        <v>1.9150359402688302E-2</v>
      </c>
      <c r="BB358" s="27">
        <v>2.7558120193282399E-2</v>
      </c>
      <c r="BC358" s="27"/>
      <c r="BD358" s="27"/>
    </row>
    <row r="359" spans="1:56" ht="14.25" hidden="1" customHeight="1" x14ac:dyDescent="0.35">
      <c r="A359" s="19">
        <v>46013</v>
      </c>
      <c r="B359" s="17">
        <v>111476439</v>
      </c>
      <c r="C359" s="17">
        <f t="shared" si="262"/>
        <v>6561160.5</v>
      </c>
      <c r="D359" s="18">
        <f t="shared" si="280"/>
        <v>3.4918968930450774E-2</v>
      </c>
      <c r="E359" s="17"/>
      <c r="F359" s="19">
        <v>46378</v>
      </c>
      <c r="G359" s="17">
        <f t="shared" si="263"/>
        <v>8574536.6079675406</v>
      </c>
      <c r="H359" s="17">
        <v>4861628.01719655</v>
      </c>
      <c r="I359" s="17">
        <v>3712908.5907709901</v>
      </c>
      <c r="J359" s="17">
        <v>3485137</v>
      </c>
      <c r="K359" s="17"/>
      <c r="L359" s="17">
        <v>49748.275862069</v>
      </c>
      <c r="M359" s="17"/>
      <c r="N359" s="17">
        <v>47955</v>
      </c>
      <c r="O359" s="17"/>
      <c r="P359" s="17">
        <v>5639</v>
      </c>
      <c r="Q359" s="17"/>
      <c r="R359" s="17">
        <v>157781</v>
      </c>
      <c r="S359" s="17"/>
      <c r="T359" s="17">
        <v>2394236</v>
      </c>
      <c r="U359" s="17"/>
      <c r="V359" s="17">
        <v>262249</v>
      </c>
      <c r="W359" s="17"/>
      <c r="X359" s="17">
        <v>63093</v>
      </c>
      <c r="Y359" s="17"/>
      <c r="Z359" s="17">
        <v>90524</v>
      </c>
      <c r="AA359" s="17"/>
      <c r="AB359" s="17">
        <v>4798.2241379310399</v>
      </c>
      <c r="AC359" s="17"/>
      <c r="AD359" s="17">
        <v>0</v>
      </c>
      <c r="AE359" s="17"/>
      <c r="AF359" s="17">
        <f t="shared" si="264"/>
        <v>0</v>
      </c>
      <c r="AG359" s="18">
        <f t="shared" si="265"/>
        <v>0</v>
      </c>
      <c r="AH359" s="17">
        <f t="shared" si="266"/>
        <v>-8574536.6079675406</v>
      </c>
      <c r="AI359" s="20">
        <f t="shared" si="267"/>
        <v>-1</v>
      </c>
      <c r="AJ359" s="20">
        <f t="shared" si="268"/>
        <v>3.6723276356476924E-2</v>
      </c>
      <c r="AK359" s="21" t="e">
        <f t="shared" si="281"/>
        <v>#DIV/0!</v>
      </c>
      <c r="AL359" s="21">
        <f t="shared" si="269"/>
        <v>-1</v>
      </c>
      <c r="AM359" s="31"/>
      <c r="AO359" s="57">
        <f t="shared" si="270"/>
        <v>46378</v>
      </c>
      <c r="AP359" s="6">
        <f>+Tabla22[[#This Row],[Web + APP 2025]]+Tabla22[[#This Row],[Afiliados 2025]]+Tabla22[[#This Row],[TMK 2025]]+Tabla22[[#This Row],[WA 2025]]+Tabla22[[#This Row],[Ent. en Tienda 2025]]</f>
        <v>3746260.2758620689</v>
      </c>
      <c r="AQ359" s="6">
        <f>+Tabla22[[#This Row],[Meli Drop 2025]]+Tabla22[[#This Row],[Meli Full 2025]]+Tabla22[[#This Row],[Amazon Drop 2025]]+Tabla22[[#This Row],[Amazon Full 2025]]+Tabla22[[#This Row],[TikTok 2025]]+Tabla22[[#This Row],[Shein 2025]]</f>
        <v>2814900.2241379311</v>
      </c>
      <c r="AR359" s="58">
        <f t="shared" si="271"/>
        <v>0</v>
      </c>
      <c r="AS359" s="58">
        <f t="shared" si="272"/>
        <v>0</v>
      </c>
      <c r="AT359" s="59">
        <f t="shared" si="273"/>
        <v>-1</v>
      </c>
      <c r="AU359" s="59">
        <f t="shared" si="274"/>
        <v>-1</v>
      </c>
      <c r="AV359" s="58">
        <f t="shared" si="275"/>
        <v>4861628.01719655</v>
      </c>
      <c r="AW359" s="58">
        <f t="shared" si="276"/>
        <v>3712908.5907709901</v>
      </c>
      <c r="AX359" s="59">
        <f t="shared" si="277"/>
        <v>0</v>
      </c>
      <c r="AY359" s="59">
        <f t="shared" si="278"/>
        <v>0</v>
      </c>
      <c r="AZ359" s="59">
        <f t="shared" si="279"/>
        <v>0</v>
      </c>
      <c r="BA359" s="27">
        <v>4.8219592087934901E-2</v>
      </c>
      <c r="BB359" s="27">
        <v>2.8924172293443799E-2</v>
      </c>
      <c r="BC359" s="27"/>
      <c r="BD359" s="27"/>
    </row>
    <row r="360" spans="1:56" ht="14.25" hidden="1" customHeight="1" x14ac:dyDescent="0.35">
      <c r="A360" s="16">
        <v>46014</v>
      </c>
      <c r="B360" s="17">
        <v>111875362</v>
      </c>
      <c r="C360" s="17">
        <f t="shared" si="262"/>
        <v>4108429.8362068967</v>
      </c>
      <c r="D360" s="18">
        <f t="shared" si="280"/>
        <v>2.1865359611831715E-2</v>
      </c>
      <c r="E360" s="17"/>
      <c r="F360" s="19">
        <v>46379</v>
      </c>
      <c r="G360" s="17">
        <f t="shared" si="263"/>
        <v>5347551.7033749828</v>
      </c>
      <c r="H360" s="17">
        <v>4360918.6119045001</v>
      </c>
      <c r="I360" s="17">
        <v>986633.09147048299</v>
      </c>
      <c r="J360" s="17">
        <v>3161304</v>
      </c>
      <c r="K360" s="17"/>
      <c r="L360" s="17">
        <v>49668.965517241399</v>
      </c>
      <c r="M360" s="17"/>
      <c r="N360" s="17">
        <v>40624</v>
      </c>
      <c r="O360" s="17"/>
      <c r="P360" s="17">
        <v>2572</v>
      </c>
      <c r="Q360" s="17"/>
      <c r="R360" s="17">
        <v>106256</v>
      </c>
      <c r="S360" s="17"/>
      <c r="T360" s="17">
        <v>434393</v>
      </c>
      <c r="U360" s="17"/>
      <c r="V360" s="17">
        <v>198282</v>
      </c>
      <c r="W360" s="17"/>
      <c r="X360" s="17">
        <v>42615</v>
      </c>
      <c r="Y360" s="17"/>
      <c r="Z360" s="17">
        <v>57674</v>
      </c>
      <c r="AA360" s="17"/>
      <c r="AB360" s="17">
        <v>15040.870689655199</v>
      </c>
      <c r="AC360" s="17"/>
      <c r="AD360" s="17">
        <v>0</v>
      </c>
      <c r="AE360" s="17"/>
      <c r="AF360" s="17">
        <f t="shared" si="264"/>
        <v>0</v>
      </c>
      <c r="AG360" s="18">
        <f t="shared" si="265"/>
        <v>0</v>
      </c>
      <c r="AH360" s="17">
        <f t="shared" si="266"/>
        <v>-5347551.7033749828</v>
      </c>
      <c r="AI360" s="20">
        <f t="shared" si="267"/>
        <v>-1</v>
      </c>
      <c r="AJ360" s="20">
        <f t="shared" si="268"/>
        <v>4.149018268199136E-2</v>
      </c>
      <c r="AK360" s="21" t="e">
        <f t="shared" si="281"/>
        <v>#DIV/0!</v>
      </c>
      <c r="AL360" s="21">
        <f t="shared" si="269"/>
        <v>-1</v>
      </c>
      <c r="AM360" s="31"/>
      <c r="AO360" s="57">
        <f t="shared" si="270"/>
        <v>46379</v>
      </c>
      <c r="AP360" s="6">
        <f>+Tabla22[[#This Row],[Web + APP 2025]]+Tabla22[[#This Row],[Afiliados 2025]]+Tabla22[[#This Row],[TMK 2025]]+Tabla22[[#This Row],[WA 2025]]+Tabla22[[#This Row],[Ent. en Tienda 2025]]</f>
        <v>3360424.9655172415</v>
      </c>
      <c r="AQ360" s="6">
        <f>+Tabla22[[#This Row],[Meli Drop 2025]]+Tabla22[[#This Row],[Meli Full 2025]]+Tabla22[[#This Row],[Amazon Drop 2025]]+Tabla22[[#This Row],[Amazon Full 2025]]+Tabla22[[#This Row],[TikTok 2025]]+Tabla22[[#This Row],[Shein 2025]]</f>
        <v>748004.87068965519</v>
      </c>
      <c r="AR360" s="58">
        <f t="shared" si="271"/>
        <v>0</v>
      </c>
      <c r="AS360" s="58">
        <f t="shared" si="272"/>
        <v>0</v>
      </c>
      <c r="AT360" s="59">
        <f t="shared" si="273"/>
        <v>-1</v>
      </c>
      <c r="AU360" s="59">
        <f t="shared" si="274"/>
        <v>-1</v>
      </c>
      <c r="AV360" s="58">
        <f t="shared" si="275"/>
        <v>4360918.6119045001</v>
      </c>
      <c r="AW360" s="58">
        <f t="shared" si="276"/>
        <v>986633.09147048299</v>
      </c>
      <c r="AX360" s="59">
        <f t="shared" si="277"/>
        <v>0</v>
      </c>
      <c r="AY360" s="59">
        <f t="shared" si="278"/>
        <v>0</v>
      </c>
      <c r="AZ360" s="59">
        <f t="shared" si="279"/>
        <v>0</v>
      </c>
      <c r="BA360" s="27">
        <v>1.28134167723439E-2</v>
      </c>
      <c r="BB360" s="27">
        <v>2.5945210296271799E-2</v>
      </c>
      <c r="BC360" s="27"/>
      <c r="BD360" s="27"/>
    </row>
    <row r="361" spans="1:56" ht="14.25" hidden="1" customHeight="1" x14ac:dyDescent="0.35">
      <c r="A361" s="19">
        <v>46015</v>
      </c>
      <c r="B361" s="17">
        <v>53918132</v>
      </c>
      <c r="C361" s="17">
        <f t="shared" si="262"/>
        <v>2237073.1465517241</v>
      </c>
      <c r="D361" s="18">
        <f t="shared" si="280"/>
        <v>1.1905864473150047E-2</v>
      </c>
      <c r="E361" s="17"/>
      <c r="F361" s="19">
        <v>46380</v>
      </c>
      <c r="G361" s="17">
        <f t="shared" si="263"/>
        <v>2911968.3938946808</v>
      </c>
      <c r="H361" s="17">
        <v>2363376.4382297499</v>
      </c>
      <c r="I361" s="17">
        <v>548591.95566493098</v>
      </c>
      <c r="J361" s="17">
        <v>1627852</v>
      </c>
      <c r="K361" s="17"/>
      <c r="L361" s="17">
        <v>28223.275862069</v>
      </c>
      <c r="M361" s="17"/>
      <c r="N361" s="17">
        <v>5195</v>
      </c>
      <c r="O361" s="17"/>
      <c r="P361" s="17">
        <v>3081</v>
      </c>
      <c r="Q361" s="17"/>
      <c r="R361" s="17">
        <v>156813</v>
      </c>
      <c r="S361" s="17"/>
      <c r="T361" s="17">
        <v>160817</v>
      </c>
      <c r="U361" s="17"/>
      <c r="V361" s="17">
        <v>185477</v>
      </c>
      <c r="W361" s="17"/>
      <c r="X361" s="17">
        <v>29110</v>
      </c>
      <c r="Y361" s="17"/>
      <c r="Z361" s="17">
        <v>38376</v>
      </c>
      <c r="AA361" s="17"/>
      <c r="AB361" s="17">
        <v>2128.8706896551698</v>
      </c>
      <c r="AC361" s="17"/>
      <c r="AD361" s="17">
        <v>0</v>
      </c>
      <c r="AE361" s="17"/>
      <c r="AF361" s="17">
        <f t="shared" si="264"/>
        <v>0</v>
      </c>
      <c r="AG361" s="18">
        <f t="shared" si="265"/>
        <v>0</v>
      </c>
      <c r="AH361" s="17">
        <f t="shared" si="266"/>
        <v>-2911968.3938946808</v>
      </c>
      <c r="AI361" s="20">
        <f t="shared" si="267"/>
        <v>-1</v>
      </c>
      <c r="AJ361" s="20">
        <f t="shared" si="268"/>
        <v>1.0154091726609291</v>
      </c>
      <c r="AK361" s="21" t="e">
        <f t="shared" si="281"/>
        <v>#DIV/0!</v>
      </c>
      <c r="AL361" s="21">
        <f t="shared" si="269"/>
        <v>-1</v>
      </c>
      <c r="AM361" s="31"/>
      <c r="AO361" s="57">
        <f t="shared" si="270"/>
        <v>46380</v>
      </c>
      <c r="AP361" s="6">
        <f>+Tabla22[[#This Row],[Web + APP 2025]]+Tabla22[[#This Row],[Afiliados 2025]]+Tabla22[[#This Row],[TMK 2025]]+Tabla22[[#This Row],[WA 2025]]+Tabla22[[#This Row],[Ent. en Tienda 2025]]</f>
        <v>1821164.2758620691</v>
      </c>
      <c r="AQ361" s="6">
        <f>+Tabla22[[#This Row],[Meli Drop 2025]]+Tabla22[[#This Row],[Meli Full 2025]]+Tabla22[[#This Row],[Amazon Drop 2025]]+Tabla22[[#This Row],[Amazon Full 2025]]+Tabla22[[#This Row],[TikTok 2025]]+Tabla22[[#This Row],[Shein 2025]]</f>
        <v>415908.87068965519</v>
      </c>
      <c r="AR361" s="58">
        <f t="shared" si="271"/>
        <v>0</v>
      </c>
      <c r="AS361" s="58">
        <f t="shared" si="272"/>
        <v>0</v>
      </c>
      <c r="AT361" s="59">
        <f t="shared" si="273"/>
        <v>-1</v>
      </c>
      <c r="AU361" s="59">
        <f t="shared" si="274"/>
        <v>-1</v>
      </c>
      <c r="AV361" s="58">
        <f t="shared" si="275"/>
        <v>2363376.4382297499</v>
      </c>
      <c r="AW361" s="58">
        <f t="shared" si="276"/>
        <v>548591.95566493098</v>
      </c>
      <c r="AX361" s="59">
        <f t="shared" si="277"/>
        <v>0</v>
      </c>
      <c r="AY361" s="59">
        <f t="shared" si="278"/>
        <v>0</v>
      </c>
      <c r="AZ361" s="59">
        <f t="shared" si="279"/>
        <v>0</v>
      </c>
      <c r="BA361" s="27">
        <v>7.12457085279131E-3</v>
      </c>
      <c r="BB361" s="27">
        <v>1.40608674813919E-2</v>
      </c>
      <c r="BC361" s="27"/>
      <c r="BD361" s="27"/>
    </row>
    <row r="362" spans="1:56" ht="14.25" hidden="1" customHeight="1" x14ac:dyDescent="0.35">
      <c r="A362" s="16">
        <v>46016</v>
      </c>
      <c r="B362" s="17">
        <v>2799799</v>
      </c>
      <c r="C362" s="17">
        <f t="shared" si="262"/>
        <v>2842941.5862068967</v>
      </c>
      <c r="D362" s="18">
        <f t="shared" si="280"/>
        <v>1.5130339963463028E-2</v>
      </c>
      <c r="E362" s="17"/>
      <c r="F362" s="19">
        <v>46381</v>
      </c>
      <c r="G362" s="17">
        <f t="shared" si="263"/>
        <v>3715710.5043031201</v>
      </c>
      <c r="H362" s="17">
        <v>2083625.5491528299</v>
      </c>
      <c r="I362" s="17">
        <v>1632084.9551502899</v>
      </c>
      <c r="J362" s="17">
        <v>1583968</v>
      </c>
      <c r="K362" s="17"/>
      <c r="L362" s="17">
        <v>20177.586206896602</v>
      </c>
      <c r="M362" s="17"/>
      <c r="N362" s="17">
        <v>-301</v>
      </c>
      <c r="O362" s="17"/>
      <c r="P362" s="17">
        <v>875</v>
      </c>
      <c r="Q362" s="17"/>
      <c r="R362" s="17">
        <v>875</v>
      </c>
      <c r="S362" s="17"/>
      <c r="T362" s="17">
        <v>937342</v>
      </c>
      <c r="U362" s="17"/>
      <c r="V362" s="17">
        <v>208467</v>
      </c>
      <c r="W362" s="17"/>
      <c r="X362" s="17">
        <v>42593</v>
      </c>
      <c r="Y362" s="17"/>
      <c r="Z362" s="17">
        <v>48945</v>
      </c>
      <c r="AA362" s="17"/>
      <c r="AB362" s="17">
        <v>0</v>
      </c>
      <c r="AC362" s="17"/>
      <c r="AD362" s="17">
        <v>0</v>
      </c>
      <c r="AE362" s="17"/>
      <c r="AF362" s="17">
        <f t="shared" si="264"/>
        <v>0</v>
      </c>
      <c r="AG362" s="18">
        <f t="shared" si="265"/>
        <v>0</v>
      </c>
      <c r="AH362" s="17">
        <f t="shared" si="266"/>
        <v>-3715710.5043031201</v>
      </c>
      <c r="AI362" s="20">
        <f t="shared" si="267"/>
        <v>-1</v>
      </c>
      <c r="AJ362" s="20">
        <f t="shared" si="268"/>
        <v>7.7717782168641808E-2</v>
      </c>
      <c r="AK362" s="21" t="e">
        <f t="shared" si="281"/>
        <v>#DIV/0!</v>
      </c>
      <c r="AL362" s="21">
        <f t="shared" si="269"/>
        <v>-1</v>
      </c>
      <c r="AM362" s="31"/>
      <c r="AO362" s="57">
        <f t="shared" si="270"/>
        <v>46381</v>
      </c>
      <c r="AP362" s="6">
        <f>+Tabla22[[#This Row],[Web + APP 2025]]+Tabla22[[#This Row],[Afiliados 2025]]+Tabla22[[#This Row],[TMK 2025]]+Tabla22[[#This Row],[WA 2025]]+Tabla22[[#This Row],[Ent. en Tienda 2025]]</f>
        <v>1605594.5862068967</v>
      </c>
      <c r="AQ362" s="6">
        <f>+Tabla22[[#This Row],[Meli Drop 2025]]+Tabla22[[#This Row],[Meli Full 2025]]+Tabla22[[#This Row],[Amazon Drop 2025]]+Tabla22[[#This Row],[Amazon Full 2025]]+Tabla22[[#This Row],[TikTok 2025]]+Tabla22[[#This Row],[Shein 2025]]</f>
        <v>1237347</v>
      </c>
      <c r="AR362" s="58">
        <f t="shared" si="271"/>
        <v>0</v>
      </c>
      <c r="AS362" s="58">
        <f t="shared" si="272"/>
        <v>0</v>
      </c>
      <c r="AT362" s="59">
        <f t="shared" si="273"/>
        <v>-1</v>
      </c>
      <c r="AU362" s="59">
        <f t="shared" si="274"/>
        <v>-1</v>
      </c>
      <c r="AV362" s="58">
        <f t="shared" si="275"/>
        <v>2083625.5491528299</v>
      </c>
      <c r="AW362" s="58">
        <f t="shared" si="276"/>
        <v>1632084.9551502899</v>
      </c>
      <c r="AX362" s="59">
        <f t="shared" si="277"/>
        <v>0</v>
      </c>
      <c r="AY362" s="59">
        <f t="shared" si="278"/>
        <v>0</v>
      </c>
      <c r="AZ362" s="59">
        <f t="shared" si="279"/>
        <v>0</v>
      </c>
      <c r="BA362" s="27">
        <v>2.11959085084454E-2</v>
      </c>
      <c r="BB362" s="27">
        <v>1.23964943770978E-2</v>
      </c>
      <c r="BC362" s="27"/>
      <c r="BD362" s="27"/>
    </row>
    <row r="363" spans="1:56" ht="14.25" hidden="1" customHeight="1" x14ac:dyDescent="0.35">
      <c r="A363" s="19">
        <v>46017</v>
      </c>
      <c r="B363" s="17">
        <v>53118932</v>
      </c>
      <c r="C363" s="17">
        <f t="shared" si="262"/>
        <v>4128285.5862068967</v>
      </c>
      <c r="D363" s="18">
        <f t="shared" si="280"/>
        <v>2.1971033343992481E-2</v>
      </c>
      <c r="E363" s="17"/>
      <c r="F363" s="19">
        <v>46382</v>
      </c>
      <c r="G363" s="17">
        <f t="shared" si="263"/>
        <v>5383194.09358921</v>
      </c>
      <c r="H363" s="17">
        <v>3784792.4418557999</v>
      </c>
      <c r="I363" s="17">
        <v>1598401.6517334101</v>
      </c>
      <c r="J363" s="17">
        <v>2721769</v>
      </c>
      <c r="K363" s="17"/>
      <c r="L363" s="17">
        <v>46586.206896551703</v>
      </c>
      <c r="M363" s="17"/>
      <c r="N363" s="17">
        <v>3089</v>
      </c>
      <c r="O363" s="17"/>
      <c r="P363" s="17">
        <v>3108</v>
      </c>
      <c r="Q363" s="17"/>
      <c r="R363" s="17">
        <v>141923</v>
      </c>
      <c r="S363" s="17"/>
      <c r="T363" s="17">
        <v>871637</v>
      </c>
      <c r="U363" s="17"/>
      <c r="V363" s="17">
        <v>261080</v>
      </c>
      <c r="W363" s="17"/>
      <c r="X363" s="17">
        <v>31394</v>
      </c>
      <c r="Y363" s="17"/>
      <c r="Z363" s="17">
        <v>47183</v>
      </c>
      <c r="AA363" s="17"/>
      <c r="AB363" s="17">
        <v>516.37931034482801</v>
      </c>
      <c r="AC363" s="17"/>
      <c r="AD363" s="17">
        <v>0</v>
      </c>
      <c r="AE363" s="17"/>
      <c r="AF363" s="17">
        <f t="shared" si="264"/>
        <v>0</v>
      </c>
      <c r="AG363" s="18">
        <f t="shared" si="265"/>
        <v>0</v>
      </c>
      <c r="AH363" s="17">
        <f t="shared" si="266"/>
        <v>-5383194.09358921</v>
      </c>
      <c r="AI363" s="20">
        <f t="shared" si="267"/>
        <v>-1</v>
      </c>
      <c r="AJ363" s="20">
        <f t="shared" si="268"/>
        <v>5.7728269867496684E-2</v>
      </c>
      <c r="AK363" s="21" t="e">
        <f t="shared" si="281"/>
        <v>#DIV/0!</v>
      </c>
      <c r="AL363" s="21">
        <f t="shared" si="269"/>
        <v>-1</v>
      </c>
      <c r="AM363" s="31"/>
      <c r="AO363" s="60">
        <f t="shared" si="270"/>
        <v>46382</v>
      </c>
      <c r="AP363" s="6">
        <f>+Tabla22[[#This Row],[Web + APP 2025]]+Tabla22[[#This Row],[Afiliados 2025]]+Tabla22[[#This Row],[TMK 2025]]+Tabla22[[#This Row],[WA 2025]]+Tabla22[[#This Row],[Ent. en Tienda 2025]]</f>
        <v>2916475.2068965519</v>
      </c>
      <c r="AQ363" s="6">
        <f>+Tabla22[[#This Row],[Meli Drop 2025]]+Tabla22[[#This Row],[Meli Full 2025]]+Tabla22[[#This Row],[Amazon Drop 2025]]+Tabla22[[#This Row],[Amazon Full 2025]]+Tabla22[[#This Row],[TikTok 2025]]+Tabla22[[#This Row],[Shein 2025]]</f>
        <v>1211810.3793103448</v>
      </c>
      <c r="AR363" s="58">
        <f t="shared" si="271"/>
        <v>0</v>
      </c>
      <c r="AS363" s="58">
        <f t="shared" si="272"/>
        <v>0</v>
      </c>
      <c r="AT363" s="59">
        <f t="shared" si="273"/>
        <v>-1</v>
      </c>
      <c r="AU363" s="59">
        <f t="shared" si="274"/>
        <v>-1</v>
      </c>
      <c r="AV363" s="58">
        <f t="shared" si="275"/>
        <v>3784792.4418557999</v>
      </c>
      <c r="AW363" s="58">
        <f t="shared" si="276"/>
        <v>1598401.6517334101</v>
      </c>
      <c r="AX363" s="59">
        <f t="shared" si="277"/>
        <v>0</v>
      </c>
      <c r="AY363" s="59">
        <f t="shared" si="278"/>
        <v>0</v>
      </c>
      <c r="AZ363" s="59">
        <f t="shared" si="279"/>
        <v>0</v>
      </c>
      <c r="BA363" s="27">
        <v>2.07584630095249E-2</v>
      </c>
      <c r="BB363" s="27">
        <v>2.2517557553958598E-2</v>
      </c>
      <c r="BC363" s="27"/>
      <c r="BD363" s="27"/>
    </row>
    <row r="364" spans="1:56" ht="14.25" hidden="1" customHeight="1" x14ac:dyDescent="0.35">
      <c r="A364" s="16">
        <v>46018</v>
      </c>
      <c r="B364" s="17">
        <v>58987154</v>
      </c>
      <c r="C364" s="17">
        <f t="shared" si="262"/>
        <v>3405226.3448275863</v>
      </c>
      <c r="D364" s="18">
        <f t="shared" si="280"/>
        <v>1.8122859962987788E-2</v>
      </c>
      <c r="E364" s="17"/>
      <c r="F364" s="19">
        <v>46383</v>
      </c>
      <c r="G364" s="17">
        <f t="shared" si="263"/>
        <v>4438762.4189326297</v>
      </c>
      <c r="H364" s="17">
        <v>3218090.7775387201</v>
      </c>
      <c r="I364" s="17">
        <v>1220671.6413939099</v>
      </c>
      <c r="J364" s="17">
        <v>2337835</v>
      </c>
      <c r="K364" s="17"/>
      <c r="L364" s="17">
        <v>29682.758620689699</v>
      </c>
      <c r="M364" s="17"/>
      <c r="N364" s="17">
        <v>28710</v>
      </c>
      <c r="O364" s="17"/>
      <c r="P364" s="17">
        <v>1996</v>
      </c>
      <c r="Q364" s="17"/>
      <c r="R364" s="17">
        <v>81564</v>
      </c>
      <c r="S364" s="17"/>
      <c r="T364" s="17">
        <v>580797</v>
      </c>
      <c r="U364" s="17"/>
      <c r="V364" s="17">
        <v>266643</v>
      </c>
      <c r="W364" s="17"/>
      <c r="X364" s="17">
        <v>33335</v>
      </c>
      <c r="Y364" s="17"/>
      <c r="Z364" s="17">
        <v>43286</v>
      </c>
      <c r="AA364" s="17"/>
      <c r="AB364" s="17">
        <v>1377.58620689655</v>
      </c>
      <c r="AC364" s="17"/>
      <c r="AD364" s="17">
        <v>0</v>
      </c>
      <c r="AE364" s="17"/>
      <c r="AF364" s="17">
        <f t="shared" si="264"/>
        <v>0</v>
      </c>
      <c r="AG364" s="18">
        <f t="shared" si="265"/>
        <v>0</v>
      </c>
      <c r="AH364" s="17">
        <f t="shared" si="266"/>
        <v>-4438762.4189326297</v>
      </c>
      <c r="AI364" s="20">
        <f t="shared" si="267"/>
        <v>-1</v>
      </c>
      <c r="AJ364" s="20">
        <f t="shared" si="268"/>
        <v>5.1796928950863928E-2</v>
      </c>
      <c r="AK364" s="21" t="e">
        <f t="shared" si="281"/>
        <v>#DIV/0!</v>
      </c>
      <c r="AL364" s="21">
        <f t="shared" si="269"/>
        <v>-1</v>
      </c>
      <c r="AM364" s="31"/>
      <c r="AO364" s="57">
        <f t="shared" si="270"/>
        <v>46383</v>
      </c>
      <c r="AP364" s="6">
        <f>+Tabla22[[#This Row],[Web + APP 2025]]+Tabla22[[#This Row],[Afiliados 2025]]+Tabla22[[#This Row],[TMK 2025]]+Tabla22[[#This Row],[WA 2025]]+Tabla22[[#This Row],[Ent. en Tienda 2025]]</f>
        <v>2479787.7586206896</v>
      </c>
      <c r="AQ364" s="6">
        <f>+Tabla22[[#This Row],[Meli Drop 2025]]+Tabla22[[#This Row],[Meli Full 2025]]+Tabla22[[#This Row],[Amazon Drop 2025]]+Tabla22[[#This Row],[Amazon Full 2025]]+Tabla22[[#This Row],[TikTok 2025]]+Tabla22[[#This Row],[Shein 2025]]</f>
        <v>925438.58620689658</v>
      </c>
      <c r="AR364" s="58">
        <f t="shared" si="271"/>
        <v>0</v>
      </c>
      <c r="AS364" s="58">
        <f t="shared" si="272"/>
        <v>0</v>
      </c>
      <c r="AT364" s="59">
        <f t="shared" si="273"/>
        <v>-1</v>
      </c>
      <c r="AU364" s="59">
        <f t="shared" si="274"/>
        <v>-1</v>
      </c>
      <c r="AV364" s="58">
        <f t="shared" si="275"/>
        <v>3218090.7775387201</v>
      </c>
      <c r="AW364" s="58">
        <f t="shared" si="276"/>
        <v>1220671.6413939099</v>
      </c>
      <c r="AX364" s="59">
        <f t="shared" si="277"/>
        <v>0</v>
      </c>
      <c r="AY364" s="59">
        <f t="shared" si="278"/>
        <v>0</v>
      </c>
      <c r="AZ364" s="59">
        <f t="shared" si="279"/>
        <v>0</v>
      </c>
      <c r="BA364" s="27">
        <v>1.5852878459661199E-2</v>
      </c>
      <c r="BB364" s="27">
        <v>1.91459757464429E-2</v>
      </c>
      <c r="BC364" s="27"/>
      <c r="BD364" s="27"/>
    </row>
    <row r="365" spans="1:56" ht="14.25" hidden="1" customHeight="1" x14ac:dyDescent="0.35">
      <c r="A365" s="19">
        <v>46019</v>
      </c>
      <c r="B365" s="17">
        <v>66407159</v>
      </c>
      <c r="C365" s="17">
        <f t="shared" si="262"/>
        <v>3439686.8965517241</v>
      </c>
      <c r="D365" s="18">
        <f t="shared" si="280"/>
        <v>1.8306261502240084E-2</v>
      </c>
      <c r="E365" s="17"/>
      <c r="F365" s="19">
        <v>46384</v>
      </c>
      <c r="G365" s="17">
        <f t="shared" si="263"/>
        <v>4484247.6234333599</v>
      </c>
      <c r="H365" s="17">
        <v>3216197.5709312102</v>
      </c>
      <c r="I365" s="17">
        <v>1268050.0525021499</v>
      </c>
      <c r="J365" s="17">
        <v>2361733</v>
      </c>
      <c r="K365" s="17"/>
      <c r="L365" s="17">
        <v>46006.896551724101</v>
      </c>
      <c r="M365" s="17"/>
      <c r="N365" s="17">
        <v>-1939</v>
      </c>
      <c r="O365" s="17"/>
      <c r="P365" s="17">
        <v>5572</v>
      </c>
      <c r="Q365" s="17"/>
      <c r="R365" s="17">
        <v>66956</v>
      </c>
      <c r="S365" s="17"/>
      <c r="T365" s="17">
        <v>557576</v>
      </c>
      <c r="U365" s="17"/>
      <c r="V365" s="17">
        <v>290065</v>
      </c>
      <c r="W365" s="17"/>
      <c r="X365" s="17">
        <v>51047</v>
      </c>
      <c r="Y365" s="17"/>
      <c r="Z365" s="17">
        <v>62670</v>
      </c>
      <c r="AA365" s="17"/>
      <c r="AB365" s="17">
        <v>0</v>
      </c>
      <c r="AC365" s="17"/>
      <c r="AD365" s="17">
        <v>0</v>
      </c>
      <c r="AE365" s="17"/>
      <c r="AF365" s="17">
        <f t="shared" si="264"/>
        <v>0</v>
      </c>
      <c r="AG365" s="18">
        <f t="shared" si="265"/>
        <v>0</v>
      </c>
      <c r="AH365" s="17">
        <f t="shared" si="266"/>
        <v>-4484247.6234333599</v>
      </c>
      <c r="AI365" s="20">
        <f t="shared" si="267"/>
        <v>-1</v>
      </c>
      <c r="AJ365" s="20">
        <f t="shared" si="268"/>
        <v>7.8772924398459912E-2</v>
      </c>
      <c r="AK365" s="21" t="e">
        <f t="shared" si="281"/>
        <v>#DIV/0!</v>
      </c>
      <c r="AL365" s="21">
        <f t="shared" si="269"/>
        <v>-1</v>
      </c>
      <c r="AM365" s="31"/>
      <c r="AO365" s="57">
        <f t="shared" si="270"/>
        <v>46384</v>
      </c>
      <c r="AP365" s="6">
        <f>+Tabla22[[#This Row],[Web + APP 2025]]+Tabla22[[#This Row],[Afiliados 2025]]+Tabla22[[#This Row],[TMK 2025]]+Tabla22[[#This Row],[WA 2025]]+Tabla22[[#This Row],[Ent. en Tienda 2025]]</f>
        <v>2478328.8965517241</v>
      </c>
      <c r="AQ365" s="6">
        <f>+Tabla22[[#This Row],[Meli Drop 2025]]+Tabla22[[#This Row],[Meli Full 2025]]+Tabla22[[#This Row],[Amazon Drop 2025]]+Tabla22[[#This Row],[Amazon Full 2025]]+Tabla22[[#This Row],[TikTok 2025]]+Tabla22[[#This Row],[Shein 2025]]</f>
        <v>961358</v>
      </c>
      <c r="AR365" s="58">
        <f t="shared" si="271"/>
        <v>0</v>
      </c>
      <c r="AS365" s="58">
        <f t="shared" si="272"/>
        <v>0</v>
      </c>
      <c r="AT365" s="59">
        <f t="shared" si="273"/>
        <v>-1</v>
      </c>
      <c r="AU365" s="59">
        <f t="shared" si="274"/>
        <v>-1</v>
      </c>
      <c r="AV365" s="58">
        <f t="shared" si="275"/>
        <v>3216197.5709312102</v>
      </c>
      <c r="AW365" s="58">
        <f t="shared" si="276"/>
        <v>1268050.0525021499</v>
      </c>
      <c r="AX365" s="59">
        <f t="shared" si="277"/>
        <v>0</v>
      </c>
      <c r="AY365" s="59">
        <f t="shared" si="278"/>
        <v>0</v>
      </c>
      <c r="AZ365" s="59">
        <f t="shared" si="279"/>
        <v>0</v>
      </c>
      <c r="BA365" s="27">
        <v>1.6468182500027899E-2</v>
      </c>
      <c r="BB365" s="27">
        <v>1.9134712146284899E-2</v>
      </c>
      <c r="BC365" s="27"/>
      <c r="BD365" s="27"/>
    </row>
    <row r="366" spans="1:56" ht="14.25" hidden="1" customHeight="1" x14ac:dyDescent="0.35">
      <c r="A366" s="16">
        <v>46020</v>
      </c>
      <c r="B366" s="17">
        <v>64104194</v>
      </c>
      <c r="C366" s="17">
        <f t="shared" si="262"/>
        <v>5049674.8275862075</v>
      </c>
      <c r="D366" s="18">
        <f t="shared" si="280"/>
        <v>2.6874733275212843E-2</v>
      </c>
      <c r="E366" s="17"/>
      <c r="F366" s="19">
        <v>46385</v>
      </c>
      <c r="G366" s="17">
        <f t="shared" si="263"/>
        <v>6590760.6626815703</v>
      </c>
      <c r="H366" s="17">
        <v>4258011.2181180399</v>
      </c>
      <c r="I366" s="17">
        <v>2332749.4445635299</v>
      </c>
      <c r="J366" s="17">
        <v>3160262</v>
      </c>
      <c r="K366" s="17"/>
      <c r="L366" s="17">
        <v>41125.8620689655</v>
      </c>
      <c r="M366" s="17"/>
      <c r="N366" s="17">
        <v>-878</v>
      </c>
      <c r="O366" s="17"/>
      <c r="P366" s="17">
        <v>808</v>
      </c>
      <c r="Q366" s="17"/>
      <c r="R366" s="17">
        <v>79809</v>
      </c>
      <c r="S366" s="17"/>
      <c r="T366" s="17">
        <v>1453361</v>
      </c>
      <c r="U366" s="17"/>
      <c r="V366" s="17">
        <v>198633</v>
      </c>
      <c r="W366" s="17"/>
      <c r="X366" s="17">
        <v>31565</v>
      </c>
      <c r="Y366" s="17"/>
      <c r="Z366" s="17">
        <v>46263</v>
      </c>
      <c r="AA366" s="17"/>
      <c r="AB366" s="17">
        <v>38725.965517241399</v>
      </c>
      <c r="AC366" s="17"/>
      <c r="AD366" s="17">
        <v>0</v>
      </c>
      <c r="AE366" s="17"/>
      <c r="AF366" s="17">
        <f t="shared" si="264"/>
        <v>0</v>
      </c>
      <c r="AG366" s="18">
        <f t="shared" si="265"/>
        <v>0</v>
      </c>
      <c r="AH366" s="17">
        <f t="shared" si="266"/>
        <v>-6590760.6626815703</v>
      </c>
      <c r="AI366" s="20">
        <f t="shared" si="267"/>
        <v>-1</v>
      </c>
      <c r="AJ366" s="20">
        <f t="shared" si="268"/>
        <v>5.4388240205066843E-2</v>
      </c>
      <c r="AK366" s="21" t="e">
        <f t="shared" si="281"/>
        <v>#DIV/0!</v>
      </c>
      <c r="AL366" s="21">
        <f t="shared" si="269"/>
        <v>-1</v>
      </c>
      <c r="AM366" s="31"/>
      <c r="AO366" s="57">
        <f t="shared" si="270"/>
        <v>46385</v>
      </c>
      <c r="AP366" s="6">
        <f>+Tabla22[[#This Row],[Web + APP 2025]]+Tabla22[[#This Row],[Afiliados 2025]]+Tabla22[[#This Row],[TMK 2025]]+Tabla22[[#This Row],[WA 2025]]+Tabla22[[#This Row],[Ent. en Tienda 2025]]</f>
        <v>3281126.8620689656</v>
      </c>
      <c r="AQ366" s="6">
        <f>+Tabla22[[#This Row],[Meli Drop 2025]]+Tabla22[[#This Row],[Meli Full 2025]]+Tabla22[[#This Row],[Amazon Drop 2025]]+Tabla22[[#This Row],[Amazon Full 2025]]+Tabla22[[#This Row],[TikTok 2025]]+Tabla22[[#This Row],[Shein 2025]]</f>
        <v>1768547.9655172415</v>
      </c>
      <c r="AR366" s="58">
        <f t="shared" si="271"/>
        <v>0</v>
      </c>
      <c r="AS366" s="58">
        <f t="shared" si="272"/>
        <v>0</v>
      </c>
      <c r="AT366" s="59">
        <f t="shared" si="273"/>
        <v>-1</v>
      </c>
      <c r="AU366" s="59">
        <f t="shared" si="274"/>
        <v>-1</v>
      </c>
      <c r="AV366" s="58">
        <f t="shared" si="275"/>
        <v>4258011.2181180399</v>
      </c>
      <c r="AW366" s="58">
        <f t="shared" si="276"/>
        <v>2332749.4445635299</v>
      </c>
      <c r="AX366" s="59">
        <f t="shared" si="277"/>
        <v>0</v>
      </c>
      <c r="AY366" s="59">
        <f t="shared" si="278"/>
        <v>0</v>
      </c>
      <c r="AZ366" s="59">
        <f t="shared" si="279"/>
        <v>0</v>
      </c>
      <c r="BA366" s="27">
        <v>3.0295447331993901E-2</v>
      </c>
      <c r="BB366" s="27">
        <v>2.5332964526414401E-2</v>
      </c>
      <c r="BC366" s="27"/>
      <c r="BD366" s="27"/>
    </row>
    <row r="367" spans="1:56" ht="14.25" hidden="1" customHeight="1" x14ac:dyDescent="0.35">
      <c r="A367" s="19">
        <v>46021</v>
      </c>
      <c r="B367" s="17">
        <v>68127355</v>
      </c>
      <c r="C367" s="17">
        <f t="shared" si="262"/>
        <v>3705326.9482758618</v>
      </c>
      <c r="D367" s="18">
        <f t="shared" si="280"/>
        <v>1.9720016997603822E-2</v>
      </c>
      <c r="E367" s="17"/>
      <c r="F367" s="19">
        <v>46386</v>
      </c>
      <c r="G367" s="17">
        <f t="shared" si="263"/>
        <v>4826005.1722127907</v>
      </c>
      <c r="H367" s="17">
        <v>3742016.0053084302</v>
      </c>
      <c r="I367" s="17">
        <v>1083989.1669043601</v>
      </c>
      <c r="J367" s="17">
        <v>2661283</v>
      </c>
      <c r="K367" s="17"/>
      <c r="L367" s="17">
        <v>34689.655172413797</v>
      </c>
      <c r="M367" s="17"/>
      <c r="N367" s="17">
        <v>41930</v>
      </c>
      <c r="O367" s="17"/>
      <c r="P367" s="17">
        <v>1066</v>
      </c>
      <c r="Q367" s="17"/>
      <c r="R367" s="17">
        <v>144544</v>
      </c>
      <c r="S367" s="17"/>
      <c r="T367" s="17">
        <v>638572</v>
      </c>
      <c r="U367" s="17"/>
      <c r="V367" s="17">
        <v>76225</v>
      </c>
      <c r="W367" s="17"/>
      <c r="X367" s="17">
        <v>34881</v>
      </c>
      <c r="Y367" s="17"/>
      <c r="Z367" s="17">
        <v>48503</v>
      </c>
      <c r="AA367" s="17"/>
      <c r="AB367" s="17">
        <v>23633.293103448301</v>
      </c>
      <c r="AC367" s="17"/>
      <c r="AD367" s="17">
        <v>0</v>
      </c>
      <c r="AE367" s="17"/>
      <c r="AF367" s="17">
        <f t="shared" si="264"/>
        <v>0</v>
      </c>
      <c r="AG367" s="18">
        <f t="shared" si="265"/>
        <v>0</v>
      </c>
      <c r="AH367" s="17">
        <f t="shared" si="266"/>
        <v>-4826005.1722127907</v>
      </c>
      <c r="AI367" s="20">
        <f t="shared" si="267"/>
        <v>-1</v>
      </c>
      <c r="AJ367" s="20">
        <f t="shared" si="268"/>
        <v>5.281232545210781E-2</v>
      </c>
      <c r="AK367" s="21" t="e">
        <f t="shared" si="281"/>
        <v>#DIV/0!</v>
      </c>
      <c r="AL367" s="21">
        <f t="shared" si="269"/>
        <v>-1</v>
      </c>
      <c r="AM367" s="31"/>
      <c r="AO367" s="57">
        <f t="shared" si="270"/>
        <v>46386</v>
      </c>
      <c r="AP367" s="6">
        <f>+Tabla22[[#This Row],[Web + APP 2025]]+Tabla22[[#This Row],[Afiliados 2025]]+Tabla22[[#This Row],[TMK 2025]]+Tabla22[[#This Row],[WA 2025]]+Tabla22[[#This Row],[Ent. en Tienda 2025]]</f>
        <v>2883512.6551724137</v>
      </c>
      <c r="AQ367" s="6">
        <f>+Tabla22[[#This Row],[Meli Drop 2025]]+Tabla22[[#This Row],[Meli Full 2025]]+Tabla22[[#This Row],[Amazon Drop 2025]]+Tabla22[[#This Row],[Amazon Full 2025]]+Tabla22[[#This Row],[TikTok 2025]]+Tabla22[[#This Row],[Shein 2025]]</f>
        <v>821814.29310344835</v>
      </c>
      <c r="AR367" s="58">
        <f t="shared" si="271"/>
        <v>0</v>
      </c>
      <c r="AS367" s="58">
        <f t="shared" si="272"/>
        <v>0</v>
      </c>
      <c r="AT367" s="59">
        <f t="shared" si="273"/>
        <v>-1</v>
      </c>
      <c r="AU367" s="59">
        <f t="shared" si="274"/>
        <v>-1</v>
      </c>
      <c r="AV367" s="58">
        <f t="shared" si="275"/>
        <v>3742016.0053084302</v>
      </c>
      <c r="AW367" s="58">
        <f t="shared" si="276"/>
        <v>1083989.1669043601</v>
      </c>
      <c r="AX367" s="59">
        <f t="shared" si="277"/>
        <v>0</v>
      </c>
      <c r="AY367" s="59">
        <f t="shared" si="278"/>
        <v>0</v>
      </c>
      <c r="AZ367" s="59">
        <f t="shared" si="279"/>
        <v>0</v>
      </c>
      <c r="BA367" s="27">
        <v>1.40777813883683E-2</v>
      </c>
      <c r="BB367" s="27">
        <v>2.22630598802535E-2</v>
      </c>
      <c r="BC367" s="27"/>
      <c r="BD367" s="27"/>
    </row>
    <row r="368" spans="1:56" ht="14.25" hidden="1" customHeight="1" x14ac:dyDescent="0.35">
      <c r="A368" s="16">
        <v>46022</v>
      </c>
      <c r="B368" s="17">
        <v>34102697</v>
      </c>
      <c r="C368" s="17">
        <f t="shared" si="262"/>
        <v>1801042.7327586208</v>
      </c>
      <c r="D368" s="18">
        <f t="shared" si="280"/>
        <v>9.5852791937664737E-3</v>
      </c>
      <c r="E368" s="17"/>
      <c r="F368" s="19">
        <v>46387</v>
      </c>
      <c r="G368" s="17">
        <f t="shared" si="263"/>
        <v>2347533.6577677578</v>
      </c>
      <c r="H368" s="17">
        <v>1711325.7336611201</v>
      </c>
      <c r="I368" s="17">
        <v>636207.92410663795</v>
      </c>
      <c r="J368" s="17">
        <v>1199966</v>
      </c>
      <c r="K368" s="17"/>
      <c r="L368" s="17">
        <v>21188.793103448301</v>
      </c>
      <c r="M368" s="17"/>
      <c r="N368" s="17">
        <v>9722</v>
      </c>
      <c r="O368" s="17"/>
      <c r="P368" s="17">
        <v>473</v>
      </c>
      <c r="Q368" s="17"/>
      <c r="R368" s="17">
        <v>87359</v>
      </c>
      <c r="S368" s="17"/>
      <c r="T368" s="17">
        <v>353464</v>
      </c>
      <c r="U368" s="17"/>
      <c r="V368" s="17">
        <v>73566</v>
      </c>
      <c r="W368" s="17"/>
      <c r="X368" s="17">
        <v>22861</v>
      </c>
      <c r="Y368" s="17"/>
      <c r="Z368" s="17">
        <v>29946</v>
      </c>
      <c r="AA368" s="17"/>
      <c r="AB368" s="17">
        <v>2496.9396551724099</v>
      </c>
      <c r="AC368" s="17"/>
      <c r="AD368" s="17">
        <v>0</v>
      </c>
      <c r="AE368" s="17"/>
      <c r="AF368" s="17">
        <f t="shared" si="264"/>
        <v>0</v>
      </c>
      <c r="AG368" s="18">
        <f t="shared" si="265"/>
        <v>0</v>
      </c>
      <c r="AH368" s="17">
        <f t="shared" si="266"/>
        <v>-2347533.6577677578</v>
      </c>
      <c r="AI368" s="20" t="e">
        <f t="shared" si="267"/>
        <v>#DIV/0!</v>
      </c>
      <c r="AJ368" s="20" t="e">
        <f t="shared" si="268"/>
        <v>#DIV/0!</v>
      </c>
      <c r="AK368" s="21" t="e">
        <f t="shared" si="281"/>
        <v>#DIV/0!</v>
      </c>
      <c r="AL368" s="21" t="e">
        <f t="shared" si="269"/>
        <v>#DIV/0!</v>
      </c>
      <c r="AM368" s="31"/>
      <c r="AO368" s="60">
        <f t="shared" si="270"/>
        <v>46387</v>
      </c>
      <c r="AP368" s="6">
        <f>+Tabla22[[#This Row],[Web + APP 2025]]+Tabla22[[#This Row],[Afiliados 2025]]+Tabla22[[#This Row],[TMK 2025]]+Tabla22[[#This Row],[WA 2025]]+Tabla22[[#This Row],[Ent. en Tienda 2025]]</f>
        <v>1318708.7931034483</v>
      </c>
      <c r="AQ368" s="6">
        <f>+Tabla22[[#This Row],[Meli Drop 2025]]+Tabla22[[#This Row],[Meli Full 2025]]+Tabla22[[#This Row],[Amazon Drop 2025]]+Tabla22[[#This Row],[Amazon Full 2025]]+Tabla22[[#This Row],[TikTok 2025]]+Tabla22[[#This Row],[Shein 2025]]</f>
        <v>482333.93965517241</v>
      </c>
      <c r="AR368" s="58">
        <f t="shared" si="271"/>
        <v>0</v>
      </c>
      <c r="AS368" s="58">
        <f t="shared" si="272"/>
        <v>0</v>
      </c>
      <c r="AT368" s="59">
        <f t="shared" si="273"/>
        <v>-1</v>
      </c>
      <c r="AU368" s="59">
        <f t="shared" si="274"/>
        <v>-1</v>
      </c>
      <c r="AV368" s="58">
        <f t="shared" si="275"/>
        <v>1711325.7336611201</v>
      </c>
      <c r="AW368" s="58">
        <f t="shared" si="276"/>
        <v>636207.92410663795</v>
      </c>
      <c r="AX368" s="59">
        <f t="shared" si="277"/>
        <v>0</v>
      </c>
      <c r="AY368" s="59">
        <f t="shared" si="278"/>
        <v>0</v>
      </c>
      <c r="AZ368" s="59">
        <f t="shared" si="279"/>
        <v>0</v>
      </c>
      <c r="BA368" s="27">
        <v>8.2624405728134905E-3</v>
      </c>
      <c r="BB368" s="27">
        <v>1.0181503026461799E-2</v>
      </c>
      <c r="BC368" s="27"/>
      <c r="BD368" s="27"/>
    </row>
    <row r="369" spans="2:49" ht="14.25" customHeight="1" x14ac:dyDescent="0.35">
      <c r="B369" s="61"/>
      <c r="C369" s="61"/>
      <c r="D369" s="62"/>
      <c r="E369" s="61"/>
      <c r="F369" s="63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5"/>
      <c r="X369" s="61"/>
      <c r="Y369" s="61"/>
      <c r="Z369" s="61"/>
      <c r="AA369" s="61"/>
      <c r="AB369" s="61"/>
      <c r="AC369" s="61"/>
      <c r="AD369" s="61"/>
      <c r="AE369" s="61"/>
      <c r="AF369" s="61"/>
      <c r="AG369" s="64"/>
      <c r="AH369" s="61"/>
      <c r="AI369" s="65"/>
      <c r="AJ369" s="65"/>
      <c r="AK369" s="66"/>
      <c r="AL369" s="66"/>
      <c r="AM369" s="31"/>
    </row>
    <row r="370" spans="2:49" ht="14.25" customHeight="1" x14ac:dyDescent="0.35">
      <c r="H370" s="17"/>
      <c r="I370" s="6"/>
      <c r="T370" s="6"/>
      <c r="V370" s="6"/>
      <c r="W370" s="5"/>
      <c r="AR370" s="7"/>
      <c r="AS370" s="7"/>
      <c r="AV370" s="54"/>
      <c r="AW370" s="6"/>
    </row>
    <row r="371" spans="2:49" ht="14.25" customHeight="1" x14ac:dyDescent="0.35">
      <c r="E371" s="17">
        <v>40604785</v>
      </c>
      <c r="F371" s="17">
        <v>5336867</v>
      </c>
      <c r="G371" s="17">
        <v>56728</v>
      </c>
      <c r="H371" s="17">
        <v>55656</v>
      </c>
      <c r="I371" s="17">
        <v>16254</v>
      </c>
      <c r="J371" s="17">
        <v>166309</v>
      </c>
      <c r="K371" s="17">
        <v>260464</v>
      </c>
      <c r="L371" s="17">
        <v>286210</v>
      </c>
      <c r="M371" s="17">
        <v>20932</v>
      </c>
      <c r="N371" s="17">
        <v>2353</v>
      </c>
      <c r="O371" s="17">
        <v>7205</v>
      </c>
      <c r="P371" s="17">
        <v>3101</v>
      </c>
      <c r="U371" s="6"/>
      <c r="W371" s="6"/>
      <c r="X371" s="27"/>
      <c r="AP371" s="506">
        <v>15435185</v>
      </c>
      <c r="AQ371" s="507">
        <f>AP371+AR1</f>
        <v>132897974</v>
      </c>
      <c r="AW371" s="6"/>
    </row>
    <row r="372" spans="2:49" ht="14.25" customHeight="1" x14ac:dyDescent="0.35">
      <c r="F372" s="23"/>
      <c r="G372" s="23"/>
      <c r="H372" s="6"/>
      <c r="I372" s="7"/>
    </row>
    <row r="373" spans="2:49" ht="14.25" customHeight="1" x14ac:dyDescent="0.35">
      <c r="F373" s="23"/>
      <c r="G373" s="23"/>
      <c r="AC373" s="472"/>
      <c r="AS373" s="503"/>
      <c r="AT373" s="472"/>
    </row>
    <row r="374" spans="2:49" ht="14.25" customHeight="1" x14ac:dyDescent="0.35">
      <c r="F374" s="23"/>
      <c r="G374" s="7"/>
      <c r="M374" s="475"/>
      <c r="AS374" s="472"/>
      <c r="AT374" s="472"/>
    </row>
    <row r="375" spans="2:49" ht="14.25" customHeight="1" x14ac:dyDescent="0.35">
      <c r="F375" s="23"/>
      <c r="G375" s="23"/>
    </row>
    <row r="376" spans="2:49" ht="14.25" customHeight="1" x14ac:dyDescent="0.35">
      <c r="C376" s="17">
        <f>+SUBTOTAL(9,C247:C259)</f>
        <v>51330348.560344823</v>
      </c>
      <c r="E376" s="17">
        <f>+SUBTOTAL(9,E247:E259)</f>
        <v>545398035</v>
      </c>
      <c r="F376" s="475">
        <f>+E376/C376-1</f>
        <v>9.6252548501364821</v>
      </c>
      <c r="G376" s="17">
        <f>+SUBTOTAL(9,G247:G259)</f>
        <v>68010783.150118485</v>
      </c>
      <c r="K376" s="17">
        <f>+SUBTOTAL(9,K247:K259)</f>
        <v>41597929</v>
      </c>
      <c r="AA376" t="s">
        <v>270</v>
      </c>
      <c r="AB376">
        <v>650</v>
      </c>
      <c r="AF376" s="17">
        <f>+SUBTOTAL(9,AF247:AF259)</f>
        <v>54842599</v>
      </c>
      <c r="AG376" s="472">
        <f>+AF376/C376-1</f>
        <v>6.8424441644422407E-2</v>
      </c>
    </row>
    <row r="377" spans="2:49" ht="14.25" customHeight="1" x14ac:dyDescent="0.35">
      <c r="F377" s="23"/>
      <c r="G377" s="23"/>
      <c r="AA377" t="s">
        <v>271</v>
      </c>
      <c r="AB377">
        <v>330</v>
      </c>
    </row>
    <row r="378" spans="2:49" ht="14.25" customHeight="1" x14ac:dyDescent="0.35">
      <c r="F378" s="23"/>
      <c r="G378" s="23"/>
      <c r="L378">
        <v>650</v>
      </c>
      <c r="AA378" t="s">
        <v>272</v>
      </c>
      <c r="AB378">
        <v>750</v>
      </c>
    </row>
    <row r="379" spans="2:49" ht="14.25" customHeight="1" x14ac:dyDescent="0.35">
      <c r="F379" s="23"/>
      <c r="G379" s="23"/>
      <c r="L379">
        <v>800</v>
      </c>
    </row>
    <row r="380" spans="2:49" ht="14.25" customHeight="1" x14ac:dyDescent="0.35">
      <c r="F380" s="23"/>
      <c r="G380" s="23"/>
      <c r="AB380">
        <f>SUM(AB376:AB379)</f>
        <v>1730</v>
      </c>
    </row>
    <row r="381" spans="2:49" ht="14.25" customHeight="1" x14ac:dyDescent="0.35">
      <c r="F381" s="23"/>
      <c r="G381" s="23"/>
    </row>
    <row r="382" spans="2:49" ht="14.25" customHeight="1" x14ac:dyDescent="0.35">
      <c r="F382" s="23"/>
      <c r="G382" s="23"/>
    </row>
    <row r="383" spans="2:49" ht="14.25" customHeight="1" x14ac:dyDescent="0.35">
      <c r="F383" s="23"/>
      <c r="G383" s="23"/>
    </row>
    <row r="384" spans="2:49" ht="14.25" customHeight="1" x14ac:dyDescent="0.35">
      <c r="F384" s="23"/>
      <c r="G384" s="23"/>
      <c r="H384" s="23"/>
      <c r="I384" s="23"/>
      <c r="J384" s="23"/>
    </row>
    <row r="385" spans="6:31" ht="14.25" customHeight="1" x14ac:dyDescent="0.35">
      <c r="F385" s="23"/>
      <c r="G385" s="23"/>
      <c r="H385" s="23"/>
      <c r="I385" s="23"/>
      <c r="J385" s="23"/>
      <c r="T385" s="6">
        <f t="shared" ref="T385:AE385" si="282">+SUM(T247:T259)</f>
        <v>6872050</v>
      </c>
      <c r="U385" s="6">
        <f t="shared" si="282"/>
        <v>5987999</v>
      </c>
      <c r="V385" s="6">
        <f t="shared" si="282"/>
        <v>3378448</v>
      </c>
      <c r="W385" s="6">
        <f t="shared" si="282"/>
        <v>3718098</v>
      </c>
      <c r="X385" s="6">
        <f t="shared" si="282"/>
        <v>418347</v>
      </c>
      <c r="Y385" s="6">
        <f t="shared" si="282"/>
        <v>510145</v>
      </c>
      <c r="Z385" s="6">
        <f t="shared" si="282"/>
        <v>90994</v>
      </c>
      <c r="AA385" s="6">
        <f t="shared" si="282"/>
        <v>71873</v>
      </c>
      <c r="AB385" s="6">
        <f t="shared" si="282"/>
        <v>9387.1465517241413</v>
      </c>
      <c r="AC385" s="6">
        <f t="shared" si="282"/>
        <v>381394</v>
      </c>
      <c r="AD385" s="6">
        <f t="shared" si="282"/>
        <v>2756.03448275862</v>
      </c>
      <c r="AE385" s="6">
        <f t="shared" si="282"/>
        <v>74813</v>
      </c>
    </row>
    <row r="386" spans="6:31" ht="14.25" customHeight="1" x14ac:dyDescent="0.35">
      <c r="F386" s="23"/>
      <c r="G386" s="23"/>
      <c r="H386" s="23"/>
      <c r="I386" s="23"/>
      <c r="J386" s="23"/>
      <c r="T386" s="6">
        <f>+T385+V385+X385+Z385+AB385+AD385</f>
        <v>10771982.181034483</v>
      </c>
      <c r="U386" s="6">
        <f>+U385+W385+Y385+AA385+AC385+AE385</f>
        <v>10744322</v>
      </c>
    </row>
    <row r="387" spans="6:31" ht="14.25" customHeight="1" x14ac:dyDescent="0.35">
      <c r="F387" s="23"/>
      <c r="G387" s="23"/>
      <c r="H387" s="23"/>
      <c r="I387" s="23"/>
      <c r="J387" s="23"/>
      <c r="U387" s="472">
        <f>+U386/T386-1</f>
        <v>-2.567789341796578E-3</v>
      </c>
    </row>
    <row r="388" spans="6:31" ht="14.25" customHeight="1" x14ac:dyDescent="0.35">
      <c r="F388" s="23"/>
      <c r="G388" s="23"/>
      <c r="H388" s="23"/>
      <c r="I388" s="23"/>
      <c r="J388" s="23"/>
    </row>
    <row r="389" spans="6:31" ht="14.25" customHeight="1" x14ac:dyDescent="0.35">
      <c r="F389" s="23"/>
      <c r="G389" s="23"/>
      <c r="H389" s="23"/>
      <c r="I389" s="23"/>
      <c r="J389" s="23"/>
      <c r="U389" s="6">
        <f>+T385+V385</f>
        <v>10250498</v>
      </c>
      <c r="V389" s="6">
        <f>+U385+W385</f>
        <v>9706097</v>
      </c>
      <c r="W389" s="472">
        <f>+V389/U389-1</f>
        <v>-5.3109712328123004E-2</v>
      </c>
    </row>
    <row r="390" spans="6:31" ht="14.25" customHeight="1" x14ac:dyDescent="0.35">
      <c r="F390" s="23"/>
      <c r="G390" s="23"/>
      <c r="H390" s="23"/>
      <c r="I390" s="23"/>
      <c r="J390" s="23"/>
    </row>
    <row r="391" spans="6:31" ht="14.25" customHeight="1" x14ac:dyDescent="0.35">
      <c r="F391" s="23"/>
      <c r="G391" s="23"/>
      <c r="H391" s="23"/>
      <c r="I391" s="23"/>
      <c r="J391" s="23"/>
    </row>
    <row r="392" spans="6:31" ht="14.25" customHeight="1" x14ac:dyDescent="0.35">
      <c r="F392" s="23"/>
      <c r="G392" s="23"/>
      <c r="H392" s="23"/>
      <c r="I392" s="23"/>
      <c r="J392" s="23"/>
    </row>
    <row r="393" spans="6:31" ht="14.25" customHeight="1" x14ac:dyDescent="0.35">
      <c r="F393" s="23"/>
      <c r="G393" s="23"/>
      <c r="H393" s="23"/>
      <c r="I393" s="23"/>
      <c r="J393" s="23"/>
    </row>
    <row r="394" spans="6:31" ht="14.25" customHeight="1" x14ac:dyDescent="0.35">
      <c r="F394" s="23"/>
      <c r="G394" s="23"/>
      <c r="H394" s="23"/>
      <c r="I394" s="23"/>
      <c r="J394" s="23"/>
    </row>
    <row r="395" spans="6:31" ht="14.25" customHeight="1" x14ac:dyDescent="0.35">
      <c r="F395" s="23"/>
      <c r="G395" s="23"/>
      <c r="H395" s="23"/>
      <c r="I395" s="23"/>
      <c r="J395" s="23"/>
    </row>
    <row r="396" spans="6:31" ht="14.25" customHeight="1" x14ac:dyDescent="0.35">
      <c r="F396" s="23"/>
      <c r="G396" s="23"/>
      <c r="H396" s="23"/>
      <c r="I396" s="23"/>
      <c r="J396" s="23"/>
    </row>
    <row r="397" spans="6:31" ht="14.25" customHeight="1" x14ac:dyDescent="0.35">
      <c r="F397" s="23"/>
      <c r="G397" s="23"/>
      <c r="H397" s="23"/>
      <c r="I397" s="23"/>
      <c r="J397" s="23"/>
    </row>
    <row r="398" spans="6:31" ht="14.25" customHeight="1" x14ac:dyDescent="0.35">
      <c r="F398" s="23"/>
      <c r="G398" s="23"/>
      <c r="H398" s="23"/>
      <c r="I398" s="23"/>
      <c r="J398" s="23"/>
    </row>
    <row r="399" spans="6:31" ht="14.25" customHeight="1" x14ac:dyDescent="0.35">
      <c r="F399" s="23"/>
      <c r="G399" s="23"/>
      <c r="H399" s="23"/>
      <c r="I399" s="23"/>
      <c r="J399" s="23"/>
    </row>
    <row r="400" spans="6:31" ht="14.25" customHeight="1" x14ac:dyDescent="0.35">
      <c r="F400" s="23"/>
      <c r="G400" s="23"/>
      <c r="H400" s="23"/>
      <c r="I400" s="23"/>
      <c r="J400" s="23"/>
    </row>
    <row r="401" spans="6:6" ht="14.25" customHeight="1" x14ac:dyDescent="0.35">
      <c r="F401" s="23"/>
    </row>
    <row r="402" spans="6:6" ht="14.25" customHeight="1" x14ac:dyDescent="0.35">
      <c r="F402" s="23"/>
    </row>
    <row r="403" spans="6:6" ht="14.25" customHeight="1" x14ac:dyDescent="0.35">
      <c r="F403" s="23"/>
    </row>
    <row r="404" spans="6:6" ht="14.25" customHeight="1" x14ac:dyDescent="0.35">
      <c r="F404" s="23"/>
    </row>
    <row r="405" spans="6:6" ht="14.25" customHeight="1" x14ac:dyDescent="0.35">
      <c r="F405" s="23"/>
    </row>
    <row r="406" spans="6:6" ht="14.25" customHeight="1" x14ac:dyDescent="0.35">
      <c r="F406" s="23"/>
    </row>
  </sheetData>
  <conditionalFormatting sqref="AH4:AH368">
    <cfRule type="cellIs" dxfId="194" priority="15" operator="lessThan">
      <formula>0</formula>
    </cfRule>
    <cfRule type="cellIs" dxfId="193" priority="16" operator="greaterThan">
      <formula>0</formula>
    </cfRule>
  </conditionalFormatting>
  <conditionalFormatting sqref="AX4:AZ276">
    <cfRule type="cellIs" dxfId="192" priority="8" operator="lessThan">
      <formula>1</formula>
    </cfRule>
    <cfRule type="cellIs" dxfId="191" priority="9" operator="greaterThan">
      <formula>1</formula>
    </cfRule>
    <cfRule type="cellIs" dxfId="190" priority="10" operator="greaterThan">
      <formula>100</formula>
    </cfRule>
    <cfRule type="cellIs" dxfId="189" priority="11" operator="lessThan">
      <formula>0</formula>
    </cfRule>
    <cfRule type="cellIs" dxfId="188" priority="12" operator="greaterThan">
      <formula>0</formula>
    </cfRule>
  </conditionalFormatting>
  <conditionalFormatting sqref="BC4:BD276">
    <cfRule type="cellIs" dxfId="187" priority="13" operator="greaterThan">
      <formula>0</formula>
    </cfRule>
    <cfRule type="cellIs" dxfId="186" priority="14" operator="lessThan">
      <formula>0</formula>
    </cfRule>
  </conditionalFormatting>
  <conditionalFormatting sqref="BE185:BF276">
    <cfRule type="cellIs" dxfId="185" priority="1" operator="greaterThan">
      <formula>0</formula>
    </cfRule>
    <cfRule type="cellIs" dxfId="184" priority="2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D3:AD14"/>
  <sheetViews>
    <sheetView zoomScale="85" zoomScaleNormal="85" workbookViewId="0">
      <selection activeCell="H5" sqref="H5"/>
    </sheetView>
  </sheetViews>
  <sheetFormatPr baseColWidth="10" defaultColWidth="11.453125" defaultRowHeight="14.5" x14ac:dyDescent="0.35"/>
  <cols>
    <col min="1" max="1" width="2.453125" customWidth="1"/>
    <col min="4" max="4" width="18.453125" customWidth="1"/>
    <col min="5" max="17" width="17.453125" customWidth="1"/>
    <col min="18" max="18" width="21.453125" customWidth="1"/>
    <col min="19" max="30" width="16" customWidth="1"/>
  </cols>
  <sheetData>
    <row r="3" spans="4:30" ht="36" customHeight="1" x14ac:dyDescent="0.35">
      <c r="D3" s="67"/>
      <c r="E3" s="509" t="s">
        <v>273</v>
      </c>
      <c r="F3" s="509"/>
      <c r="G3" s="509"/>
      <c r="H3" s="509"/>
      <c r="I3" s="509"/>
      <c r="J3" s="509" t="s">
        <v>274</v>
      </c>
      <c r="K3" s="509"/>
      <c r="L3" s="509"/>
      <c r="M3" s="509" t="s">
        <v>275</v>
      </c>
      <c r="N3" s="509"/>
      <c r="O3" s="509"/>
      <c r="P3" s="509"/>
      <c r="R3" s="67"/>
      <c r="S3" s="509" t="s">
        <v>273</v>
      </c>
      <c r="T3" s="509"/>
      <c r="U3" s="509"/>
      <c r="V3" s="509"/>
      <c r="W3" s="509"/>
      <c r="X3" s="509" t="s">
        <v>274</v>
      </c>
      <c r="Y3" s="509"/>
      <c r="Z3" s="509"/>
      <c r="AA3" s="509" t="s">
        <v>275</v>
      </c>
      <c r="AB3" s="509"/>
      <c r="AC3" s="509"/>
      <c r="AD3" s="509"/>
    </row>
    <row r="4" spans="4:30" ht="36" customHeight="1" x14ac:dyDescent="0.35">
      <c r="D4" s="68" t="s">
        <v>276</v>
      </c>
      <c r="E4" s="69" t="s">
        <v>277</v>
      </c>
      <c r="F4" s="70" t="s">
        <v>278</v>
      </c>
      <c r="G4" s="71" t="s">
        <v>279</v>
      </c>
      <c r="H4" s="71" t="s">
        <v>280</v>
      </c>
      <c r="I4" s="72" t="s">
        <v>281</v>
      </c>
      <c r="J4" s="72" t="s">
        <v>282</v>
      </c>
      <c r="K4" s="72" t="s">
        <v>279</v>
      </c>
      <c r="L4" s="72" t="s">
        <v>280</v>
      </c>
      <c r="M4" s="71">
        <v>2026</v>
      </c>
      <c r="N4" s="71" t="s">
        <v>283</v>
      </c>
      <c r="O4" s="71" t="s">
        <v>279</v>
      </c>
      <c r="P4" s="73" t="s">
        <v>280</v>
      </c>
      <c r="R4" s="68" t="s">
        <v>276</v>
      </c>
      <c r="S4" s="70" t="s">
        <v>277</v>
      </c>
      <c r="T4" s="70" t="s">
        <v>278</v>
      </c>
      <c r="U4" s="71" t="s">
        <v>279</v>
      </c>
      <c r="V4" s="71" t="s">
        <v>280</v>
      </c>
      <c r="W4" s="72" t="s">
        <v>281</v>
      </c>
      <c r="X4" s="72" t="s">
        <v>282</v>
      </c>
      <c r="Y4" s="72" t="s">
        <v>279</v>
      </c>
      <c r="Z4" s="72" t="s">
        <v>280</v>
      </c>
      <c r="AA4" s="71">
        <v>2026</v>
      </c>
      <c r="AB4" s="71" t="s">
        <v>283</v>
      </c>
      <c r="AC4" s="71" t="s">
        <v>279</v>
      </c>
      <c r="AD4" s="73" t="s">
        <v>280</v>
      </c>
    </row>
    <row r="5" spans="4:30" ht="36" customHeight="1" x14ac:dyDescent="0.35">
      <c r="D5" s="74" t="s">
        <v>265</v>
      </c>
      <c r="E5" s="75">
        <f>+'Dashboard MF'!E5</f>
        <v>98285725</v>
      </c>
      <c r="F5" s="76">
        <f>+'Dashboard MF'!F5</f>
        <v>94203579.963066682</v>
      </c>
      <c r="G5" s="77">
        <f>+E5/F5-1</f>
        <v>4.3333226173928319E-2</v>
      </c>
      <c r="H5" s="77">
        <f>+E5/(SUM('BD MD'!J63:J93)+(SUM('BD MF'!L63:L93)))-1</f>
        <v>0.34469626401671816</v>
      </c>
      <c r="I5" s="76">
        <f>+'Dashboard MF'!I5</f>
        <v>98285725</v>
      </c>
      <c r="J5" s="76">
        <f>+'Metas 2026'!F17</f>
        <v>94203579.963066697</v>
      </c>
      <c r="K5" s="77">
        <f>+I5/J5-1</f>
        <v>4.3333226173928319E-2</v>
      </c>
      <c r="L5" s="77">
        <f>+I5/(SUM('BD MD'!J63:J93)+(SUM('BD MF'!L63:L93)))-1</f>
        <v>0.34469626401671816</v>
      </c>
      <c r="M5" s="76">
        <f>+'Dashboard MF'!M5</f>
        <v>1378858200.7007201</v>
      </c>
      <c r="N5" s="76">
        <f>+'Metas 2026'!P17</f>
        <v>1380982825.66379</v>
      </c>
      <c r="O5" s="77">
        <f>+M5/'Metas 2026'!P17-1</f>
        <v>-1.5384876072218612E-3</v>
      </c>
      <c r="P5" s="78">
        <f>+M5/(SUM('BD MD'!J4:J367))-1</f>
        <v>0.30848488828674947</v>
      </c>
      <c r="R5" s="74" t="s">
        <v>265</v>
      </c>
      <c r="S5" s="79">
        <f t="shared" ref="S5:T9" si="0">+E5/1000000</f>
        <v>98.285724999999999</v>
      </c>
      <c r="T5" s="80">
        <f t="shared" si="0"/>
        <v>94.203579963066687</v>
      </c>
      <c r="U5" s="77">
        <f t="shared" ref="U5:V9" si="1">+G5</f>
        <v>4.3333226173928319E-2</v>
      </c>
      <c r="V5" s="77">
        <f t="shared" si="1"/>
        <v>0.34469626401671816</v>
      </c>
      <c r="W5" s="80">
        <f t="shared" ref="W5:X9" si="2">+I5/1000000</f>
        <v>98.285724999999999</v>
      </c>
      <c r="X5" s="80">
        <f t="shared" si="2"/>
        <v>94.203579963066701</v>
      </c>
      <c r="Y5" s="77">
        <f t="shared" ref="Y5:Z9" si="3">+K5</f>
        <v>4.3333226173928319E-2</v>
      </c>
      <c r="Z5" s="77">
        <f t="shared" si="3"/>
        <v>0.34469626401671816</v>
      </c>
      <c r="AA5" s="80">
        <f t="shared" ref="AA5:AB9" si="4">+M5/1000000</f>
        <v>1378.8582007007201</v>
      </c>
      <c r="AB5" s="80">
        <f t="shared" si="4"/>
        <v>1380.98282566379</v>
      </c>
      <c r="AC5" s="77">
        <f t="shared" ref="AC5:AD9" si="5">+O5</f>
        <v>-1.5384876072218612E-3</v>
      </c>
      <c r="AD5" s="78">
        <f t="shared" si="5"/>
        <v>0.30848488828674947</v>
      </c>
    </row>
    <row r="6" spans="4:30" ht="36" customHeight="1" x14ac:dyDescent="0.35">
      <c r="D6" s="81" t="s">
        <v>267</v>
      </c>
      <c r="E6" s="82">
        <f>+'Dashboard MF'!E6</f>
        <v>17481335</v>
      </c>
      <c r="F6" s="83">
        <f>+'Dashboard MF'!F6</f>
        <v>20199998</v>
      </c>
      <c r="G6" s="84">
        <f>+E6/F6-1</f>
        <v>-0.13458729055319707</v>
      </c>
      <c r="H6" s="84">
        <f>+(E6/(SUM('BD MD'!T63:T93)+SUM('BD MD'!V63:V93)+SUM('BD MD'!X63:X93)+SUM('BD MD'!Z63:Z93)+SUM('BD MD'!AB63:AB93)+SUM('BD MD'!AD63:AD93)))-1</f>
        <v>2.8995684493283269E-2</v>
      </c>
      <c r="I6" s="76">
        <f>+'Dashboard MF'!I6</f>
        <v>17481335</v>
      </c>
      <c r="J6" s="83">
        <f>+F6</f>
        <v>20199998</v>
      </c>
      <c r="K6" s="84">
        <f>+I6/J6-1</f>
        <v>-0.13458729055319707</v>
      </c>
      <c r="L6" s="84">
        <f>+(I6/(SUM('BD MD'!T63:T93)+SUM('BD MD'!V63:V93)+SUM('BD MD'!X63:X93)+SUM('BD MD'!Z63:Z93)+SUM('BD MD'!AB63:AB93)+SUM('BD MD'!AD63:AD93)))-1</f>
        <v>2.8995684493283269E-2</v>
      </c>
      <c r="M6" s="83">
        <f>+'Dashboard MF'!M6</f>
        <v>406643868</v>
      </c>
      <c r="N6" s="83">
        <f>+'Metas 2026'!P21+'Metas 2026'!P22+'Metas 2026'!P23</f>
        <v>412000000</v>
      </c>
      <c r="O6" s="84">
        <f>+(M6/('Metas 2026'!P21+'Metas 2026'!P22+'Metas 2026'!P23))-1</f>
        <v>-1.3000320388349529E-2</v>
      </c>
      <c r="P6" s="85">
        <f>+M6/'BD MD'!AE1-1</f>
        <v>0.32422645877355838</v>
      </c>
      <c r="R6" s="81" t="s">
        <v>267</v>
      </c>
      <c r="S6" s="86">
        <f t="shared" si="0"/>
        <v>17.481335000000001</v>
      </c>
      <c r="T6" s="87">
        <f t="shared" si="0"/>
        <v>20.199998000000001</v>
      </c>
      <c r="U6" s="84">
        <f t="shared" si="1"/>
        <v>-0.13458729055319707</v>
      </c>
      <c r="V6" s="84">
        <f t="shared" si="1"/>
        <v>2.8995684493283269E-2</v>
      </c>
      <c r="W6" s="87">
        <f t="shared" si="2"/>
        <v>17.481335000000001</v>
      </c>
      <c r="X6" s="87">
        <f t="shared" si="2"/>
        <v>20.199998000000001</v>
      </c>
      <c r="Y6" s="84">
        <f t="shared" si="3"/>
        <v>-0.13458729055319707</v>
      </c>
      <c r="Z6" s="84">
        <f t="shared" si="3"/>
        <v>2.8995684493283269E-2</v>
      </c>
      <c r="AA6" s="87">
        <f t="shared" si="4"/>
        <v>406.643868</v>
      </c>
      <c r="AB6" s="80">
        <f t="shared" si="4"/>
        <v>412</v>
      </c>
      <c r="AC6" s="84">
        <f t="shared" si="5"/>
        <v>-1.3000320388349529E-2</v>
      </c>
      <c r="AD6" s="85">
        <f t="shared" si="5"/>
        <v>0.32422645877355838</v>
      </c>
    </row>
    <row r="7" spans="4:30" ht="36" customHeight="1" x14ac:dyDescent="0.35">
      <c r="D7" s="81" t="s">
        <v>268</v>
      </c>
      <c r="E7" s="82">
        <f>+'Dashboard MF'!E7</f>
        <v>981759</v>
      </c>
      <c r="F7" s="83">
        <f>+'Dashboard MF'!F7</f>
        <v>1685126.7243144379</v>
      </c>
      <c r="G7" s="84">
        <f>+E7/F7-1</f>
        <v>-0.41739752516273809</v>
      </c>
      <c r="H7" s="84">
        <f>+(E7/(SUM('BD MD'!N63:N93)+SUM('BD MD'!P63:P93)))-1</f>
        <v>-0.38080699014724262</v>
      </c>
      <c r="I7" s="76">
        <f>+'Dashboard MF'!I7</f>
        <v>981759</v>
      </c>
      <c r="J7" s="83">
        <f>+'Metas 2026'!F18+'Metas 2026'!F20</f>
        <v>1685126.7243144379</v>
      </c>
      <c r="K7" s="84">
        <f>+I7/J7-1</f>
        <v>-0.41739752516273809</v>
      </c>
      <c r="L7" s="84">
        <f>+(I7/(SUM('BD MD'!N63:N93)+SUM('BD MD'!P63:P93)))-1</f>
        <v>-0.38080699014724262</v>
      </c>
      <c r="M7" s="83">
        <f>+'Dashboard MF'!M7</f>
        <v>12101081.392979896</v>
      </c>
      <c r="N7" s="83">
        <f>+'Metas 2026'!P18+'Metas 2026'!P20</f>
        <v>19000000</v>
      </c>
      <c r="O7" s="84">
        <f>+M7/('Metas 2026'!P20+'Metas 2026'!P18)-1</f>
        <v>-0.36310097931684759</v>
      </c>
      <c r="P7" s="85">
        <f>+(M7/('BD MD'!N1+'BD MD'!P1))-1</f>
        <v>-0.28275606918000296</v>
      </c>
      <c r="R7" s="81" t="s">
        <v>268</v>
      </c>
      <c r="S7" s="86">
        <f t="shared" si="0"/>
        <v>0.98175900000000005</v>
      </c>
      <c r="T7" s="87">
        <f t="shared" si="0"/>
        <v>1.6851267243144379</v>
      </c>
      <c r="U7" s="84">
        <f t="shared" si="1"/>
        <v>-0.41739752516273809</v>
      </c>
      <c r="V7" s="84">
        <f t="shared" si="1"/>
        <v>-0.38080699014724262</v>
      </c>
      <c r="W7" s="87">
        <f t="shared" si="2"/>
        <v>0.98175900000000005</v>
      </c>
      <c r="X7" s="87">
        <f t="shared" si="2"/>
        <v>1.6851267243144379</v>
      </c>
      <c r="Y7" s="84">
        <f t="shared" si="3"/>
        <v>-0.41739752516273809</v>
      </c>
      <c r="Z7" s="84">
        <f t="shared" si="3"/>
        <v>-0.38080699014724262</v>
      </c>
      <c r="AA7" s="87">
        <f t="shared" si="4"/>
        <v>12.101081392979896</v>
      </c>
      <c r="AB7" s="80">
        <f t="shared" si="4"/>
        <v>19</v>
      </c>
      <c r="AC7" s="84">
        <f t="shared" si="5"/>
        <v>-0.36310097931684759</v>
      </c>
      <c r="AD7" s="85">
        <f t="shared" si="5"/>
        <v>-0.28275606918000296</v>
      </c>
    </row>
    <row r="8" spans="4:30" ht="36" customHeight="1" x14ac:dyDescent="0.35">
      <c r="D8" s="88" t="s">
        <v>269</v>
      </c>
      <c r="E8" s="89">
        <f>+'Dashboard MF'!E8</f>
        <v>2871257</v>
      </c>
      <c r="F8" s="90">
        <f>+'Dashboard MF'!F8</f>
        <v>2448823.6577100595</v>
      </c>
      <c r="G8" s="91">
        <f>+E8/F8-1</f>
        <v>0.17250459867125167</v>
      </c>
      <c r="H8" s="91">
        <f>+E8/(SUM('BD MD'!R63:R93))-1</f>
        <v>0.50559263704726809</v>
      </c>
      <c r="I8" s="76">
        <f>+'Dashboard MF'!I8</f>
        <v>2871257</v>
      </c>
      <c r="J8" s="90">
        <f>+'Metas 2026'!F19</f>
        <v>2448823.65771006</v>
      </c>
      <c r="K8" s="91">
        <f>+I8/J8-1</f>
        <v>0.17250459867125145</v>
      </c>
      <c r="L8" s="91">
        <f>+(I8/(SUM('BD MD'!R63:R93))-1)</f>
        <v>0.50559263704726809</v>
      </c>
      <c r="M8" s="90">
        <f>+'Dashboard MF'!M8</f>
        <v>49298235.678502239</v>
      </c>
      <c r="N8" s="90">
        <f>+'Metas 2026'!P19</f>
        <v>50017174.3362123</v>
      </c>
      <c r="O8" s="91">
        <f>+M8/'Metas 2026'!P19-1</f>
        <v>-1.4373835932381951E-2</v>
      </c>
      <c r="P8" s="92">
        <f>+M8/'BD MD'!R1-1</f>
        <v>0.28478482455067833</v>
      </c>
      <c r="R8" s="88" t="s">
        <v>269</v>
      </c>
      <c r="S8" s="93">
        <f t="shared" si="0"/>
        <v>2.8712569999999999</v>
      </c>
      <c r="T8" s="94">
        <f t="shared" si="0"/>
        <v>2.4488236577100597</v>
      </c>
      <c r="U8" s="91">
        <f t="shared" si="1"/>
        <v>0.17250459867125167</v>
      </c>
      <c r="V8" s="91">
        <f t="shared" si="1"/>
        <v>0.50559263704726809</v>
      </c>
      <c r="W8" s="94">
        <f t="shared" si="2"/>
        <v>2.8712569999999999</v>
      </c>
      <c r="X8" s="94">
        <f t="shared" si="2"/>
        <v>2.4488236577100602</v>
      </c>
      <c r="Y8" s="91">
        <f t="shared" si="3"/>
        <v>0.17250459867125145</v>
      </c>
      <c r="Z8" s="91">
        <f t="shared" si="3"/>
        <v>0.50559263704726809</v>
      </c>
      <c r="AA8" s="94">
        <f t="shared" si="4"/>
        <v>49.298235678502238</v>
      </c>
      <c r="AB8" s="80">
        <f t="shared" si="4"/>
        <v>50.0171743362123</v>
      </c>
      <c r="AC8" s="91">
        <f t="shared" si="5"/>
        <v>-1.4373835932381951E-2</v>
      </c>
      <c r="AD8" s="92">
        <f t="shared" si="5"/>
        <v>0.28478482455067833</v>
      </c>
    </row>
    <row r="9" spans="4:30" ht="36" customHeight="1" x14ac:dyDescent="0.35">
      <c r="D9" s="95" t="s">
        <v>258</v>
      </c>
      <c r="E9" s="96">
        <f>+SUM(E5:E8)</f>
        <v>119620076</v>
      </c>
      <c r="F9" s="97">
        <f>+SUM(F5:F8)</f>
        <v>118537528.34509118</v>
      </c>
      <c r="G9" s="98">
        <f>+E9/F9-1</f>
        <v>9.1325310222198919E-3</v>
      </c>
      <c r="H9" s="98">
        <f>+E9/(SUM('BD MD'!C63:C93))-1</f>
        <v>0.27838721332403815</v>
      </c>
      <c r="I9" s="97">
        <f>+SUM(I5:I8)</f>
        <v>119620076</v>
      </c>
      <c r="J9" s="97">
        <f>+SUM(J5:J8)</f>
        <v>118537528.34509119</v>
      </c>
      <c r="K9" s="98">
        <f>+I9/J9-1</f>
        <v>9.1325310222198919E-3</v>
      </c>
      <c r="L9" s="98">
        <f>+(I9/SUM('BD MD'!C63:C93))-1</f>
        <v>0.27838721332403815</v>
      </c>
      <c r="M9" s="97">
        <f>+SUM(M5:M8)</f>
        <v>1846901385.7722023</v>
      </c>
      <c r="N9" s="97">
        <f>+SUM(N5:N8)</f>
        <v>1862000000.0000024</v>
      </c>
      <c r="O9" s="98">
        <f>+M9/N9-1</f>
        <v>-8.1088153747583824E-3</v>
      </c>
      <c r="P9" s="99">
        <f>+M9/Q14-1</f>
        <v>0.307055996890919</v>
      </c>
      <c r="R9" s="95" t="s">
        <v>258</v>
      </c>
      <c r="S9" s="100">
        <f t="shared" si="0"/>
        <v>119.620076</v>
      </c>
      <c r="T9" s="101">
        <f t="shared" si="0"/>
        <v>118.53752834509118</v>
      </c>
      <c r="U9" s="98">
        <f t="shared" si="1"/>
        <v>9.1325310222198919E-3</v>
      </c>
      <c r="V9" s="98">
        <f t="shared" si="1"/>
        <v>0.27838721332403815</v>
      </c>
      <c r="W9" s="101">
        <f t="shared" si="2"/>
        <v>119.620076</v>
      </c>
      <c r="X9" s="101">
        <f t="shared" si="2"/>
        <v>118.53752834509119</v>
      </c>
      <c r="Y9" s="98">
        <f t="shared" si="3"/>
        <v>9.1325310222198919E-3</v>
      </c>
      <c r="Z9" s="98">
        <f t="shared" si="3"/>
        <v>0.27838721332403815</v>
      </c>
      <c r="AA9" s="101">
        <f t="shared" si="4"/>
        <v>1846.9013857722023</v>
      </c>
      <c r="AB9" s="101">
        <f t="shared" si="4"/>
        <v>1862.0000000000023</v>
      </c>
      <c r="AC9" s="98">
        <f t="shared" si="5"/>
        <v>-8.1088153747583824E-3</v>
      </c>
      <c r="AD9" s="99">
        <f t="shared" si="5"/>
        <v>0.307055996890919</v>
      </c>
    </row>
    <row r="10" spans="4:30" ht="36" customHeight="1" x14ac:dyDescent="0.35">
      <c r="D10" s="102" t="s">
        <v>284</v>
      </c>
      <c r="E10" s="103">
        <f>+'Dashboard MF'!E10</f>
        <v>1231219349</v>
      </c>
      <c r="F10" s="87"/>
      <c r="G10" s="104"/>
      <c r="H10" s="84"/>
      <c r="I10" s="104"/>
      <c r="J10" s="105"/>
      <c r="K10" s="104"/>
      <c r="L10" s="104"/>
      <c r="M10" s="104"/>
      <c r="N10" s="104"/>
      <c r="O10" s="104"/>
      <c r="P10" s="106"/>
      <c r="R10" s="102" t="s">
        <v>284</v>
      </c>
      <c r="S10" s="107">
        <f>+E10/1000000</f>
        <v>1231.219349</v>
      </c>
      <c r="T10" s="87"/>
      <c r="U10" s="104"/>
      <c r="V10" s="84">
        <v>4.5999999999999999E-2</v>
      </c>
      <c r="W10" s="104"/>
      <c r="X10" s="105"/>
      <c r="Y10" s="104"/>
      <c r="Z10" s="104"/>
      <c r="AA10" s="104"/>
      <c r="AB10" s="104"/>
      <c r="AC10" s="104"/>
      <c r="AD10" s="106"/>
    </row>
    <row r="11" spans="4:30" ht="36" customHeight="1" x14ac:dyDescent="0.35">
      <c r="D11" s="108" t="s">
        <v>285</v>
      </c>
      <c r="E11" s="109">
        <f>+E9/E10</f>
        <v>9.7155779834970743E-2</v>
      </c>
      <c r="F11" s="110"/>
      <c r="G11" s="110"/>
      <c r="H11" s="111"/>
      <c r="I11" s="110"/>
      <c r="J11" s="110"/>
      <c r="K11" s="110"/>
      <c r="L11" s="110"/>
      <c r="M11" s="110"/>
      <c r="N11" s="110"/>
      <c r="O11" s="110"/>
      <c r="P11" s="112"/>
      <c r="R11" s="108" t="s">
        <v>285</v>
      </c>
      <c r="S11" s="109">
        <f>+E11</f>
        <v>9.7155779834970743E-2</v>
      </c>
      <c r="T11" s="110"/>
      <c r="U11" s="110"/>
      <c r="V11" s="111" t="s">
        <v>286</v>
      </c>
      <c r="W11" s="110"/>
      <c r="X11" s="110"/>
      <c r="Y11" s="110"/>
      <c r="Z11" s="110"/>
      <c r="AA11" s="110"/>
      <c r="AB11" s="110"/>
      <c r="AC11" s="110"/>
      <c r="AD11" s="112"/>
    </row>
    <row r="13" spans="4:30" ht="14.25" customHeight="1" x14ac:dyDescent="0.35">
      <c r="F13" s="6"/>
      <c r="G13" s="6"/>
    </row>
    <row r="14" spans="4:30" ht="14.25" customHeight="1" x14ac:dyDescent="0.35">
      <c r="Q14" s="6">
        <v>1413023918</v>
      </c>
    </row>
  </sheetData>
  <mergeCells count="6">
    <mergeCell ref="AA3:AD3"/>
    <mergeCell ref="E3:I3"/>
    <mergeCell ref="J3:L3"/>
    <mergeCell ref="M3:P3"/>
    <mergeCell ref="S3:W3"/>
    <mergeCell ref="X3:Z3"/>
  </mergeCells>
  <conditionalFormatting sqref="G5:G9">
    <cfRule type="cellIs" dxfId="183" priority="7" operator="lessThan">
      <formula>0</formula>
    </cfRule>
  </conditionalFormatting>
  <conditionalFormatting sqref="G5:H9">
    <cfRule type="cellIs" dxfId="182" priority="9" operator="greaterThan">
      <formula>0</formula>
    </cfRule>
  </conditionalFormatting>
  <conditionalFormatting sqref="H5:H11">
    <cfRule type="cellIs" dxfId="181" priority="8" operator="lessThan">
      <formula>0</formula>
    </cfRule>
  </conditionalFormatting>
  <conditionalFormatting sqref="H10:H11">
    <cfRule type="cellIs" dxfId="180" priority="2" operator="greaterThan">
      <formula>0</formula>
    </cfRule>
  </conditionalFormatting>
  <conditionalFormatting sqref="K5:L9">
    <cfRule type="cellIs" dxfId="179" priority="5" operator="lessThan">
      <formula>0</formula>
    </cfRule>
    <cfRule type="cellIs" dxfId="178" priority="6" operator="greaterThan">
      <formula>0</formula>
    </cfRule>
  </conditionalFormatting>
  <conditionalFormatting sqref="O5:P9">
    <cfRule type="cellIs" dxfId="177" priority="3" operator="lessThan">
      <formula>0</formula>
    </cfRule>
    <cfRule type="cellIs" dxfId="176" priority="4" operator="greaterThan">
      <formula>0</formula>
    </cfRule>
  </conditionalFormatting>
  <conditionalFormatting sqref="U5:U9">
    <cfRule type="cellIs" dxfId="175" priority="15" operator="lessThan">
      <formula>0</formula>
    </cfRule>
  </conditionalFormatting>
  <conditionalFormatting sqref="U5:V9">
    <cfRule type="cellIs" dxfId="174" priority="17" operator="greaterThan">
      <formula>0</formula>
    </cfRule>
  </conditionalFormatting>
  <conditionalFormatting sqref="V5:V11">
    <cfRule type="cellIs" dxfId="173" priority="16" operator="lessThan">
      <formula>0</formula>
    </cfRule>
  </conditionalFormatting>
  <conditionalFormatting sqref="V10:V11">
    <cfRule type="cellIs" dxfId="172" priority="10" operator="greaterThan">
      <formula>0</formula>
    </cfRule>
  </conditionalFormatting>
  <conditionalFormatting sqref="Y5:Z9">
    <cfRule type="cellIs" dxfId="171" priority="13" operator="lessThan">
      <formula>0</formula>
    </cfRule>
    <cfRule type="cellIs" dxfId="170" priority="14" operator="greaterThan">
      <formula>0</formula>
    </cfRule>
  </conditionalFormatting>
  <conditionalFormatting sqref="AC5:AD9">
    <cfRule type="cellIs" dxfId="169" priority="11" operator="lessThan">
      <formula>0</formula>
    </cfRule>
    <cfRule type="cellIs" dxfId="168" priority="12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/>
  <dimension ref="B3:AY85"/>
  <sheetViews>
    <sheetView topLeftCell="A44" zoomScale="55" zoomScaleNormal="55" workbookViewId="0">
      <selection activeCell="D76" sqref="D76:D80"/>
    </sheetView>
  </sheetViews>
  <sheetFormatPr baseColWidth="10" defaultColWidth="11.453125" defaultRowHeight="14.5" x14ac:dyDescent="0.35"/>
  <cols>
    <col min="1" max="1" width="2.453125" customWidth="1"/>
    <col min="2" max="2" width="13.54296875" customWidth="1"/>
    <col min="4" max="4" width="18.453125" customWidth="1"/>
    <col min="5" max="5" width="21.453125" customWidth="1"/>
    <col min="6" max="6" width="30.1796875" customWidth="1"/>
    <col min="7" max="7" width="21.453125" customWidth="1"/>
    <col min="8" max="8" width="12.453125" customWidth="1"/>
    <col min="9" max="9" width="11.453125" customWidth="1"/>
    <col min="10" max="10" width="19.453125" customWidth="1"/>
    <col min="11" max="11" width="26.1796875" customWidth="1"/>
    <col min="12" max="12" width="19.453125" customWidth="1"/>
    <col min="13" max="14" width="11.453125" customWidth="1"/>
    <col min="15" max="17" width="21.453125" customWidth="1"/>
    <col min="18" max="18" width="15.453125" customWidth="1"/>
    <col min="19" max="19" width="18.453125" customWidth="1"/>
    <col min="20" max="20" width="13.453125" customWidth="1"/>
    <col min="21" max="41" width="14.453125" customWidth="1"/>
    <col min="42" max="44" width="15.453125" customWidth="1"/>
    <col min="45" max="45" width="13.81640625" customWidth="1"/>
    <col min="47" max="47" width="9.1796875" customWidth="1"/>
    <col min="49" max="49" width="9.1796875" customWidth="1"/>
  </cols>
  <sheetData>
    <row r="3" spans="3:30" ht="36" customHeight="1" x14ac:dyDescent="0.35">
      <c r="D3" s="67"/>
      <c r="E3" s="509" t="s">
        <v>273</v>
      </c>
      <c r="F3" s="509"/>
      <c r="G3" s="509"/>
      <c r="H3" s="509"/>
      <c r="I3" s="509"/>
      <c r="J3" s="509" t="s">
        <v>274</v>
      </c>
      <c r="K3" s="509"/>
      <c r="L3" s="509"/>
      <c r="M3" s="509" t="s">
        <v>275</v>
      </c>
      <c r="N3" s="509"/>
      <c r="O3" s="509"/>
      <c r="P3" s="509"/>
      <c r="R3" s="67"/>
      <c r="S3" s="509" t="s">
        <v>273</v>
      </c>
      <c r="T3" s="509"/>
      <c r="U3" s="509"/>
      <c r="V3" s="509"/>
      <c r="W3" s="509"/>
      <c r="X3" s="509" t="s">
        <v>274</v>
      </c>
      <c r="Y3" s="509"/>
      <c r="Z3" s="509"/>
      <c r="AA3" s="509" t="s">
        <v>275</v>
      </c>
      <c r="AB3" s="509"/>
      <c r="AC3" s="509"/>
      <c r="AD3" s="509"/>
    </row>
    <row r="4" spans="3:30" ht="36" customHeight="1" x14ac:dyDescent="0.35">
      <c r="D4" s="68" t="s">
        <v>276</v>
      </c>
      <c r="E4" s="69" t="s">
        <v>277</v>
      </c>
      <c r="F4" s="70" t="s">
        <v>278</v>
      </c>
      <c r="G4" s="71" t="s">
        <v>279</v>
      </c>
      <c r="H4" s="71" t="s">
        <v>280</v>
      </c>
      <c r="I4" s="72" t="s">
        <v>281</v>
      </c>
      <c r="J4" s="72" t="s">
        <v>282</v>
      </c>
      <c r="K4" s="72" t="s">
        <v>279</v>
      </c>
      <c r="L4" s="72" t="s">
        <v>280</v>
      </c>
      <c r="M4" s="71">
        <v>2026</v>
      </c>
      <c r="N4" s="71" t="s">
        <v>283</v>
      </c>
      <c r="O4" s="71" t="s">
        <v>279</v>
      </c>
      <c r="P4" s="73" t="s">
        <v>280</v>
      </c>
      <c r="R4" s="68" t="s">
        <v>276</v>
      </c>
      <c r="S4" s="70" t="s">
        <v>277</v>
      </c>
      <c r="T4" s="70" t="s">
        <v>278</v>
      </c>
      <c r="U4" s="71" t="s">
        <v>279</v>
      </c>
      <c r="V4" s="71" t="s">
        <v>280</v>
      </c>
      <c r="W4" s="72" t="s">
        <v>281</v>
      </c>
      <c r="X4" s="72" t="s">
        <v>282</v>
      </c>
      <c r="Y4" s="72" t="s">
        <v>279</v>
      </c>
      <c r="Z4" s="72" t="s">
        <v>280</v>
      </c>
      <c r="AA4" s="71">
        <v>2026</v>
      </c>
      <c r="AB4" s="71" t="s">
        <v>283</v>
      </c>
      <c r="AC4" s="71" t="s">
        <v>279</v>
      </c>
      <c r="AD4" s="73" t="s">
        <v>280</v>
      </c>
    </row>
    <row r="5" spans="3:30" ht="36" customHeight="1" x14ac:dyDescent="0.35">
      <c r="D5" s="74" t="s">
        <v>265</v>
      </c>
      <c r="E5" s="75">
        <f>+SUM('BD MF'!K63:K93)+(SUM('BD MF'!M63:M93))</f>
        <v>98285725</v>
      </c>
      <c r="F5" s="76">
        <f>+SUM('BD MF'!$H$63:$H$93)*'Metas 2026'!F29</f>
        <v>94203579.963066682</v>
      </c>
      <c r="G5" s="77">
        <f>+E5/F5-1</f>
        <v>4.3333226173928319E-2</v>
      </c>
      <c r="H5" s="77">
        <f>+E5/((SUM('BD MF'!J63:J93)+(SUM('BD MF'!L63:L93))))-1</f>
        <v>0.37509566460995747</v>
      </c>
      <c r="I5" s="76">
        <f>+E5</f>
        <v>98285725</v>
      </c>
      <c r="J5" s="76">
        <f>+'Metas 2026'!F17</f>
        <v>94203579.963066697</v>
      </c>
      <c r="K5" s="77">
        <f>+I5/J5-1</f>
        <v>4.3333226173928319E-2</v>
      </c>
      <c r="L5" s="77">
        <f>+I5/(SUM('BD MF'!J63:J93)+(SUM('BD MF'!L63:L93)))-1</f>
        <v>0.37509566460995747</v>
      </c>
      <c r="M5" s="76">
        <f>+I5+'Metas 2026'!D3+'Metas 2026'!E3+(SUM('Metas 2026'!G3:O3))</f>
        <v>1378858200.7007201</v>
      </c>
      <c r="N5" s="76">
        <f>+'Metas 2026'!P17</f>
        <v>1380982825.66379</v>
      </c>
      <c r="O5" s="77">
        <f>+M5/'Metas 2026'!P17-1</f>
        <v>-1.5384876072218612E-3</v>
      </c>
      <c r="P5" s="78">
        <f>+M5/('BD MF'!J1+'BD MF'!L1)-1</f>
        <v>0.29540937307666004</v>
      </c>
      <c r="R5" s="74" t="s">
        <v>265</v>
      </c>
      <c r="S5" s="79">
        <f t="shared" ref="S5:T9" si="0">+E5/1000000</f>
        <v>98.285724999999999</v>
      </c>
      <c r="T5" s="80">
        <f t="shared" si="0"/>
        <v>94.203579963066687</v>
      </c>
      <c r="U5" s="77">
        <f t="shared" ref="U5:V9" si="1">+G5</f>
        <v>4.3333226173928319E-2</v>
      </c>
      <c r="V5" s="77">
        <f t="shared" si="1"/>
        <v>0.37509566460995747</v>
      </c>
      <c r="W5" s="80">
        <f t="shared" ref="W5:X9" si="2">+I5/1000000</f>
        <v>98.285724999999999</v>
      </c>
      <c r="X5" s="80">
        <f t="shared" si="2"/>
        <v>94.203579963066701</v>
      </c>
      <c r="Y5" s="77">
        <f t="shared" ref="Y5:Z9" si="3">+K5</f>
        <v>4.3333226173928319E-2</v>
      </c>
      <c r="Z5" s="77">
        <f t="shared" si="3"/>
        <v>0.37509566460995747</v>
      </c>
      <c r="AA5" s="80">
        <f t="shared" ref="AA5:AB9" si="4">+M5/1000000</f>
        <v>1378.8582007007201</v>
      </c>
      <c r="AB5" s="80">
        <f t="shared" si="4"/>
        <v>1380.98282566379</v>
      </c>
      <c r="AC5" s="77">
        <f t="shared" ref="AC5:AD9" si="5">+O5</f>
        <v>-1.5384876072218612E-3</v>
      </c>
      <c r="AD5" s="78">
        <f t="shared" si="5"/>
        <v>0.29540937307666004</v>
      </c>
    </row>
    <row r="6" spans="3:30" ht="36" customHeight="1" x14ac:dyDescent="0.35">
      <c r="D6" s="81" t="s">
        <v>267</v>
      </c>
      <c r="E6" s="82">
        <f>+SUM('BD MF'!W63:W93)+SUM('BD MF'!U63:U93)+SUM('BD MF'!Y63:Y93)+SUM('BD MF'!AA63:AA93)+SUM('BD MF'!AC63:AC93)+SUM('BD MF'!AE63:AE93)</f>
        <v>17481335</v>
      </c>
      <c r="F6" s="83">
        <f>+SUM('BD MF'!I63:I93)</f>
        <v>20199998</v>
      </c>
      <c r="G6" s="84">
        <f>+E6/F6-1</f>
        <v>-0.13458729055319707</v>
      </c>
      <c r="H6" s="84">
        <f>+E6/(SUM('BD MF'!AQ63:AQ93))-1</f>
        <v>4.1159961356141972E-2</v>
      </c>
      <c r="I6" s="76">
        <f>+E6</f>
        <v>17481335</v>
      </c>
      <c r="J6" s="83">
        <f>+'Metas 2026'!F21+'Metas 2026'!F22+'Metas 2026'!F23</f>
        <v>20200000</v>
      </c>
      <c r="K6" s="84">
        <f>+I6/J6-1</f>
        <v>-0.13458737623762373</v>
      </c>
      <c r="L6" s="84">
        <f>+I6/(SUM('BD MF'!AQ63:AQ93))-1</f>
        <v>4.1159961356141972E-2</v>
      </c>
      <c r="M6" s="83">
        <f>+I6+'Metas 2026'!D7+'Metas 2026'!E7+'Metas 2026'!D8+'Metas 2026'!E8+'Metas 2026'!D9+'Metas 2026'!E9+(SUM('Metas 2026'!G7:O7)+SUM('Metas 2026'!G8:O8)+SUM('Metas 2026'!G9:O9))</f>
        <v>406643868</v>
      </c>
      <c r="N6" s="83">
        <f>+'Metas 2026'!P21+'Metas 2026'!P22+'Metas 2026'!P23</f>
        <v>412000000</v>
      </c>
      <c r="O6" s="84">
        <f>+(M6/('Metas 2026'!P21+'Metas 2026'!P22+'Metas 2026'!P23))-1</f>
        <v>-1.3000320388349529E-2</v>
      </c>
      <c r="P6" s="85">
        <f>+M6/'BD MF'!AE1-1</f>
        <v>0.20413704646397335</v>
      </c>
      <c r="R6" s="81" t="s">
        <v>267</v>
      </c>
      <c r="S6" s="86">
        <f t="shared" si="0"/>
        <v>17.481335000000001</v>
      </c>
      <c r="T6" s="87">
        <f t="shared" si="0"/>
        <v>20.199998000000001</v>
      </c>
      <c r="U6" s="84">
        <f t="shared" si="1"/>
        <v>-0.13458729055319707</v>
      </c>
      <c r="V6" s="84">
        <f t="shared" si="1"/>
        <v>4.1159961356141972E-2</v>
      </c>
      <c r="W6" s="87">
        <f t="shared" si="2"/>
        <v>17.481335000000001</v>
      </c>
      <c r="X6" s="87">
        <f t="shared" si="2"/>
        <v>20.2</v>
      </c>
      <c r="Y6" s="84">
        <f t="shared" si="3"/>
        <v>-0.13458737623762373</v>
      </c>
      <c r="Z6" s="84">
        <f t="shared" si="3"/>
        <v>4.1159961356141972E-2</v>
      </c>
      <c r="AA6" s="87">
        <f t="shared" si="4"/>
        <v>406.643868</v>
      </c>
      <c r="AB6" s="80">
        <f t="shared" si="4"/>
        <v>412</v>
      </c>
      <c r="AC6" s="84">
        <f t="shared" si="5"/>
        <v>-1.3000320388349529E-2</v>
      </c>
      <c r="AD6" s="85">
        <f t="shared" si="5"/>
        <v>0.20413704646397335</v>
      </c>
    </row>
    <row r="7" spans="3:30" ht="36" customHeight="1" x14ac:dyDescent="0.35">
      <c r="C7" s="113"/>
      <c r="D7" s="81" t="s">
        <v>268</v>
      </c>
      <c r="E7" s="82">
        <f>+SUM('BD MF'!O63:O93)+SUM('BD MF'!Q63:Q93)</f>
        <v>981759</v>
      </c>
      <c r="F7" s="83">
        <f>+SUM('BD MF'!$H$63:$H$93)*('Metas 2026'!F30+'Metas 2026'!F32)</f>
        <v>1685126.7243144379</v>
      </c>
      <c r="G7" s="84">
        <f>+E7/F7-1</f>
        <v>-0.41739752516273809</v>
      </c>
      <c r="H7" s="84">
        <f>+(E7/(SUM('BD MF'!N63:N93)+SUM('BD MF'!P63:P93)))-1</f>
        <v>-0.36063668085073131</v>
      </c>
      <c r="I7" s="76">
        <f>+E7</f>
        <v>981759</v>
      </c>
      <c r="J7" s="83">
        <f>+'Metas 2026'!F18+'Metas 2026'!F20</f>
        <v>1685126.7243144379</v>
      </c>
      <c r="K7" s="84">
        <f>+I7/J7-1</f>
        <v>-0.41739752516273809</v>
      </c>
      <c r="L7" s="84">
        <f>+(I7/(SUM('BD MF'!N63:N93)+SUM('BD MF'!P63:P93)))-1</f>
        <v>-0.36063668085073131</v>
      </c>
      <c r="M7" s="83">
        <f>+I7+(('Metas 2026'!D6+'Metas 2026'!E6+'Metas 2026'!D4+'Metas 2026'!E4+'Metas 2026'!G4+'Metas 2026'!H4+'Metas 2026'!I4+'Metas 2026'!J4+'Metas 2026'!K4+'Metas 2026'!L4+'Metas 2026'!M4+'Metas 2026'!N4+'Metas 2026'!O4+'Metas 2026'!G6+'Metas 2026'!H6+'Metas 2026'!I6+'Metas 2026'!J6+'Metas 2026'!K6+'Metas 2026'!L6+'Metas 2026'!M6+'Metas 2026'!N6+'Metas 2026'!O6)*0.7)</f>
        <v>12101081.392979896</v>
      </c>
      <c r="N7" s="83">
        <f>+'Metas 2026'!P18+'Metas 2026'!P20</f>
        <v>19000000</v>
      </c>
      <c r="O7" s="84">
        <f>+M7/('Metas 2026'!P20+'Metas 2026'!P18)-1</f>
        <v>-0.36310097931684759</v>
      </c>
      <c r="P7" s="85">
        <f>+(M7/('BD MF'!N1+'BD MF'!P1))-1</f>
        <v>-0.28285621301676878</v>
      </c>
      <c r="R7" s="81" t="s">
        <v>268</v>
      </c>
      <c r="S7" s="86">
        <f t="shared" si="0"/>
        <v>0.98175900000000005</v>
      </c>
      <c r="T7" s="87">
        <f t="shared" si="0"/>
        <v>1.6851267243144379</v>
      </c>
      <c r="U7" s="84">
        <f t="shared" si="1"/>
        <v>-0.41739752516273809</v>
      </c>
      <c r="V7" s="84">
        <f t="shared" si="1"/>
        <v>-0.36063668085073131</v>
      </c>
      <c r="W7" s="87">
        <f t="shared" si="2"/>
        <v>0.98175900000000005</v>
      </c>
      <c r="X7" s="87">
        <f t="shared" si="2"/>
        <v>1.6851267243144379</v>
      </c>
      <c r="Y7" s="84">
        <f t="shared" si="3"/>
        <v>-0.41739752516273809</v>
      </c>
      <c r="Z7" s="84">
        <f t="shared" si="3"/>
        <v>-0.36063668085073131</v>
      </c>
      <c r="AA7" s="87">
        <f t="shared" si="4"/>
        <v>12.101081392979896</v>
      </c>
      <c r="AB7" s="80">
        <f t="shared" si="4"/>
        <v>19</v>
      </c>
      <c r="AC7" s="84">
        <f t="shared" si="5"/>
        <v>-0.36310097931684759</v>
      </c>
      <c r="AD7" s="85">
        <f t="shared" si="5"/>
        <v>-0.28285621301676878</v>
      </c>
    </row>
    <row r="8" spans="3:30" ht="36" customHeight="1" x14ac:dyDescent="0.35">
      <c r="D8" s="88" t="s">
        <v>269</v>
      </c>
      <c r="E8" s="89">
        <f>+SUM('BD MF'!S63:S93)</f>
        <v>2871257</v>
      </c>
      <c r="F8" s="90">
        <f>+SUM('BD MF'!$H$63:$H$93)*'Metas 2026'!F31</f>
        <v>2448823.6577100595</v>
      </c>
      <c r="G8" s="91">
        <f>+E8/F8-1</f>
        <v>0.17250459867125167</v>
      </c>
      <c r="H8" s="91">
        <f>+E8/(SUM('BD MF'!R63:R93))-1</f>
        <v>0.51512962406935525</v>
      </c>
      <c r="I8" s="76">
        <f>+E8</f>
        <v>2871257</v>
      </c>
      <c r="J8" s="90">
        <f>+'Metas 2026'!F19</f>
        <v>2448823.65771006</v>
      </c>
      <c r="K8" s="91">
        <f>+I8/J8-1</f>
        <v>0.17250459867125145</v>
      </c>
      <c r="L8" s="91">
        <f>+(I8/(SUM('BD MF'!R63:R93))-1)</f>
        <v>0.51512962406935525</v>
      </c>
      <c r="M8" s="90">
        <f>+I8+'Metas 2026'!D5+'Metas 2026'!E5+'Metas 2026'!G5+'Metas 2026'!H5+'Metas 2026'!I5+'Metas 2026'!J5+'Metas 2026'!K5+'Metas 2026'!L5+'Metas 2026'!M5+'Metas 2026'!N5+'Metas 2026'!O5</f>
        <v>49298235.678502239</v>
      </c>
      <c r="N8" s="90">
        <f>+'Metas 2026'!P19</f>
        <v>50017174.3362123</v>
      </c>
      <c r="O8" s="91">
        <f>+M8/'Metas 2026'!P19-1</f>
        <v>-1.4373835932381951E-2</v>
      </c>
      <c r="P8" s="92">
        <f>+M8/'BD MF'!R1-1</f>
        <v>0.28473959008361938</v>
      </c>
      <c r="R8" s="88" t="s">
        <v>269</v>
      </c>
      <c r="S8" s="93">
        <f t="shared" si="0"/>
        <v>2.8712569999999999</v>
      </c>
      <c r="T8" s="94">
        <f t="shared" si="0"/>
        <v>2.4488236577100597</v>
      </c>
      <c r="U8" s="91">
        <f t="shared" si="1"/>
        <v>0.17250459867125167</v>
      </c>
      <c r="V8" s="91">
        <f t="shared" si="1"/>
        <v>0.51512962406935525</v>
      </c>
      <c r="W8" s="94">
        <f t="shared" si="2"/>
        <v>2.8712569999999999</v>
      </c>
      <c r="X8" s="94">
        <f t="shared" si="2"/>
        <v>2.4488236577100602</v>
      </c>
      <c r="Y8" s="91">
        <f t="shared" si="3"/>
        <v>0.17250459867125145</v>
      </c>
      <c r="Z8" s="91">
        <f t="shared" si="3"/>
        <v>0.51512962406935525</v>
      </c>
      <c r="AA8" s="94">
        <f t="shared" si="4"/>
        <v>49.298235678502238</v>
      </c>
      <c r="AB8" s="80">
        <f t="shared" si="4"/>
        <v>50.0171743362123</v>
      </c>
      <c r="AC8" s="91">
        <f t="shared" si="5"/>
        <v>-1.4373835932381951E-2</v>
      </c>
      <c r="AD8" s="92">
        <f t="shared" si="5"/>
        <v>0.28473959008361938</v>
      </c>
    </row>
    <row r="9" spans="3:30" ht="36" customHeight="1" x14ac:dyDescent="0.35">
      <c r="D9" s="95" t="s">
        <v>258</v>
      </c>
      <c r="E9" s="96">
        <f>+SUM(E5:E8)</f>
        <v>119620076</v>
      </c>
      <c r="F9" s="97">
        <f>+SUM(F5:F8)</f>
        <v>118537528.34509118</v>
      </c>
      <c r="G9" s="98">
        <f>+E9/F9-1</f>
        <v>9.1325310222198919E-3</v>
      </c>
      <c r="H9" s="98">
        <f>+E9/(SUM('BD MF'!C63:C93))-1</f>
        <v>0.30452333705057066</v>
      </c>
      <c r="I9" s="97">
        <f>+SUM(I5:I8)</f>
        <v>119620076</v>
      </c>
      <c r="J9" s="97">
        <f>+SUM(J5:J8)</f>
        <v>118537530.34509119</v>
      </c>
      <c r="K9" s="98">
        <f>+I9/J9-1</f>
        <v>9.1325139958395862E-3</v>
      </c>
      <c r="L9" s="98">
        <f>+(I9/SUM('BD MF'!C63:C93))-1</f>
        <v>0.30452333705057066</v>
      </c>
      <c r="M9" s="97">
        <f>+SUM(M5:M8)</f>
        <v>1846901385.7722023</v>
      </c>
      <c r="N9" s="97">
        <f>+SUM(N5:N8)</f>
        <v>1862000000.0000024</v>
      </c>
      <c r="O9" s="98">
        <f>+M9/N9-1</f>
        <v>-8.1088153747583824E-3</v>
      </c>
      <c r="P9" s="99">
        <f>+M9/Q14-1</f>
        <v>0.307055996890919</v>
      </c>
      <c r="R9" s="95" t="s">
        <v>258</v>
      </c>
      <c r="S9" s="100">
        <f t="shared" si="0"/>
        <v>119.620076</v>
      </c>
      <c r="T9" s="101">
        <f t="shared" si="0"/>
        <v>118.53752834509118</v>
      </c>
      <c r="U9" s="98">
        <f t="shared" si="1"/>
        <v>9.1325310222198919E-3</v>
      </c>
      <c r="V9" s="98">
        <f t="shared" si="1"/>
        <v>0.30452333705057066</v>
      </c>
      <c r="W9" s="101">
        <f t="shared" si="2"/>
        <v>119.620076</v>
      </c>
      <c r="X9" s="101">
        <f t="shared" si="2"/>
        <v>118.5375303450912</v>
      </c>
      <c r="Y9" s="98">
        <f t="shared" si="3"/>
        <v>9.1325139958395862E-3</v>
      </c>
      <c r="Z9" s="98">
        <f t="shared" si="3"/>
        <v>0.30452333705057066</v>
      </c>
      <c r="AA9" s="101">
        <f t="shared" si="4"/>
        <v>1846.9013857722023</v>
      </c>
      <c r="AB9" s="101">
        <f t="shared" si="4"/>
        <v>1862.0000000000023</v>
      </c>
      <c r="AC9" s="98">
        <f t="shared" si="5"/>
        <v>-8.1088153747583824E-3</v>
      </c>
      <c r="AD9" s="99">
        <f t="shared" si="5"/>
        <v>0.307055996890919</v>
      </c>
    </row>
    <row r="10" spans="3:30" ht="36" customHeight="1" x14ac:dyDescent="0.35">
      <c r="D10" s="102" t="s">
        <v>284</v>
      </c>
      <c r="E10" s="103">
        <f>+SUM('BD MF'!E63:E93)</f>
        <v>1231219349</v>
      </c>
      <c r="F10" s="83"/>
      <c r="G10" s="104"/>
      <c r="H10" s="84">
        <v>3.75877366634743E-2</v>
      </c>
      <c r="I10" s="104"/>
      <c r="J10" s="105"/>
      <c r="K10" s="104"/>
      <c r="L10" s="104"/>
      <c r="M10" s="104"/>
      <c r="N10" s="104"/>
      <c r="O10" s="104"/>
      <c r="P10" s="106"/>
      <c r="R10" s="102" t="s">
        <v>284</v>
      </c>
      <c r="S10" s="107">
        <f>+E10/1000000</f>
        <v>1231.219349</v>
      </c>
      <c r="T10" s="87"/>
      <c r="U10" s="104"/>
      <c r="V10" s="84">
        <f>+H10</f>
        <v>3.75877366634743E-2</v>
      </c>
      <c r="W10" s="104"/>
      <c r="X10" s="105"/>
      <c r="Y10" s="104"/>
      <c r="Z10" s="104"/>
      <c r="AA10" s="104"/>
      <c r="AB10" s="104"/>
      <c r="AC10" s="104"/>
      <c r="AD10" s="106"/>
    </row>
    <row r="11" spans="3:30" ht="36" customHeight="1" x14ac:dyDescent="0.35">
      <c r="D11" s="108" t="s">
        <v>285</v>
      </c>
      <c r="E11" s="109">
        <f>+E9/E10</f>
        <v>9.7155779834970743E-2</v>
      </c>
      <c r="F11" s="110"/>
      <c r="G11" s="110"/>
      <c r="H11" s="111">
        <v>1.9867500442192199E-2</v>
      </c>
      <c r="I11" s="110"/>
      <c r="J11" s="110"/>
      <c r="K11" s="110"/>
      <c r="L11" s="110"/>
      <c r="M11" s="110"/>
      <c r="N11" s="110"/>
      <c r="O11" s="110"/>
      <c r="P11" s="112"/>
      <c r="R11" s="108" t="s">
        <v>285</v>
      </c>
      <c r="S11" s="109">
        <f>+E11</f>
        <v>9.7155779834970743E-2</v>
      </c>
      <c r="T11" s="110"/>
      <c r="U11" s="110"/>
      <c r="V11" s="111">
        <f>+H11</f>
        <v>1.9867500442192199E-2</v>
      </c>
      <c r="W11" s="110"/>
      <c r="X11" s="110"/>
      <c r="Y11" s="110"/>
      <c r="Z11" s="110"/>
      <c r="AA11" s="110"/>
      <c r="AB11" s="110"/>
      <c r="AC11" s="110"/>
      <c r="AD11" s="112"/>
    </row>
    <row r="13" spans="3:30" ht="14.25" customHeight="1" x14ac:dyDescent="0.35">
      <c r="F13" s="6"/>
      <c r="G13" s="6"/>
    </row>
    <row r="14" spans="3:30" ht="14.25" customHeight="1" x14ac:dyDescent="0.35">
      <c r="Q14">
        <v>1413023918</v>
      </c>
    </row>
    <row r="15" spans="3:30" ht="14.25" customHeight="1" x14ac:dyDescent="0.35">
      <c r="F15" s="113"/>
    </row>
    <row r="16" spans="3:30" ht="15" customHeight="1" x14ac:dyDescent="0.35">
      <c r="F16" s="113"/>
    </row>
    <row r="17" spans="4:44" ht="36" customHeight="1" x14ac:dyDescent="0.35">
      <c r="D17" s="510" t="s">
        <v>287</v>
      </c>
      <c r="E17" s="510"/>
      <c r="F17" s="510"/>
      <c r="G17" s="510"/>
      <c r="H17" s="510"/>
      <c r="I17" s="510"/>
      <c r="J17" s="510" t="s">
        <v>288</v>
      </c>
      <c r="K17" s="510"/>
      <c r="L17" s="510"/>
      <c r="M17" s="510"/>
      <c r="N17" s="510"/>
      <c r="O17" s="510" t="s">
        <v>275</v>
      </c>
      <c r="P17" s="510"/>
      <c r="Q17" s="510"/>
      <c r="R17" s="510"/>
      <c r="S17" s="510"/>
      <c r="U17" s="510" t="s">
        <v>287</v>
      </c>
      <c r="V17" s="510"/>
      <c r="W17" s="510"/>
      <c r="X17" s="510"/>
      <c r="Y17" s="510"/>
      <c r="Z17" s="510"/>
      <c r="AA17" s="510" t="s">
        <v>288</v>
      </c>
      <c r="AB17" s="510"/>
      <c r="AC17" s="510"/>
      <c r="AD17" s="510"/>
      <c r="AE17" s="510"/>
      <c r="AF17" s="510" t="s">
        <v>275</v>
      </c>
      <c r="AG17" s="510"/>
      <c r="AH17" s="510"/>
      <c r="AI17" s="510"/>
      <c r="AJ17" s="510"/>
    </row>
    <row r="18" spans="4:44" ht="36" customHeight="1" x14ac:dyDescent="0.35">
      <c r="D18" s="114" t="s">
        <v>276</v>
      </c>
      <c r="E18" s="115">
        <v>2025</v>
      </c>
      <c r="F18" s="116" t="s">
        <v>278</v>
      </c>
      <c r="G18" s="117" t="s">
        <v>289</v>
      </c>
      <c r="H18" s="118" t="s">
        <v>280</v>
      </c>
      <c r="I18" s="119" t="s">
        <v>279</v>
      </c>
      <c r="J18" s="115">
        <v>2025</v>
      </c>
      <c r="K18" s="116" t="s">
        <v>290</v>
      </c>
      <c r="L18" s="117" t="s">
        <v>291</v>
      </c>
      <c r="M18" s="118" t="s">
        <v>280</v>
      </c>
      <c r="N18" s="119" t="s">
        <v>279</v>
      </c>
      <c r="O18" s="115">
        <v>2025</v>
      </c>
      <c r="P18" s="116" t="s">
        <v>292</v>
      </c>
      <c r="Q18" s="117" t="s">
        <v>293</v>
      </c>
      <c r="R18" s="118" t="s">
        <v>280</v>
      </c>
      <c r="S18" s="119" t="s">
        <v>279</v>
      </c>
      <c r="U18" s="114" t="s">
        <v>276</v>
      </c>
      <c r="V18" s="120">
        <v>2025</v>
      </c>
      <c r="W18" s="116" t="s">
        <v>278</v>
      </c>
      <c r="X18" s="121" t="s">
        <v>289</v>
      </c>
      <c r="Y18" s="118" t="s">
        <v>280</v>
      </c>
      <c r="Z18" s="119" t="s">
        <v>279</v>
      </c>
      <c r="AA18" s="122">
        <v>2025</v>
      </c>
      <c r="AB18" s="123" t="s">
        <v>290</v>
      </c>
      <c r="AC18" s="124" t="s">
        <v>291</v>
      </c>
      <c r="AD18" s="125" t="s">
        <v>280</v>
      </c>
      <c r="AE18" s="126" t="s">
        <v>279</v>
      </c>
      <c r="AF18" s="122">
        <v>2025</v>
      </c>
      <c r="AG18" s="123" t="s">
        <v>292</v>
      </c>
      <c r="AH18" s="124" t="s">
        <v>293</v>
      </c>
      <c r="AI18" s="125" t="s">
        <v>280</v>
      </c>
      <c r="AJ18" s="126" t="s">
        <v>279</v>
      </c>
    </row>
    <row r="19" spans="4:44" ht="36" customHeight="1" x14ac:dyDescent="0.35">
      <c r="D19" s="127" t="s">
        <v>265</v>
      </c>
      <c r="E19" s="128">
        <f>+SUM('BD MF'!J94:J123)+SUM('BD MF'!L94:L123)</f>
        <v>65409786.517241381</v>
      </c>
      <c r="F19" s="128">
        <f>+SUM('BD MF'!AV94:AV123)*'Metas 2026'!G29</f>
        <v>85451247.625192046</v>
      </c>
      <c r="G19" s="129">
        <f>+SUM('BD MF'!K94:K123)+SUM('BD MF'!M94:M123)</f>
        <v>85600391</v>
      </c>
      <c r="H19" s="130">
        <f t="shared" ref="H19:H24" si="6">+G19/E19-1</f>
        <v>0.30867864822394075</v>
      </c>
      <c r="I19" s="131">
        <f>+G19/F19-1</f>
        <v>1.745362167936193E-3</v>
      </c>
      <c r="J19" s="129">
        <f>+SUM('BD MF'!J94:J123)+SUM('BD MF'!L94:L123)</f>
        <v>65409786.517241381</v>
      </c>
      <c r="K19" s="129">
        <f>+SUM('BD MF'!AV94:AV123)*'Metas 2026'!G29</f>
        <v>85451247.625192046</v>
      </c>
      <c r="L19" s="128">
        <f>+G19</f>
        <v>85600391</v>
      </c>
      <c r="M19" s="130">
        <f>+L19/J19-1</f>
        <v>0.30867864822394075</v>
      </c>
      <c r="N19" s="131">
        <f>+L19/K19-1</f>
        <v>1.745362167936193E-3</v>
      </c>
      <c r="O19" s="132">
        <f>+SUM('BD MF'!J4:J368)+SUM('BD MF'!L4:L368)</f>
        <v>1063964916.1481482</v>
      </c>
      <c r="P19" s="133">
        <f>+'Metas 2026'!P17</f>
        <v>1380982825.66379</v>
      </c>
      <c r="Q19" s="133">
        <f>+G19+'Metas 2026'!D60+'Metas 2026'!E60+'Metas 2026'!F60+'Metas 2026'!D64+'Metas 2026'!E64+'Metas 2026'!F64+SUM('Metas 2026'!H60:O60)</f>
        <v>1380519338.0755279</v>
      </c>
      <c r="R19" s="134">
        <f>+Q19/O19-1</f>
        <v>0.29752336484307729</v>
      </c>
      <c r="S19" s="135">
        <f>+Q19/P19-1</f>
        <v>-3.3562154405453182E-4</v>
      </c>
      <c r="U19" s="127" t="s">
        <v>265</v>
      </c>
      <c r="V19" s="136">
        <f t="shared" ref="V19:X22" si="7">+E19/1000000</f>
        <v>65.409786517241386</v>
      </c>
      <c r="W19" s="137">
        <f t="shared" si="7"/>
        <v>85.451247625192053</v>
      </c>
      <c r="X19" s="138">
        <f t="shared" si="7"/>
        <v>85.600391000000002</v>
      </c>
      <c r="Y19" s="130">
        <f t="shared" ref="Y19:Y25" si="8">+X19/V19-1</f>
        <v>0.30867864822394075</v>
      </c>
      <c r="Z19" s="139">
        <f>+X19/W19-1</f>
        <v>1.745362167936193E-3</v>
      </c>
      <c r="AA19" s="140">
        <f t="shared" ref="AA19:AC22" si="9">+J19/1000000</f>
        <v>65.409786517241386</v>
      </c>
      <c r="AB19" s="141">
        <f t="shared" si="9"/>
        <v>85.451247625192053</v>
      </c>
      <c r="AC19" s="142">
        <f t="shared" si="9"/>
        <v>85.600391000000002</v>
      </c>
      <c r="AD19" s="134">
        <f>+AC19/AA19-1</f>
        <v>0.30867864822394075</v>
      </c>
      <c r="AE19" s="143">
        <f>+AC19/AB19-1</f>
        <v>1.745362167936193E-3</v>
      </c>
      <c r="AF19" s="140">
        <f t="shared" ref="AF19:AH22" si="10">+O19/1000000</f>
        <v>1063.9649161481482</v>
      </c>
      <c r="AG19" s="141">
        <f t="shared" si="10"/>
        <v>1380.98282566379</v>
      </c>
      <c r="AH19" s="142">
        <f t="shared" si="10"/>
        <v>1380.5193380755279</v>
      </c>
      <c r="AI19" s="134">
        <f>+AH19/AF19-1</f>
        <v>0.29752336484307729</v>
      </c>
      <c r="AJ19" s="135">
        <f>+AH19/AG19-1</f>
        <v>-3.3562154405453182E-4</v>
      </c>
    </row>
    <row r="20" spans="4:44" ht="36" customHeight="1" x14ac:dyDescent="0.35">
      <c r="D20" s="144" t="s">
        <v>267</v>
      </c>
      <c r="E20" s="145">
        <f>+SUM('BD MF'!AQ94:AQ123)</f>
        <v>14105872</v>
      </c>
      <c r="F20" s="145">
        <f>+SUM('BD MF'!AW94:AW123)</f>
        <v>18500000.000000004</v>
      </c>
      <c r="G20" s="146">
        <f>+SUM('BD MF'!AS94:AS123)</f>
        <v>13589316</v>
      </c>
      <c r="H20" s="147">
        <f t="shared" si="6"/>
        <v>-3.6619926793607704E-2</v>
      </c>
      <c r="I20" s="148">
        <f>+G20/F20-1</f>
        <v>-0.26544237837837847</v>
      </c>
      <c r="J20" s="129">
        <f>+SUM('BD MF'!AQ94:AQ123)</f>
        <v>14105872</v>
      </c>
      <c r="K20" s="129">
        <f>+SUM('BD MF'!AW94:AW123)</f>
        <v>18500000.000000004</v>
      </c>
      <c r="L20" s="128">
        <f>+G20</f>
        <v>13589316</v>
      </c>
      <c r="M20" s="130">
        <f>+L20/J20-1</f>
        <v>-3.6619926793607704E-2</v>
      </c>
      <c r="N20" s="131">
        <f>+L20/K20-1</f>
        <v>-0.26544237837837847</v>
      </c>
      <c r="O20" s="149">
        <f>+SUM('BD MF'!AQ4:AQ368)</f>
        <v>306452115.37931019</v>
      </c>
      <c r="P20" s="129">
        <f>+'Metas 2026'!P21+'Metas 2026'!P22+'Metas 2026'!P23</f>
        <v>412000000</v>
      </c>
      <c r="Q20" s="129">
        <f>+G20+SUM('Metas 2026'!D65+'Metas 2026'!E65+'Metas 2026'!F65+'Metas 2026'!D66+'Metas 2026'!E66+'Metas 2026'!F66+'Metas 2026'!D67+'Metas 2026'!E67+'Metas 2026'!F67+'Metas 2026'!D68+'Metas 2026'!E68+'Metas 2026'!F68+(SUM('Metas 2026'!H65:O65)*0.95)+(SUM('Metas 2026'!H66:O66)*0.75)+(SUM('Metas 2026'!H67:O67)*0.4))</f>
        <v>371550695</v>
      </c>
      <c r="R20" s="130">
        <f>+Q20/O20-1</f>
        <v>0.21242659571827138</v>
      </c>
      <c r="S20" s="131">
        <f>+Q20/P20-1</f>
        <v>-9.8177924757281598E-2</v>
      </c>
      <c r="U20" s="144" t="s">
        <v>267</v>
      </c>
      <c r="V20" s="150">
        <f t="shared" si="7"/>
        <v>14.105872</v>
      </c>
      <c r="W20" s="151">
        <f t="shared" si="7"/>
        <v>18.500000000000004</v>
      </c>
      <c r="X20" s="152">
        <f t="shared" si="7"/>
        <v>13.589316</v>
      </c>
      <c r="Y20" s="147">
        <f t="shared" si="8"/>
        <v>-3.6619926793607593E-2</v>
      </c>
      <c r="Z20" s="153">
        <f>+X20/W20-1</f>
        <v>-0.26544237837837847</v>
      </c>
      <c r="AA20" s="150">
        <f t="shared" si="9"/>
        <v>14.105872</v>
      </c>
      <c r="AB20" s="151">
        <f t="shared" si="9"/>
        <v>18.500000000000004</v>
      </c>
      <c r="AC20" s="152">
        <f t="shared" si="9"/>
        <v>13.589316</v>
      </c>
      <c r="AD20" s="130">
        <f>+AC20/AA20-1</f>
        <v>-3.6619926793607593E-2</v>
      </c>
      <c r="AE20" s="139">
        <f>+AC20/AB20-1</f>
        <v>-0.26544237837837847</v>
      </c>
      <c r="AF20" s="150">
        <f t="shared" si="10"/>
        <v>306.45211537931021</v>
      </c>
      <c r="AG20" s="151">
        <f t="shared" si="10"/>
        <v>412</v>
      </c>
      <c r="AH20" s="152">
        <f t="shared" si="10"/>
        <v>371.55069500000002</v>
      </c>
      <c r="AI20" s="130">
        <f>+AH20/AF20-1</f>
        <v>0.21242659571827138</v>
      </c>
      <c r="AJ20" s="131">
        <f>+AH20/AG20-1</f>
        <v>-9.8177924757281487E-2</v>
      </c>
    </row>
    <row r="21" spans="4:44" ht="36" customHeight="1" x14ac:dyDescent="0.35">
      <c r="D21" s="144" t="s">
        <v>268</v>
      </c>
      <c r="E21" s="145">
        <f>+SUM('BD MF'!N94:N123)+SUM('BD MF'!P94:P123)</f>
        <v>1547876</v>
      </c>
      <c r="F21" s="145">
        <f>+SUM('BD MF'!AV94:AV123)*('Metas 2026'!G30+'Metas 2026'!G32)</f>
        <v>1866592.7826544279</v>
      </c>
      <c r="G21" s="146">
        <f>+SUM('BD MF'!O94:O123)+SUM('BD MF'!Q94:Q123)</f>
        <v>860020</v>
      </c>
      <c r="H21" s="147">
        <f t="shared" si="6"/>
        <v>-0.44438701808155179</v>
      </c>
      <c r="I21" s="148">
        <f>+G21/F21-1</f>
        <v>-0.53925676345057427</v>
      </c>
      <c r="J21" s="129">
        <f>+SUM('BD MF'!N94:N123)+SUM('BD MF'!P94:P123)</f>
        <v>1547876</v>
      </c>
      <c r="K21" s="129">
        <f>+SUM('BD MF'!AV94:AV123)*'Metas 2026'!G34</f>
        <v>1866592.7826544279</v>
      </c>
      <c r="L21" s="128">
        <f>+G21</f>
        <v>860020</v>
      </c>
      <c r="M21" s="130">
        <f>+L21/J21-1</f>
        <v>-0.44438701808155179</v>
      </c>
      <c r="N21" s="131">
        <f>+L21/K21-1</f>
        <v>-0.53925676345057427</v>
      </c>
      <c r="O21" s="149">
        <f>+SUM('BD MF'!N4:N368)+SUM('BD MF'!P4:P368)</f>
        <v>16868542</v>
      </c>
      <c r="P21" s="129">
        <f>+'Metas 2026'!P18+'Metas 2026'!P20</f>
        <v>19000000</v>
      </c>
      <c r="Q21" s="129">
        <f>+G21+'Metas 2026'!D61+'Metas 2026'!E61+'Metas 2026'!F61+'Metas 2026'!D63+'Metas 2026'!E63+'Metas 2026'!F63+((SUM('Metas 2026'!H61:O61)+SUM('Metas 2026'!H63:O63))*0.6)</f>
        <v>10906645.895818684</v>
      </c>
      <c r="R21" s="130">
        <f>+Q21/O21-1</f>
        <v>-0.35343280433965873</v>
      </c>
      <c r="S21" s="131">
        <f>+Q21/P21-1</f>
        <v>-0.42596600548322716</v>
      </c>
      <c r="U21" s="144" t="s">
        <v>268</v>
      </c>
      <c r="V21" s="150">
        <f t="shared" si="7"/>
        <v>1.547876</v>
      </c>
      <c r="W21" s="151">
        <f t="shared" si="7"/>
        <v>1.866592782654428</v>
      </c>
      <c r="X21" s="152">
        <f t="shared" si="7"/>
        <v>0.86002000000000001</v>
      </c>
      <c r="Y21" s="147">
        <f t="shared" si="8"/>
        <v>-0.44438701808155179</v>
      </c>
      <c r="Z21" s="153">
        <f>+X21/W21-1</f>
        <v>-0.53925676345057427</v>
      </c>
      <c r="AA21" s="150">
        <f t="shared" si="9"/>
        <v>1.547876</v>
      </c>
      <c r="AB21" s="151">
        <f t="shared" si="9"/>
        <v>1.866592782654428</v>
      </c>
      <c r="AC21" s="152">
        <f t="shared" si="9"/>
        <v>0.86002000000000001</v>
      </c>
      <c r="AD21" s="130">
        <f>+AC21/AA21-1</f>
        <v>-0.44438701808155179</v>
      </c>
      <c r="AE21" s="139">
        <f>+AC21/AB21-1</f>
        <v>-0.53925676345057427</v>
      </c>
      <c r="AF21" s="150">
        <f t="shared" si="10"/>
        <v>16.868542000000001</v>
      </c>
      <c r="AG21" s="151">
        <f t="shared" si="10"/>
        <v>19</v>
      </c>
      <c r="AH21" s="152">
        <f t="shared" si="10"/>
        <v>10.906645895818684</v>
      </c>
      <c r="AI21" s="130">
        <f>+AH21/AF21-1</f>
        <v>-0.35343280433965885</v>
      </c>
      <c r="AJ21" s="131">
        <f>+AH21/AG21-1</f>
        <v>-0.42596600548322716</v>
      </c>
    </row>
    <row r="22" spans="4:44" ht="36" customHeight="1" x14ac:dyDescent="0.35">
      <c r="D22" s="154" t="s">
        <v>269</v>
      </c>
      <c r="E22" s="155">
        <f>+SUM('BD MF'!R94:R123)</f>
        <v>1991672</v>
      </c>
      <c r="F22" s="155">
        <f>+SUM('BD MF'!AV94:AV123)*'Metas 2026'!G31</f>
        <v>2573658.9184749816</v>
      </c>
      <c r="G22" s="156">
        <f>+SUM('BD MF'!S94:S123)</f>
        <v>2278366</v>
      </c>
      <c r="H22" s="157">
        <f t="shared" si="6"/>
        <v>0.14394639277953392</v>
      </c>
      <c r="I22" s="158">
        <f>+G22/F22-1</f>
        <v>-0.11473661733309903</v>
      </c>
      <c r="J22" s="155">
        <f>+SUM('BD MF'!R94:R123)</f>
        <v>1991672</v>
      </c>
      <c r="K22" s="155">
        <f>+SUM('BD MF'!AV94:AV123)*'Metas 2026'!G31</f>
        <v>2573658.9184749816</v>
      </c>
      <c r="L22" s="128">
        <f>+G22</f>
        <v>2278366</v>
      </c>
      <c r="M22" s="130">
        <f>+L22/J22-1</f>
        <v>0.14394639277953392</v>
      </c>
      <c r="N22" s="131">
        <f>+L22/K22-1</f>
        <v>-0.11473661733309903</v>
      </c>
      <c r="O22" s="159">
        <f>+SUM('BD MF'!R4:R368)</f>
        <v>38372162</v>
      </c>
      <c r="P22" s="160">
        <f>+'Metas 2026'!P19</f>
        <v>50017174.3362123</v>
      </c>
      <c r="Q22" s="160">
        <f>+G22+'Metas 2026'!D62+'Metas 2026'!E62+'Metas 2026'!F62+SUM('Metas 2026'!H62:O62)</f>
        <v>49002945.76002726</v>
      </c>
      <c r="R22" s="161">
        <f>+Q22/O22-1</f>
        <v>0.27704416967767576</v>
      </c>
      <c r="S22" s="162">
        <f>+Q22/P22-1</f>
        <v>-2.0277606435090911E-2</v>
      </c>
      <c r="U22" s="154" t="s">
        <v>269</v>
      </c>
      <c r="V22" s="163">
        <f t="shared" si="7"/>
        <v>1.9916720000000001</v>
      </c>
      <c r="W22" s="164">
        <f t="shared" si="7"/>
        <v>2.5736589184749814</v>
      </c>
      <c r="X22" s="165">
        <f t="shared" si="7"/>
        <v>2.2783660000000001</v>
      </c>
      <c r="Y22" s="157">
        <f t="shared" si="8"/>
        <v>0.14394639277953392</v>
      </c>
      <c r="Z22" s="166">
        <f>+X22/W22-1</f>
        <v>-0.11473661733309892</v>
      </c>
      <c r="AA22" s="163">
        <f t="shared" si="9"/>
        <v>1.9916720000000001</v>
      </c>
      <c r="AB22" s="164">
        <f t="shared" si="9"/>
        <v>2.5736589184749814</v>
      </c>
      <c r="AC22" s="165">
        <f t="shared" si="9"/>
        <v>2.2783660000000001</v>
      </c>
      <c r="AD22" s="130">
        <f>+AC22/AA22-1</f>
        <v>0.14394639277953392</v>
      </c>
      <c r="AE22" s="139">
        <f>+AC22/AB22-1</f>
        <v>-0.11473661733309892</v>
      </c>
      <c r="AF22" s="163">
        <f t="shared" si="10"/>
        <v>38.372162000000003</v>
      </c>
      <c r="AG22" s="164">
        <f t="shared" si="10"/>
        <v>50.0171743362123</v>
      </c>
      <c r="AH22" s="165">
        <f t="shared" si="10"/>
        <v>49.002945760027259</v>
      </c>
      <c r="AI22" s="161">
        <f>+AH22/AF22-1</f>
        <v>0.27704416967767553</v>
      </c>
      <c r="AJ22" s="162">
        <f>+AH22/AG22-1</f>
        <v>-2.0277606435090911E-2</v>
      </c>
    </row>
    <row r="23" spans="4:44" ht="36" customHeight="1" x14ac:dyDescent="0.35">
      <c r="D23" s="167" t="s">
        <v>258</v>
      </c>
      <c r="E23" s="132">
        <f>+SUM(E19:E22)</f>
        <v>83055206.517241389</v>
      </c>
      <c r="F23" s="168">
        <f>+SUM(F19:F22)</f>
        <v>108391499.32632147</v>
      </c>
      <c r="G23" s="169">
        <f>+SUM(G19:G22)</f>
        <v>102328093</v>
      </c>
      <c r="H23" s="134">
        <f t="shared" si="6"/>
        <v>0.23204910674393142</v>
      </c>
      <c r="I23" s="170">
        <f>+G23/F23-1</f>
        <v>-5.593986949167562E-2</v>
      </c>
      <c r="J23" s="133">
        <f>+SUM(J19:J22)</f>
        <v>83055206.517241389</v>
      </c>
      <c r="K23" s="133">
        <f>+SUM(K19:K22)</f>
        <v>108391499.32632147</v>
      </c>
      <c r="L23" s="168">
        <f>+SUM(L19:L22)</f>
        <v>102328093</v>
      </c>
      <c r="M23" s="134">
        <f>+L23/J23-1</f>
        <v>0.23204910674393142</v>
      </c>
      <c r="N23" s="135">
        <f>+L23/K23-1</f>
        <v>-5.593986949167562E-2</v>
      </c>
      <c r="O23" s="129">
        <f>+SUM(O19:O22)</f>
        <v>1425657735.5274584</v>
      </c>
      <c r="P23" s="129">
        <f>+SUM(P19:P22)</f>
        <v>1862000000.0000024</v>
      </c>
      <c r="Q23" s="129">
        <f>+SUM(Q19:Q22)</f>
        <v>1811979624.7313738</v>
      </c>
      <c r="R23" s="130">
        <f>+Q23/O23-1</f>
        <v>0.27097800515281856</v>
      </c>
      <c r="S23" s="131">
        <f>+Q23/P23-1</f>
        <v>-2.686378908089615E-2</v>
      </c>
      <c r="U23" s="167" t="s">
        <v>258</v>
      </c>
      <c r="V23" s="140">
        <f>+SUM(V19:V22)</f>
        <v>83.055206517241388</v>
      </c>
      <c r="W23" s="141">
        <f>+SUM(W19:W22)</f>
        <v>108.39149932632145</v>
      </c>
      <c r="X23" s="142">
        <f>+SUM(X19:X22)</f>
        <v>102.32809300000001</v>
      </c>
      <c r="Y23" s="134">
        <f t="shared" si="8"/>
        <v>0.23204910674393142</v>
      </c>
      <c r="Z23" s="143">
        <f>+X23/W23-1</f>
        <v>-5.5939869491675398E-2</v>
      </c>
      <c r="AA23" s="140">
        <f>+SUM(AA19:AA22)</f>
        <v>83.055206517241388</v>
      </c>
      <c r="AB23" s="141">
        <f>+SUM(AB19:AB22)</f>
        <v>108.39149932632145</v>
      </c>
      <c r="AC23" s="142">
        <f>+SUM(AC19:AC22)</f>
        <v>102.32809300000001</v>
      </c>
      <c r="AD23" s="134">
        <f>+AC23/AA23-1</f>
        <v>0.23204910674393142</v>
      </c>
      <c r="AE23" s="143">
        <f>+AC23/AB23-1</f>
        <v>-5.5939869491675398E-2</v>
      </c>
      <c r="AF23" s="140">
        <f>+SUM(AF19:AF22)</f>
        <v>1425.6577355274585</v>
      </c>
      <c r="AG23" s="141">
        <f>+SUM(AG19:AG22)</f>
        <v>1862.0000000000023</v>
      </c>
      <c r="AH23" s="142">
        <f>+SUM(AH19:AH22)</f>
        <v>1811.9796247313739</v>
      </c>
      <c r="AI23" s="130">
        <f>+AH23/AF23-1</f>
        <v>0.27097800515281856</v>
      </c>
      <c r="AJ23" s="131">
        <f>+AH23/AG23-1</f>
        <v>-2.6863789080896039E-2</v>
      </c>
    </row>
    <row r="24" spans="4:44" ht="36" customHeight="1" x14ac:dyDescent="0.35">
      <c r="D24" s="171" t="s">
        <v>284</v>
      </c>
      <c r="E24" s="149">
        <v>1035672463</v>
      </c>
      <c r="F24" s="128"/>
      <c r="G24" s="172">
        <f>+SUM('BD MF'!E94:E123)</f>
        <v>1028690853</v>
      </c>
      <c r="H24" s="147">
        <f t="shared" si="6"/>
        <v>-6.7411370384190539E-3</v>
      </c>
      <c r="I24" s="173"/>
      <c r="J24" s="174"/>
      <c r="K24" s="174"/>
      <c r="L24" s="175"/>
      <c r="M24" s="176"/>
      <c r="N24" s="173"/>
      <c r="O24" s="177"/>
      <c r="P24" s="174"/>
      <c r="Q24" s="176"/>
      <c r="R24" s="176"/>
      <c r="S24" s="173"/>
      <c r="U24" s="171" t="s">
        <v>284</v>
      </c>
      <c r="V24" s="149">
        <f>+E24/1000000</f>
        <v>1035.6724630000001</v>
      </c>
      <c r="W24" s="128"/>
      <c r="X24" s="138">
        <f>+G24/1000000</f>
        <v>1028.6908530000001</v>
      </c>
      <c r="Y24" s="147">
        <f t="shared" si="8"/>
        <v>-6.7411370384191649E-3</v>
      </c>
      <c r="Z24" s="153"/>
      <c r="AA24" s="178"/>
      <c r="AB24" s="174"/>
      <c r="AC24" s="175"/>
      <c r="AD24" s="176"/>
      <c r="AE24" s="179"/>
      <c r="AF24" s="180"/>
      <c r="AG24" s="174"/>
      <c r="AH24" s="176"/>
      <c r="AI24" s="176"/>
      <c r="AJ24" s="173"/>
    </row>
    <row r="25" spans="4:44" ht="36" customHeight="1" x14ac:dyDescent="0.35">
      <c r="D25" s="181" t="s">
        <v>285</v>
      </c>
      <c r="E25" s="182">
        <f>+E23/E24</f>
        <v>8.0194472175747503E-2</v>
      </c>
      <c r="F25" s="183"/>
      <c r="G25" s="184">
        <f>+G23/G24</f>
        <v>9.9474096325030709E-2</v>
      </c>
      <c r="H25" s="185">
        <f>+G25-E25</f>
        <v>1.9279624149283206E-2</v>
      </c>
      <c r="I25" s="186"/>
      <c r="J25" s="187"/>
      <c r="K25" s="187"/>
      <c r="L25" s="188"/>
      <c r="M25" s="188"/>
      <c r="N25" s="186"/>
      <c r="O25" s="189"/>
      <c r="P25" s="187"/>
      <c r="Q25" s="188"/>
      <c r="R25" s="188"/>
      <c r="S25" s="186"/>
      <c r="U25" s="181" t="s">
        <v>285</v>
      </c>
      <c r="V25" s="182">
        <f>+V23/V24</f>
        <v>8.0194472175747503E-2</v>
      </c>
      <c r="W25" s="183"/>
      <c r="X25" s="190">
        <f>+X23/X24</f>
        <v>9.9474096325030709E-2</v>
      </c>
      <c r="Y25" s="185">
        <f t="shared" si="8"/>
        <v>0.24041088651386833</v>
      </c>
      <c r="Z25" s="191"/>
      <c r="AA25" s="192"/>
      <c r="AB25" s="187"/>
      <c r="AC25" s="188"/>
      <c r="AD25" s="188"/>
      <c r="AE25" s="193"/>
      <c r="AF25" s="194"/>
      <c r="AG25" s="187"/>
      <c r="AH25" s="188"/>
      <c r="AI25" s="188"/>
      <c r="AJ25" s="186"/>
    </row>
    <row r="26" spans="4:44" ht="14.25" customHeight="1" x14ac:dyDescent="0.35">
      <c r="G26" s="113"/>
      <c r="P26" s="5"/>
    </row>
    <row r="27" spans="4:44" ht="14.25" customHeight="1" x14ac:dyDescent="0.35">
      <c r="L27" s="113"/>
      <c r="N27" s="5">
        <f>1+N23</f>
        <v>0.94406013050832438</v>
      </c>
    </row>
    <row r="28" spans="4:44" ht="14.25" customHeight="1" x14ac:dyDescent="0.35">
      <c r="N28" s="5"/>
    </row>
    <row r="30" spans="4:44" ht="15" customHeight="1" x14ac:dyDescent="0.35"/>
    <row r="31" spans="4:44" ht="38.25" customHeight="1" x14ac:dyDescent="0.35">
      <c r="D31" s="510" t="s">
        <v>294</v>
      </c>
      <c r="E31" s="510"/>
      <c r="F31" s="510"/>
      <c r="G31" s="510"/>
      <c r="H31" s="510"/>
      <c r="I31" s="510"/>
      <c r="K31" s="510" t="s">
        <v>294</v>
      </c>
      <c r="L31" s="510"/>
      <c r="M31" s="510"/>
      <c r="N31" s="510"/>
      <c r="O31" s="510"/>
      <c r="P31" s="510"/>
      <c r="R31" s="510" t="s">
        <v>295</v>
      </c>
      <c r="S31" s="510"/>
      <c r="T31" s="510"/>
      <c r="U31" s="510"/>
      <c r="V31" s="510"/>
      <c r="W31" s="510"/>
      <c r="Y31" s="510" t="s">
        <v>295</v>
      </c>
      <c r="Z31" s="510"/>
      <c r="AA31" s="510"/>
      <c r="AB31" s="510"/>
      <c r="AC31" s="510"/>
      <c r="AD31" s="510"/>
      <c r="AF31" s="510" t="s">
        <v>296</v>
      </c>
      <c r="AG31" s="510"/>
      <c r="AH31" s="510"/>
      <c r="AI31" s="510"/>
      <c r="AJ31" s="510"/>
      <c r="AK31" s="510"/>
      <c r="AM31" s="510" t="s">
        <v>296</v>
      </c>
      <c r="AN31" s="510"/>
      <c r="AO31" s="510"/>
      <c r="AP31" s="510"/>
      <c r="AQ31" s="510"/>
      <c r="AR31" s="510"/>
    </row>
    <row r="32" spans="4:44" ht="38.25" customHeight="1" x14ac:dyDescent="0.35">
      <c r="D32" s="114" t="s">
        <v>276</v>
      </c>
      <c r="E32" s="116">
        <v>2025</v>
      </c>
      <c r="F32" s="116" t="s">
        <v>297</v>
      </c>
      <c r="G32" s="195" t="s">
        <v>298</v>
      </c>
      <c r="H32" s="118" t="s">
        <v>280</v>
      </c>
      <c r="I32" s="119" t="s">
        <v>279</v>
      </c>
      <c r="K32" s="114" t="s">
        <v>276</v>
      </c>
      <c r="L32" s="116">
        <v>2025</v>
      </c>
      <c r="M32" s="116" t="s">
        <v>292</v>
      </c>
      <c r="N32" s="195" t="s">
        <v>298</v>
      </c>
      <c r="O32" s="118" t="s">
        <v>280</v>
      </c>
      <c r="P32" s="119" t="s">
        <v>279</v>
      </c>
      <c r="R32" s="114" t="s">
        <v>276</v>
      </c>
      <c r="S32" s="116">
        <v>2025</v>
      </c>
      <c r="T32" s="116" t="s">
        <v>297</v>
      </c>
      <c r="U32" s="195" t="s">
        <v>298</v>
      </c>
      <c r="V32" s="118" t="s">
        <v>280</v>
      </c>
      <c r="W32" s="119" t="s">
        <v>279</v>
      </c>
      <c r="Y32" s="114" t="s">
        <v>276</v>
      </c>
      <c r="Z32" s="116">
        <v>2025</v>
      </c>
      <c r="AA32" s="116" t="s">
        <v>292</v>
      </c>
      <c r="AB32" s="195" t="s">
        <v>298</v>
      </c>
      <c r="AC32" s="118" t="s">
        <v>280</v>
      </c>
      <c r="AD32" s="119" t="s">
        <v>279</v>
      </c>
      <c r="AF32" s="114" t="s">
        <v>276</v>
      </c>
      <c r="AG32" s="116">
        <v>2025</v>
      </c>
      <c r="AH32" s="116" t="s">
        <v>297</v>
      </c>
      <c r="AI32" s="195" t="s">
        <v>298</v>
      </c>
      <c r="AJ32" s="118" t="s">
        <v>280</v>
      </c>
      <c r="AK32" s="119" t="s">
        <v>279</v>
      </c>
      <c r="AM32" s="114" t="s">
        <v>276</v>
      </c>
      <c r="AN32" s="116">
        <v>2025</v>
      </c>
      <c r="AO32" s="116" t="s">
        <v>292</v>
      </c>
      <c r="AP32" s="195" t="s">
        <v>298</v>
      </c>
      <c r="AQ32" s="118" t="s">
        <v>280</v>
      </c>
      <c r="AR32" s="119" t="s">
        <v>279</v>
      </c>
    </row>
    <row r="33" spans="4:44" ht="38.25" customHeight="1" x14ac:dyDescent="0.35">
      <c r="D33" s="196" t="s">
        <v>265</v>
      </c>
      <c r="E33" s="197">
        <f>+SUM('BD MF'!J4:J93)+SUM('BD MF'!L4:L93)</f>
        <v>200342522.89655173</v>
      </c>
      <c r="F33" s="197">
        <f>+'Metas 2026'!D17+'Metas 2026'!E17+'Metas 2026'!F17</f>
        <v>253508068.9630667</v>
      </c>
      <c r="G33" s="197">
        <f>+'Metas 2026'!D60+'Metas 2026'!E60+'Metas 2026'!F60+'Metas 2026'!D64+'Metas 2026'!E64+'Metas 2026'!F64</f>
        <v>252895438</v>
      </c>
      <c r="H33" s="198">
        <f>+G33/E33-1</f>
        <v>0.26231533048320621</v>
      </c>
      <c r="I33" s="170">
        <f>+G33/F33-1</f>
        <v>-2.4166132682583719E-3</v>
      </c>
      <c r="K33" s="196" t="s">
        <v>265</v>
      </c>
      <c r="L33" s="199">
        <f>+E33/1000000</f>
        <v>200.34252289655174</v>
      </c>
      <c r="M33" s="199">
        <f>+F33/1000000</f>
        <v>253.50806896306671</v>
      </c>
      <c r="N33" s="199">
        <f>+G33/1000000</f>
        <v>252.89543800000001</v>
      </c>
      <c r="O33" s="198">
        <f>+N33/L33-1</f>
        <v>0.26231533048320621</v>
      </c>
      <c r="P33" s="170">
        <f>+N33/M33-1</f>
        <v>-2.4166132682583719E-3</v>
      </c>
      <c r="R33" s="196" t="s">
        <v>265</v>
      </c>
      <c r="S33" s="197">
        <f>+E33+E19</f>
        <v>265752309.41379312</v>
      </c>
      <c r="T33" s="197">
        <f>+F33+F19</f>
        <v>338959316.58825874</v>
      </c>
      <c r="U33" s="197">
        <f>+G33+G19</f>
        <v>338495829</v>
      </c>
      <c r="V33" s="198">
        <f>+U33/S33-1</f>
        <v>0.27372676364193183</v>
      </c>
      <c r="W33" s="170">
        <f>+U33/T33-1</f>
        <v>-1.3673841242185514E-3</v>
      </c>
      <c r="X33" s="113">
        <f>+U33+U36+U37</f>
        <v>351036667</v>
      </c>
      <c r="Y33" s="196" t="s">
        <v>265</v>
      </c>
      <c r="Z33" s="199">
        <f>+S33/1000000</f>
        <v>265.75230941379311</v>
      </c>
      <c r="AA33" s="199">
        <f>+T33/1000000</f>
        <v>338.95931658825873</v>
      </c>
      <c r="AB33" s="199">
        <f>+U33/1000000</f>
        <v>338.49582900000001</v>
      </c>
      <c r="AC33" s="198">
        <f>+AB33/Z33-1</f>
        <v>0.27372676364193183</v>
      </c>
      <c r="AD33" s="170">
        <f>+AB33/AA33-1</f>
        <v>-1.3673841242184404E-3</v>
      </c>
      <c r="AF33" s="196" t="s">
        <v>265</v>
      </c>
      <c r="AG33" s="197">
        <f>+SUM('BD MF'!J4:J154)</f>
        <v>341266745</v>
      </c>
      <c r="AH33" s="197">
        <f>+SUM('Metas 2026'!D17:H17)</f>
        <v>442655892.74835569</v>
      </c>
      <c r="AI33" s="197">
        <f>+SUM('BD MF'!K4:K154)</f>
        <v>429815267</v>
      </c>
      <c r="AJ33" s="198">
        <f t="shared" ref="AJ33:AJ39" si="11">+AI33/AG33-1</f>
        <v>0.25947011625759209</v>
      </c>
      <c r="AK33" s="170">
        <f>+AI33/AH33-1</f>
        <v>-2.9008143704201017E-2</v>
      </c>
      <c r="AL33" s="113"/>
      <c r="AM33" s="196" t="s">
        <v>265</v>
      </c>
      <c r="AN33" s="199">
        <f>+AG33/1000000</f>
        <v>341.26674500000001</v>
      </c>
      <c r="AO33" s="199">
        <f>+AH33/1000000</f>
        <v>442.65589274835571</v>
      </c>
      <c r="AP33" s="199">
        <f>+AI33/1000000</f>
        <v>429.81526700000001</v>
      </c>
      <c r="AQ33" s="198">
        <f t="shared" ref="AQ33:AQ39" si="12">+AP33/AN33-1</f>
        <v>0.25947011625759187</v>
      </c>
      <c r="AR33" s="170">
        <f>+AP33/AO33-1</f>
        <v>-2.9008143704201017E-2</v>
      </c>
    </row>
    <row r="34" spans="4:44" ht="38.25" customHeight="1" x14ac:dyDescent="0.35">
      <c r="D34" s="200"/>
      <c r="E34" s="201"/>
      <c r="F34" s="201"/>
      <c r="G34" s="201"/>
      <c r="H34" s="202"/>
      <c r="I34" s="203"/>
      <c r="K34" s="200"/>
      <c r="L34" s="204"/>
      <c r="M34" s="204"/>
      <c r="N34" s="204"/>
      <c r="O34" s="202"/>
      <c r="P34" s="203"/>
      <c r="R34" s="200"/>
      <c r="S34" s="201"/>
      <c r="T34" s="201"/>
      <c r="U34" s="201"/>
      <c r="V34" s="202"/>
      <c r="W34" s="203"/>
      <c r="X34" s="113"/>
      <c r="Y34" s="200"/>
      <c r="Z34" s="204"/>
      <c r="AA34" s="204"/>
      <c r="AB34" s="204"/>
      <c r="AC34" s="202"/>
      <c r="AD34" s="203"/>
      <c r="AF34" s="200" t="s">
        <v>299</v>
      </c>
      <c r="AG34" s="201">
        <f>+SUM('BD MF'!L4:L154)</f>
        <v>3169242.2413793099</v>
      </c>
      <c r="AH34" s="201"/>
      <c r="AI34" s="201">
        <f>+SUM('BD MF'!M4:M154)</f>
        <v>3725933</v>
      </c>
      <c r="AJ34" s="202">
        <f t="shared" si="11"/>
        <v>0.17565421517870727</v>
      </c>
      <c r="AK34" s="203"/>
      <c r="AL34" s="113"/>
      <c r="AM34" s="200" t="str">
        <f>+AF34</f>
        <v>Afiliaciones</v>
      </c>
      <c r="AN34" s="204">
        <f t="shared" ref="AN34:AN39" si="13">+AG34/1000000</f>
        <v>3.16924224137931</v>
      </c>
      <c r="AO34" s="204"/>
      <c r="AP34" s="204">
        <f t="shared" ref="AP34:AP39" si="14">+AI34/1000000</f>
        <v>3.7259329999999999</v>
      </c>
      <c r="AQ34" s="202">
        <f t="shared" si="12"/>
        <v>0.17565421517870727</v>
      </c>
      <c r="AR34" s="203"/>
    </row>
    <row r="35" spans="4:44" ht="38.25" customHeight="1" x14ac:dyDescent="0.35">
      <c r="D35" s="200" t="s">
        <v>267</v>
      </c>
      <c r="E35" s="201">
        <f>+SUM('BD MF'!AQ4:AQ93)</f>
        <v>44660264</v>
      </c>
      <c r="F35" s="201">
        <f>+'Metas 2026'!D21+'Metas 2026'!E21+'Metas 2026'!F21+'Metas 2026'!D22+'Metas 2026'!E22+'Metas 2026'!F22+'Metas 2026'!D23+'Metas 2026'!E23+'Metas 2026'!F23</f>
        <v>56500000</v>
      </c>
      <c r="G35" s="201">
        <f>+'Metas 2026'!D65+'Metas 2026'!E65+'Metas 2026'!F65+'Metas 2026'!F66+'Metas 2026'!E66+'Metas 2026'!D66+'Metas 2026'!D67+'Metas 2026'!D68+'Metas 2026'!E68+'Metas 2026'!E67+'Metas 2026'!F67+'Metas 2026'!F68</f>
        <v>51151379</v>
      </c>
      <c r="H35" s="202">
        <f>+G35/E35-1</f>
        <v>0.14534430427907896</v>
      </c>
      <c r="I35" s="203">
        <f>+G35/F35-1</f>
        <v>-9.4665858407079639E-2</v>
      </c>
      <c r="K35" s="200" t="s">
        <v>267</v>
      </c>
      <c r="L35" s="204">
        <f t="shared" ref="L35:N38" si="15">+E35/1000000</f>
        <v>44.660263999999998</v>
      </c>
      <c r="M35" s="204">
        <f t="shared" si="15"/>
        <v>56.5</v>
      </c>
      <c r="N35" s="204">
        <f t="shared" si="15"/>
        <v>51.151378999999999</v>
      </c>
      <c r="O35" s="202">
        <f>+N35/L35-1</f>
        <v>0.14534430427907896</v>
      </c>
      <c r="P35" s="203">
        <f>+N35/M35-1</f>
        <v>-9.4665858407079639E-2</v>
      </c>
      <c r="R35" s="200" t="s">
        <v>267</v>
      </c>
      <c r="S35" s="201">
        <f t="shared" ref="S35:U37" si="16">+E35+E20</f>
        <v>58766136</v>
      </c>
      <c r="T35" s="201">
        <f t="shared" si="16"/>
        <v>75000000</v>
      </c>
      <c r="U35" s="201">
        <f t="shared" si="16"/>
        <v>64740695</v>
      </c>
      <c r="V35" s="202">
        <f>+U35/S35-1</f>
        <v>0.10166669797721606</v>
      </c>
      <c r="W35" s="203">
        <f>+U35/T35-1</f>
        <v>-0.13679073333333336</v>
      </c>
      <c r="X35" s="113">
        <f>+S33+S36+S37</f>
        <v>279300437.41379309</v>
      </c>
      <c r="Y35" s="200" t="s">
        <v>267</v>
      </c>
      <c r="Z35" s="204">
        <f t="shared" ref="Z35:AB38" si="17">+S35/1000000</f>
        <v>58.766136000000003</v>
      </c>
      <c r="AA35" s="204">
        <f t="shared" si="17"/>
        <v>75</v>
      </c>
      <c r="AB35" s="204">
        <f t="shared" si="17"/>
        <v>64.740695000000002</v>
      </c>
      <c r="AC35" s="202">
        <f>+AB35/Z35-1</f>
        <v>0.10166669797721606</v>
      </c>
      <c r="AD35" s="203">
        <f>+AB35/AA35-1</f>
        <v>-0.13679073333333325</v>
      </c>
      <c r="AF35" s="200" t="s">
        <v>267</v>
      </c>
      <c r="AG35" s="201">
        <f>+SUM('BD MF'!AQ4:AQ154)</f>
        <v>81908520</v>
      </c>
      <c r="AH35" s="201">
        <f>+SUM('BD MF'!AW4:AW154)</f>
        <v>105299998</v>
      </c>
      <c r="AI35" s="201">
        <f>+SUM('BD MF'!AS4:AS154)</f>
        <v>85401694</v>
      </c>
      <c r="AJ35" s="202">
        <f t="shared" si="11"/>
        <v>4.2647260626855532E-2</v>
      </c>
      <c r="AK35" s="203">
        <f>+AI35/AH35-1</f>
        <v>-0.18896775287688039</v>
      </c>
      <c r="AL35" s="113"/>
      <c r="AM35" s="200" t="s">
        <v>267</v>
      </c>
      <c r="AN35" s="204">
        <f t="shared" si="13"/>
        <v>81.908519999999996</v>
      </c>
      <c r="AO35" s="204">
        <f>+AH35/1000000</f>
        <v>105.299998</v>
      </c>
      <c r="AP35" s="204">
        <f t="shared" si="14"/>
        <v>85.401694000000006</v>
      </c>
      <c r="AQ35" s="202">
        <f t="shared" si="12"/>
        <v>4.2647260626855532E-2</v>
      </c>
      <c r="AR35" s="203">
        <f>+AP35/AO35-1</f>
        <v>-0.18896775287688039</v>
      </c>
    </row>
    <row r="36" spans="4:44" ht="38.25" customHeight="1" x14ac:dyDescent="0.35">
      <c r="D36" s="200" t="s">
        <v>268</v>
      </c>
      <c r="E36" s="201">
        <f>+SUM('BD MF'!N4:N93)+SUM('BD MF'!P4:P93)</f>
        <v>4645329</v>
      </c>
      <c r="F36" s="201">
        <f>+'Metas 2026'!D20+'Metas 2026'!E20+'Metas 2026'!F20+'Metas 2026'!D18+'Metas 2026'!E18+'Metas 2026'!F18</f>
        <v>4750185.7243144382</v>
      </c>
      <c r="G36" s="201">
        <f>+'Metas 2026'!D63+'Metas 2026'!E63+'Metas 2026'!F63+'Metas 2026'!D61+'Metas 2026'!E61+'Metas 2026'!F61</f>
        <v>2616693</v>
      </c>
      <c r="H36" s="202">
        <f>+G36/E36-1</f>
        <v>-0.43670448314855637</v>
      </c>
      <c r="I36" s="203">
        <f>+G36/F36-1</f>
        <v>-0.4491388017512411</v>
      </c>
      <c r="K36" s="200" t="s">
        <v>268</v>
      </c>
      <c r="L36" s="204">
        <f t="shared" si="15"/>
        <v>4.6453290000000003</v>
      </c>
      <c r="M36" s="204">
        <f t="shared" si="15"/>
        <v>4.7501857243144379</v>
      </c>
      <c r="N36" s="204">
        <f t="shared" si="15"/>
        <v>2.6166930000000002</v>
      </c>
      <c r="O36" s="202">
        <f>+N36/L36-1</f>
        <v>-0.43670448314855637</v>
      </c>
      <c r="P36" s="203">
        <f>+N36/M36-1</f>
        <v>-0.4491388017512411</v>
      </c>
      <c r="R36" s="200" t="s">
        <v>268</v>
      </c>
      <c r="S36" s="201">
        <f t="shared" si="16"/>
        <v>6193205</v>
      </c>
      <c r="T36" s="201">
        <f t="shared" si="16"/>
        <v>6616778.5069688661</v>
      </c>
      <c r="U36" s="201">
        <f t="shared" si="16"/>
        <v>3476713</v>
      </c>
      <c r="V36" s="202">
        <f>+U36/S36-1</f>
        <v>-0.43862458936850957</v>
      </c>
      <c r="W36" s="203">
        <f>+U36/T36-1</f>
        <v>-0.47456107283351157</v>
      </c>
      <c r="X36" s="205">
        <f>+X33/X35-1</f>
        <v>0.25684252502593563</v>
      </c>
      <c r="Y36" s="200" t="s">
        <v>268</v>
      </c>
      <c r="Z36" s="204">
        <f t="shared" si="17"/>
        <v>6.1932049999999998</v>
      </c>
      <c r="AA36" s="204">
        <f t="shared" si="17"/>
        <v>6.616778506968866</v>
      </c>
      <c r="AB36" s="204">
        <f t="shared" si="17"/>
        <v>3.4767130000000002</v>
      </c>
      <c r="AC36" s="202">
        <f>+AB36/Z36-1</f>
        <v>-0.43862458936850945</v>
      </c>
      <c r="AD36" s="203">
        <f>+AB36/AA36-1</f>
        <v>-0.47456107283351157</v>
      </c>
      <c r="AF36" s="200" t="s">
        <v>268</v>
      </c>
      <c r="AG36" s="201">
        <f>+SUM('BD MF'!N4:N154)+SUM('BD MF'!P4:P154)</f>
        <v>7574048</v>
      </c>
      <c r="AH36" s="201">
        <f>+SUM('Metas 2026'!D18:H18)+SUM('Metas 2026'!D20:H20)</f>
        <v>8268101.3905991139</v>
      </c>
      <c r="AI36" s="201">
        <f>+SUM('BD MF'!O4:O154)+SUM('BD MF'!Q4:Q154)</f>
        <v>4195593</v>
      </c>
      <c r="AJ36" s="202">
        <f t="shared" si="11"/>
        <v>-0.44605671894342369</v>
      </c>
      <c r="AK36" s="203">
        <f>+AI36/AH36-1</f>
        <v>-0.49255665819840855</v>
      </c>
      <c r="AL36" s="205"/>
      <c r="AM36" s="200" t="s">
        <v>268</v>
      </c>
      <c r="AN36" s="204">
        <f t="shared" si="13"/>
        <v>7.5740480000000003</v>
      </c>
      <c r="AO36" s="204">
        <f>+AH36/1000000</f>
        <v>8.2681013905991136</v>
      </c>
      <c r="AP36" s="204">
        <f t="shared" si="14"/>
        <v>4.1955929999999997</v>
      </c>
      <c r="AQ36" s="202">
        <f t="shared" si="12"/>
        <v>-0.44605671894342369</v>
      </c>
      <c r="AR36" s="203">
        <f>+AP36/AO36-1</f>
        <v>-0.49255665819840855</v>
      </c>
    </row>
    <row r="37" spans="4:44" ht="38.25" customHeight="1" x14ac:dyDescent="0.35">
      <c r="D37" s="206" t="s">
        <v>269</v>
      </c>
      <c r="E37" s="207">
        <f>+SUM('BD MF'!R4:R93)</f>
        <v>5363251</v>
      </c>
      <c r="F37" s="207">
        <f>+'Metas 2026'!D19+'Metas 2026'!E19+'Metas 2026'!F19</f>
        <v>7504694.6577100605</v>
      </c>
      <c r="G37" s="207">
        <f>+'Metas 2026'!D62+'Metas 2026'!E62+'Metas 2026'!F62</f>
        <v>6785759</v>
      </c>
      <c r="H37" s="208">
        <f>+G37/E37-1</f>
        <v>0.26523241220670069</v>
      </c>
      <c r="I37" s="209">
        <f>+G37/F37-1</f>
        <v>-9.5798122442123712E-2</v>
      </c>
      <c r="J37" s="27"/>
      <c r="K37" s="206" t="s">
        <v>269</v>
      </c>
      <c r="L37" s="210">
        <f t="shared" si="15"/>
        <v>5.363251</v>
      </c>
      <c r="M37" s="210">
        <f t="shared" si="15"/>
        <v>7.5046946577100604</v>
      </c>
      <c r="N37" s="210">
        <f t="shared" si="15"/>
        <v>6.7857589999999997</v>
      </c>
      <c r="O37" s="208">
        <f>+N37/L37-1</f>
        <v>0.26523241220670069</v>
      </c>
      <c r="P37" s="209">
        <f>+N37/M37-1</f>
        <v>-9.5798122442123823E-2</v>
      </c>
      <c r="R37" s="206" t="s">
        <v>269</v>
      </c>
      <c r="S37" s="207">
        <f t="shared" si="16"/>
        <v>7354923</v>
      </c>
      <c r="T37" s="207">
        <f t="shared" si="16"/>
        <v>10078353.576185042</v>
      </c>
      <c r="U37" s="207">
        <f t="shared" si="16"/>
        <v>9064125</v>
      </c>
      <c r="V37" s="208">
        <f>+U37/S37-1</f>
        <v>0.23238883670162158</v>
      </c>
      <c r="W37" s="209">
        <f>+U37/T37-1</f>
        <v>-0.10063435148590583</v>
      </c>
      <c r="X37" s="27"/>
      <c r="Y37" s="206" t="s">
        <v>269</v>
      </c>
      <c r="Z37" s="210">
        <f t="shared" si="17"/>
        <v>7.3549230000000003</v>
      </c>
      <c r="AA37" s="210">
        <f t="shared" si="17"/>
        <v>10.078353576185043</v>
      </c>
      <c r="AB37" s="210">
        <f t="shared" si="17"/>
        <v>9.0641250000000007</v>
      </c>
      <c r="AC37" s="208">
        <f>+AB37/Z37-1</f>
        <v>0.23238883670162158</v>
      </c>
      <c r="AD37" s="209">
        <f>+AB37/AA37-1</f>
        <v>-0.10063435148590583</v>
      </c>
      <c r="AF37" s="206" t="s">
        <v>269</v>
      </c>
      <c r="AG37" s="207">
        <f>+SUM('BD MF'!R4:R154)</f>
        <v>10162554</v>
      </c>
      <c r="AH37" s="207">
        <f>+SUM('Metas 2026'!D19:H19)</f>
        <v>13706403.055686101</v>
      </c>
      <c r="AI37" s="207">
        <f>+SUM('BD MF'!S4:S154)</f>
        <v>11536740</v>
      </c>
      <c r="AJ37" s="208">
        <f t="shared" si="11"/>
        <v>0.13522053609752027</v>
      </c>
      <c r="AK37" s="209">
        <f>+AI37/AH37-1</f>
        <v>-0.15829558250047349</v>
      </c>
      <c r="AL37" s="27"/>
      <c r="AM37" s="206" t="s">
        <v>269</v>
      </c>
      <c r="AN37" s="210">
        <f t="shared" si="13"/>
        <v>10.162554</v>
      </c>
      <c r="AO37" s="210">
        <f>+AH37/1000000</f>
        <v>13.706403055686101</v>
      </c>
      <c r="AP37" s="210">
        <f t="shared" si="14"/>
        <v>11.53674</v>
      </c>
      <c r="AQ37" s="208">
        <f t="shared" si="12"/>
        <v>0.13522053609752027</v>
      </c>
      <c r="AR37" s="209">
        <f>+AP37/AO37-1</f>
        <v>-0.15829558250047349</v>
      </c>
    </row>
    <row r="38" spans="4:44" ht="38.25" customHeight="1" x14ac:dyDescent="0.35">
      <c r="D38" s="211" t="s">
        <v>258</v>
      </c>
      <c r="E38" s="197">
        <f>+SUM(E33:E37)</f>
        <v>255011366.89655173</v>
      </c>
      <c r="F38" s="197">
        <f>+SUM(F33:F37)</f>
        <v>322262949.34509122</v>
      </c>
      <c r="G38" s="197">
        <f>+SUM(G33:G37)</f>
        <v>313449269</v>
      </c>
      <c r="H38" s="198">
        <f>+G38/E38-1</f>
        <v>0.22915802857977807</v>
      </c>
      <c r="I38" s="170">
        <f>+G38/F38-1</f>
        <v>-2.7349344263752795E-2</v>
      </c>
      <c r="K38" s="211" t="s">
        <v>258</v>
      </c>
      <c r="L38" s="199">
        <f t="shared" si="15"/>
        <v>255.01136689655172</v>
      </c>
      <c r="M38" s="199">
        <f t="shared" si="15"/>
        <v>322.26294934509122</v>
      </c>
      <c r="N38" s="199">
        <f t="shared" si="15"/>
        <v>313.44926900000002</v>
      </c>
      <c r="O38" s="198">
        <f>+N38/L38-1</f>
        <v>0.22915802857977807</v>
      </c>
      <c r="P38" s="170">
        <f>+N38/M38-1</f>
        <v>-2.7349344263752684E-2</v>
      </c>
      <c r="R38" s="211" t="s">
        <v>258</v>
      </c>
      <c r="S38" s="197">
        <f>+SUM(S33:S37)</f>
        <v>338066573.41379309</v>
      </c>
      <c r="T38" s="197">
        <f>+SUM(T33:T37)</f>
        <v>430654448.67141265</v>
      </c>
      <c r="U38" s="197">
        <f>+SUM(U33:U37)</f>
        <v>415777362</v>
      </c>
      <c r="V38" s="198">
        <f>+U38/S38-1</f>
        <v>0.22986830020337146</v>
      </c>
      <c r="W38" s="170">
        <f>+U38/T38-1</f>
        <v>-3.4545298945149905E-2</v>
      </c>
      <c r="Y38" s="211" t="s">
        <v>258</v>
      </c>
      <c r="Z38" s="199">
        <f t="shared" si="17"/>
        <v>338.06657341379309</v>
      </c>
      <c r="AA38" s="199">
        <f t="shared" si="17"/>
        <v>430.65444867141264</v>
      </c>
      <c r="AB38" s="199">
        <f t="shared" si="17"/>
        <v>415.77736199999998</v>
      </c>
      <c r="AC38" s="198">
        <f>+AB38/Z38-1</f>
        <v>0.22986830020337146</v>
      </c>
      <c r="AD38" s="170">
        <f>+AB38/AA38-1</f>
        <v>-3.4545298945149905E-2</v>
      </c>
      <c r="AF38" s="211" t="s">
        <v>258</v>
      </c>
      <c r="AG38" s="197">
        <f>+SUM(AG33:AG37)</f>
        <v>444081109.24137932</v>
      </c>
      <c r="AH38" s="197">
        <f>+SUM(AH33:AH37)</f>
        <v>569930395.19464087</v>
      </c>
      <c r="AI38" s="197">
        <f>+SUM(AI33:AI37)</f>
        <v>534675227</v>
      </c>
      <c r="AJ38" s="198">
        <f t="shared" si="11"/>
        <v>0.20400353870801213</v>
      </c>
      <c r="AK38" s="170">
        <f>+AI38/AH38-1</f>
        <v>-6.1858726068822256E-2</v>
      </c>
      <c r="AM38" s="211" t="s">
        <v>258</v>
      </c>
      <c r="AN38" s="199">
        <f t="shared" si="13"/>
        <v>444.08110924137929</v>
      </c>
      <c r="AO38" s="199">
        <f>+AH38/1000000</f>
        <v>569.93039519464082</v>
      </c>
      <c r="AP38" s="199">
        <f t="shared" si="14"/>
        <v>534.67522699999995</v>
      </c>
      <c r="AQ38" s="198">
        <f t="shared" si="12"/>
        <v>0.20400353870801213</v>
      </c>
      <c r="AR38" s="170">
        <f>+AP38/AO38-1</f>
        <v>-6.1858726068822256E-2</v>
      </c>
    </row>
    <row r="39" spans="4:44" ht="38.25" customHeight="1" x14ac:dyDescent="0.35">
      <c r="D39" s="200" t="s">
        <v>284</v>
      </c>
      <c r="E39" s="201">
        <f>+SUM('BD MF'!B4:B93)</f>
        <v>3137782393</v>
      </c>
      <c r="F39" s="201"/>
      <c r="G39" s="201">
        <f>+SUM('BD MF'!E4:E93)</f>
        <v>3149455727</v>
      </c>
      <c r="H39" s="202">
        <f>+G39/E39-1</f>
        <v>3.7202496980166533E-3</v>
      </c>
      <c r="I39" s="212"/>
      <c r="K39" s="200" t="s">
        <v>284</v>
      </c>
      <c r="L39" s="204">
        <f>+E39/1000000</f>
        <v>3137.782393</v>
      </c>
      <c r="M39" s="204"/>
      <c r="N39" s="204">
        <f>+G39/1000000</f>
        <v>3149.455727</v>
      </c>
      <c r="O39" s="202">
        <f>+N39/L39-1</f>
        <v>3.7202496980166533E-3</v>
      </c>
      <c r="P39" s="212"/>
      <c r="R39" s="200" t="s">
        <v>284</v>
      </c>
      <c r="S39" s="201">
        <f>+E39+E24</f>
        <v>4173454856</v>
      </c>
      <c r="T39" s="201"/>
      <c r="U39" s="201">
        <f>+G39+G24</f>
        <v>4178146580</v>
      </c>
      <c r="V39" s="202">
        <f>+U39/S39-1</f>
        <v>1.1241822810794666E-3</v>
      </c>
      <c r="W39" s="212"/>
      <c r="Y39" s="200" t="s">
        <v>284</v>
      </c>
      <c r="Z39" s="204">
        <f>+S39/1000000</f>
        <v>4173.4548560000003</v>
      </c>
      <c r="AA39" s="204"/>
      <c r="AB39" s="204">
        <f>+U39/1000000</f>
        <v>4178.1465799999996</v>
      </c>
      <c r="AC39" s="202">
        <f>+AB39/Z39-1</f>
        <v>1.1241822810792446E-3</v>
      </c>
      <c r="AD39" s="212"/>
      <c r="AF39" s="200" t="s">
        <v>284</v>
      </c>
      <c r="AG39" s="201">
        <f>+SUM('BD MF'!B4:B154)</f>
        <v>5326250266</v>
      </c>
      <c r="AH39" s="201"/>
      <c r="AI39" s="201">
        <f>+SUM('BD MF'!E4:E154)</f>
        <v>5360419229</v>
      </c>
      <c r="AJ39" s="202">
        <f t="shared" si="11"/>
        <v>6.4152004306137211E-3</v>
      </c>
      <c r="AK39" s="212"/>
      <c r="AM39" s="200" t="s">
        <v>284</v>
      </c>
      <c r="AN39" s="204">
        <f t="shared" si="13"/>
        <v>5326.250266</v>
      </c>
      <c r="AO39" s="204"/>
      <c r="AP39" s="204">
        <f t="shared" si="14"/>
        <v>5360.4192290000001</v>
      </c>
      <c r="AQ39" s="202">
        <f t="shared" si="12"/>
        <v>6.4152004306137211E-3</v>
      </c>
      <c r="AR39" s="212"/>
    </row>
    <row r="40" spans="4:44" ht="38.25" customHeight="1" x14ac:dyDescent="0.35">
      <c r="D40" s="206" t="s">
        <v>285</v>
      </c>
      <c r="E40" s="208">
        <f>+E38/E39</f>
        <v>8.1271208438625384E-2</v>
      </c>
      <c r="F40" s="213"/>
      <c r="G40" s="208">
        <f>+G38/G39</f>
        <v>9.9524900862338742E-2</v>
      </c>
      <c r="H40" s="208">
        <f>+G40-E40</f>
        <v>1.8253692423713358E-2</v>
      </c>
      <c r="I40" s="214"/>
      <c r="K40" s="206" t="s">
        <v>285</v>
      </c>
      <c r="L40" s="208">
        <f>+L38/L39</f>
        <v>8.127120843862537E-2</v>
      </c>
      <c r="M40" s="213"/>
      <c r="N40" s="208">
        <f>+N38/N39</f>
        <v>9.9524900862338755E-2</v>
      </c>
      <c r="O40" s="208">
        <f>+N40-L40</f>
        <v>1.8253692423713386E-2</v>
      </c>
      <c r="P40" s="214"/>
      <c r="R40" s="206" t="s">
        <v>285</v>
      </c>
      <c r="S40" s="208">
        <f>+S38/S39</f>
        <v>8.1004008687854623E-2</v>
      </c>
      <c r="T40" s="213"/>
      <c r="U40" s="208">
        <f>+U38/U39</f>
        <v>9.9512392406299929E-2</v>
      </c>
      <c r="V40" s="208">
        <f>+U40-S40</f>
        <v>1.8508383718445306E-2</v>
      </c>
      <c r="W40" s="214"/>
      <c r="Y40" s="206" t="s">
        <v>285</v>
      </c>
      <c r="Z40" s="208">
        <f>+Z38/Z39</f>
        <v>8.1004008687854623E-2</v>
      </c>
      <c r="AA40" s="213"/>
      <c r="AB40" s="208">
        <f>+AB38/AB39</f>
        <v>9.9512392406299929E-2</v>
      </c>
      <c r="AC40" s="208">
        <f>+AB40-Z40</f>
        <v>1.8508383718445306E-2</v>
      </c>
      <c r="AD40" s="214"/>
      <c r="AF40" s="206" t="s">
        <v>285</v>
      </c>
      <c r="AG40" s="208">
        <f>+AG38/AG39</f>
        <v>8.337593749136446E-2</v>
      </c>
      <c r="AH40" s="213"/>
      <c r="AI40" s="208">
        <f>+AI38/AI39</f>
        <v>9.9745039363226262E-2</v>
      </c>
      <c r="AJ40" s="208">
        <f>+AI40-AG40</f>
        <v>1.6369101871861802E-2</v>
      </c>
      <c r="AK40" s="214"/>
      <c r="AM40" s="206" t="s">
        <v>285</v>
      </c>
      <c r="AN40" s="208">
        <f>+AN38/AN39</f>
        <v>8.337593749136446E-2</v>
      </c>
      <c r="AO40" s="213"/>
      <c r="AP40" s="208">
        <f>+AP38/AP39</f>
        <v>9.9745039363226262E-2</v>
      </c>
      <c r="AQ40" s="208">
        <f>+AP40-AN40</f>
        <v>1.6369101871861802E-2</v>
      </c>
      <c r="AR40" s="214"/>
    </row>
    <row r="45" spans="4:44" ht="15" customHeight="1" x14ac:dyDescent="0.35"/>
    <row r="46" spans="4:44" ht="36" customHeight="1" x14ac:dyDescent="0.35">
      <c r="D46" s="511" t="s">
        <v>300</v>
      </c>
      <c r="E46" s="511"/>
      <c r="F46" s="511"/>
      <c r="G46" s="511"/>
      <c r="H46" s="511"/>
      <c r="I46" s="511"/>
      <c r="J46" s="511" t="s">
        <v>301</v>
      </c>
      <c r="K46" s="511"/>
      <c r="L46" s="511"/>
      <c r="M46" s="511"/>
      <c r="N46" s="511"/>
      <c r="O46" s="511" t="s">
        <v>275</v>
      </c>
      <c r="P46" s="511"/>
      <c r="Q46" s="511"/>
      <c r="R46" s="511"/>
      <c r="S46" s="511"/>
      <c r="U46" s="511" t="s">
        <v>302</v>
      </c>
      <c r="V46" s="511"/>
      <c r="W46" s="511"/>
      <c r="X46" s="511"/>
      <c r="Y46" s="511"/>
      <c r="Z46" s="511"/>
      <c r="AA46" s="511" t="s">
        <v>302</v>
      </c>
      <c r="AB46" s="511"/>
      <c r="AC46" s="511"/>
      <c r="AD46" s="511"/>
      <c r="AE46" s="511"/>
      <c r="AF46" s="511" t="s">
        <v>275</v>
      </c>
      <c r="AG46" s="511"/>
      <c r="AH46" s="511"/>
      <c r="AI46" s="511"/>
      <c r="AJ46" s="511"/>
    </row>
    <row r="47" spans="4:44" ht="36" customHeight="1" x14ac:dyDescent="0.35">
      <c r="D47" s="215" t="s">
        <v>276</v>
      </c>
      <c r="E47" s="216">
        <v>2025</v>
      </c>
      <c r="F47" s="217" t="s">
        <v>278</v>
      </c>
      <c r="G47" s="218" t="s">
        <v>303</v>
      </c>
      <c r="H47" s="219" t="s">
        <v>280</v>
      </c>
      <c r="I47" s="220" t="s">
        <v>279</v>
      </c>
      <c r="J47" s="216">
        <v>2025</v>
      </c>
      <c r="K47" s="217" t="s">
        <v>304</v>
      </c>
      <c r="L47" s="218" t="s">
        <v>305</v>
      </c>
      <c r="M47" s="219" t="s">
        <v>280</v>
      </c>
      <c r="N47" s="220" t="s">
        <v>279</v>
      </c>
      <c r="O47" s="216">
        <v>2025</v>
      </c>
      <c r="P47" s="217" t="s">
        <v>292</v>
      </c>
      <c r="Q47" s="218" t="s">
        <v>293</v>
      </c>
      <c r="R47" s="219" t="s">
        <v>280</v>
      </c>
      <c r="S47" s="220" t="s">
        <v>279</v>
      </c>
      <c r="U47" s="215" t="s">
        <v>276</v>
      </c>
      <c r="V47" s="221">
        <v>2025</v>
      </c>
      <c r="W47" s="217" t="s">
        <v>278</v>
      </c>
      <c r="X47" s="222" t="s">
        <v>303</v>
      </c>
      <c r="Y47" s="219" t="s">
        <v>280</v>
      </c>
      <c r="Z47" s="220" t="s">
        <v>279</v>
      </c>
      <c r="AA47" s="223">
        <v>2025</v>
      </c>
      <c r="AB47" s="224" t="s">
        <v>290</v>
      </c>
      <c r="AC47" s="225" t="s">
        <v>305</v>
      </c>
      <c r="AD47" s="226" t="s">
        <v>280</v>
      </c>
      <c r="AE47" s="227" t="s">
        <v>279</v>
      </c>
      <c r="AF47" s="223">
        <v>2025</v>
      </c>
      <c r="AG47" s="224" t="s">
        <v>292</v>
      </c>
      <c r="AH47" s="225" t="s">
        <v>293</v>
      </c>
      <c r="AI47" s="226" t="s">
        <v>280</v>
      </c>
      <c r="AJ47" s="227" t="s">
        <v>279</v>
      </c>
    </row>
    <row r="48" spans="4:44" ht="36" customHeight="1" x14ac:dyDescent="0.35">
      <c r="D48" s="127" t="s">
        <v>265</v>
      </c>
      <c r="E48" s="128">
        <f>+SUM('BD MF'!J124:J154)</f>
        <v>77993633</v>
      </c>
      <c r="F48" s="128">
        <f>+SUM('BD MF'!AV124:AV154)*'Metas 2026'!H29</f>
        <v>103696576.16009723</v>
      </c>
      <c r="G48" s="129">
        <f>+SUM('BD MF'!K124:K154)</f>
        <v>94288932</v>
      </c>
      <c r="H48" s="130">
        <f t="shared" ref="H48:H54" si="18">+G48/E48-1</f>
        <v>0.20893114441790406</v>
      </c>
      <c r="I48" s="131">
        <f>+G48/F48-1</f>
        <v>-9.0722804054521156E-2</v>
      </c>
      <c r="J48" s="129">
        <f>+SUM('BD MF'!J124:J154)</f>
        <v>77993633</v>
      </c>
      <c r="K48" s="129">
        <f>+SUM('BD MF'!AV124:AV154)*'Metas 2026'!H29</f>
        <v>103696576.16009723</v>
      </c>
      <c r="L48" s="128">
        <f>+G48</f>
        <v>94288932</v>
      </c>
      <c r="M48" s="130">
        <f t="shared" ref="M48:M53" si="19">+L48/J48-1</f>
        <v>0.20893114441790406</v>
      </c>
      <c r="N48" s="131">
        <f>+L48/K48-1</f>
        <v>-9.0722804054521156E-2</v>
      </c>
      <c r="O48" s="132">
        <f>+SUM('BD MF'!J4:J368)</f>
        <v>1052330368</v>
      </c>
      <c r="P48" s="133">
        <f>+'Metas 2026'!P$17</f>
        <v>1380982825.66379</v>
      </c>
      <c r="Q48" s="133">
        <f>+'Metas 2026'!D85+'Metas 2026'!E85+'Metas 2026'!F85+'Metas 2026'!G85+'Metas 2026'!D89+'Metas 2026'!E89+'Metas 2026'!F89+'Metas 2026'!G89+SUM('Metas 2026'!I85:O85)+'Dashboard MF'!L48</f>
        <v>1371111693.915431</v>
      </c>
      <c r="R48" s="134">
        <f t="shared" ref="R48:R53" si="20">+Q48/O48-1</f>
        <v>0.3029289428578299</v>
      </c>
      <c r="S48" s="135">
        <f t="shared" ref="S48:S53" si="21">+Q48/P48-1</f>
        <v>-7.147903337330952E-3</v>
      </c>
      <c r="U48" s="127" t="s">
        <v>265</v>
      </c>
      <c r="V48" s="136">
        <f t="shared" ref="V48:X52" si="22">+E48/1000000</f>
        <v>77.993633000000003</v>
      </c>
      <c r="W48" s="137">
        <f t="shared" si="22"/>
        <v>103.69657616009722</v>
      </c>
      <c r="X48" s="138">
        <f t="shared" si="22"/>
        <v>94.288932000000003</v>
      </c>
      <c r="Y48" s="130">
        <f t="shared" ref="Y48:Y54" si="23">+X48/V48-1</f>
        <v>0.20893114441790406</v>
      </c>
      <c r="Z48" s="139">
        <f>+X48/W48-1</f>
        <v>-9.0722804054521045E-2</v>
      </c>
      <c r="AA48" s="140">
        <f>+J48/1000000</f>
        <v>77.993633000000003</v>
      </c>
      <c r="AB48" s="141">
        <f>+K48/1000000</f>
        <v>103.69657616009722</v>
      </c>
      <c r="AC48" s="142">
        <f>+L48/1000000</f>
        <v>94.288932000000003</v>
      </c>
      <c r="AD48" s="134">
        <f t="shared" ref="AD48:AD53" si="24">+AC48/AA48-1</f>
        <v>0.20893114441790406</v>
      </c>
      <c r="AE48" s="143">
        <f>+AC48/AB48-1</f>
        <v>-9.0722804054521045E-2</v>
      </c>
      <c r="AF48" s="140">
        <f>+O48/1000000</f>
        <v>1052.3303679999999</v>
      </c>
      <c r="AG48" s="141">
        <f>+P48/1000000</f>
        <v>1380.98282566379</v>
      </c>
      <c r="AH48" s="142">
        <f>+Q48/1000000</f>
        <v>1371.111693915431</v>
      </c>
      <c r="AI48" s="134">
        <f>+AH48/AF48-1</f>
        <v>0.3029289428578299</v>
      </c>
      <c r="AJ48" s="135">
        <f>+AH48/AG48-1</f>
        <v>-7.147903337330952E-3</v>
      </c>
    </row>
    <row r="49" spans="4:43" ht="36" customHeight="1" x14ac:dyDescent="0.35">
      <c r="D49" s="127" t="s">
        <v>266</v>
      </c>
      <c r="E49" s="128">
        <f>+SUM('BD MF'!L124:L154)</f>
        <v>690044.82758620672</v>
      </c>
      <c r="F49" s="128"/>
      <c r="G49" s="129">
        <f>+SUM('BD MF'!M124:M154)</f>
        <v>756439</v>
      </c>
      <c r="H49" s="130">
        <f t="shared" si="18"/>
        <v>9.6217187289181938E-2</v>
      </c>
      <c r="I49" s="131"/>
      <c r="J49" s="129">
        <f>+SUM('BD MF'!L124:L154)</f>
        <v>690044.82758620672</v>
      </c>
      <c r="K49" s="129"/>
      <c r="L49" s="128">
        <f>+G49</f>
        <v>756439</v>
      </c>
      <c r="M49" s="130">
        <f t="shared" si="19"/>
        <v>9.6217187289181938E-2</v>
      </c>
      <c r="N49" s="131"/>
      <c r="O49" s="149">
        <f>+SUM('BD MF'!L4:L368)</f>
        <v>11634548.148148138</v>
      </c>
      <c r="P49" s="129"/>
      <c r="Q49" s="129"/>
      <c r="R49" s="134">
        <f t="shared" si="20"/>
        <v>-1</v>
      </c>
      <c r="S49" s="135" t="e">
        <f t="shared" si="21"/>
        <v>#DIV/0!</v>
      </c>
      <c r="U49" s="127" t="s">
        <v>306</v>
      </c>
      <c r="V49" s="136">
        <f t="shared" si="22"/>
        <v>0.69004482758620678</v>
      </c>
      <c r="W49" s="137">
        <f t="shared" si="22"/>
        <v>0</v>
      </c>
      <c r="X49" s="138">
        <f t="shared" si="22"/>
        <v>0.75643899999999997</v>
      </c>
      <c r="Y49" s="130">
        <f t="shared" si="23"/>
        <v>9.6217187289181716E-2</v>
      </c>
      <c r="Z49" s="139"/>
      <c r="AA49" s="150">
        <f>+J49/1000000</f>
        <v>0.69004482758620678</v>
      </c>
      <c r="AB49" s="151" t="s">
        <v>307</v>
      </c>
      <c r="AC49" s="152">
        <f>+L49/1000000</f>
        <v>0.75643899999999997</v>
      </c>
      <c r="AD49" s="130">
        <f t="shared" si="24"/>
        <v>9.6217187289181716E-2</v>
      </c>
      <c r="AE49" s="139"/>
      <c r="AF49" s="150">
        <f>+O49/1000000</f>
        <v>11.634548148148138</v>
      </c>
      <c r="AG49" s="151" t="s">
        <v>307</v>
      </c>
      <c r="AH49" s="152"/>
      <c r="AI49" s="130"/>
      <c r="AJ49" s="131"/>
    </row>
    <row r="50" spans="4:43" ht="36" customHeight="1" x14ac:dyDescent="0.35">
      <c r="D50" s="144" t="s">
        <v>267</v>
      </c>
      <c r="E50" s="145">
        <f>+SUM('BD MF'!AQ124:AQ154)</f>
        <v>23142384</v>
      </c>
      <c r="F50" s="145">
        <f>+SUM('BD MF'!AW124:AW154)</f>
        <v>30300000</v>
      </c>
      <c r="G50" s="146">
        <f>+SUM('BD MF'!AS124:AS154)</f>
        <v>20660999</v>
      </c>
      <c r="H50" s="147">
        <f t="shared" si="18"/>
        <v>-0.10722253161126361</v>
      </c>
      <c r="I50" s="148">
        <f>+G50/F50-1</f>
        <v>-0.31811884488448849</v>
      </c>
      <c r="J50" s="129">
        <f>+SUM('BD MF'!AQ124:AQ154)</f>
        <v>23142384</v>
      </c>
      <c r="K50" s="129">
        <f>+SUM('BD MF'!AW124:AW154)</f>
        <v>30300000</v>
      </c>
      <c r="L50" s="128">
        <f>+G50</f>
        <v>20660999</v>
      </c>
      <c r="M50" s="130">
        <f t="shared" si="19"/>
        <v>-0.10722253161126361</v>
      </c>
      <c r="N50" s="131">
        <f>+L50/K50-1</f>
        <v>-0.31811884488448849</v>
      </c>
      <c r="O50" s="149">
        <f>+SUM('BD MF'!AQ4:AQ368)</f>
        <v>306452115.37931019</v>
      </c>
      <c r="P50" s="129">
        <f>+P$20</f>
        <v>412000000</v>
      </c>
      <c r="Q50" s="129">
        <f>+L50+SUM('Metas 2026'!D90:G93)+(SUM('Metas 2026'!I90:O93)*0.8)</f>
        <v>330761694</v>
      </c>
      <c r="R50" s="130">
        <f t="shared" si="20"/>
        <v>7.9325863326479951E-2</v>
      </c>
      <c r="S50" s="131">
        <f t="shared" si="21"/>
        <v>-0.197180354368932</v>
      </c>
      <c r="U50" s="144" t="s">
        <v>267</v>
      </c>
      <c r="V50" s="150">
        <f t="shared" si="22"/>
        <v>23.142384</v>
      </c>
      <c r="W50" s="151">
        <f t="shared" si="22"/>
        <v>30.3</v>
      </c>
      <c r="X50" s="152">
        <f t="shared" si="22"/>
        <v>20.660999</v>
      </c>
      <c r="Y50" s="147">
        <f t="shared" si="23"/>
        <v>-0.10722253161126349</v>
      </c>
      <c r="Z50" s="153">
        <f>+X50/W50-1</f>
        <v>-0.31811884488448849</v>
      </c>
      <c r="AA50" s="150">
        <f>+J50/1000000</f>
        <v>23.142384</v>
      </c>
      <c r="AB50" s="151">
        <f>+K50/1000000</f>
        <v>30.3</v>
      </c>
      <c r="AC50" s="152">
        <f>+L50/1000000</f>
        <v>20.660999</v>
      </c>
      <c r="AD50" s="130">
        <f t="shared" si="24"/>
        <v>-0.10722253161126349</v>
      </c>
      <c r="AE50" s="139">
        <f>+AC50/AB50-1</f>
        <v>-0.31811884488448849</v>
      </c>
      <c r="AF50" s="150">
        <f>+O50/1000000</f>
        <v>306.45211537931021</v>
      </c>
      <c r="AG50" s="151">
        <f t="shared" ref="AG50:AH52" si="25">+P50/1000000</f>
        <v>412</v>
      </c>
      <c r="AH50" s="152">
        <f t="shared" si="25"/>
        <v>330.76169399999998</v>
      </c>
      <c r="AI50" s="130">
        <f>+AH50/AF50-1</f>
        <v>7.9325863326479729E-2</v>
      </c>
      <c r="AJ50" s="131">
        <f>+AH50/AG50-1</f>
        <v>-0.19718035436893211</v>
      </c>
    </row>
    <row r="51" spans="4:43" ht="36" customHeight="1" x14ac:dyDescent="0.35">
      <c r="D51" s="144" t="s">
        <v>268</v>
      </c>
      <c r="E51" s="145">
        <f>+SUM('BD MF'!N124:N154)+SUM('BD MF'!P124:P154)</f>
        <v>1380843</v>
      </c>
      <c r="F51" s="145">
        <f>+SUM('BD MF'!AV124:AV154)*('Metas 2026'!H30+'Metas 2026'!H32)</f>
        <v>1651322.8836302524</v>
      </c>
      <c r="G51" s="146">
        <f>+SUM('BD MF'!O124:O154)+SUM('BD MF'!Q124:Q154)</f>
        <v>718880</v>
      </c>
      <c r="H51" s="147">
        <f t="shared" si="18"/>
        <v>-0.47939048827419195</v>
      </c>
      <c r="I51" s="148">
        <f>+G51/F51-1</f>
        <v>-0.5646641809870514</v>
      </c>
      <c r="J51" s="129">
        <f>+SUM('BD MF'!N124:N154)+SUM('BD MF'!P124:P154)</f>
        <v>1380843</v>
      </c>
      <c r="K51" s="129">
        <f>+SUM('BD MF'!AV124:AV154)*('Metas 2026'!H30+'Metas 2026'!H32)</f>
        <v>1651322.8836302524</v>
      </c>
      <c r="L51" s="128">
        <f>+G51</f>
        <v>718880</v>
      </c>
      <c r="M51" s="130">
        <f t="shared" si="19"/>
        <v>-0.47939048827419195</v>
      </c>
      <c r="N51" s="131">
        <f>+L51/K51-1</f>
        <v>-0.5646641809870514</v>
      </c>
      <c r="O51" s="149">
        <f>+SUM('BD MF'!N4:N368)+SUM('BD MF'!P4:P368)</f>
        <v>16868542</v>
      </c>
      <c r="P51" s="129">
        <f>+P$21</f>
        <v>19000000</v>
      </c>
      <c r="Q51" s="129">
        <f>+L51+SUM('Metas 2026'!D86:G86)+SUM('Metas 2026'!D88:G88)+((SUM('Metas 2026'!I86:O86)*0.5)+(SUM('Metas 2026'!I88:O88)*0.5))</f>
        <v>9561542.3047004472</v>
      </c>
      <c r="R51" s="130">
        <f t="shared" si="20"/>
        <v>-0.43317316311626419</v>
      </c>
      <c r="S51" s="131">
        <f t="shared" si="21"/>
        <v>-0.49676093133155541</v>
      </c>
      <c r="U51" s="144" t="s">
        <v>268</v>
      </c>
      <c r="V51" s="150">
        <f t="shared" si="22"/>
        <v>1.380843</v>
      </c>
      <c r="W51" s="151">
        <f t="shared" si="22"/>
        <v>1.6513228836302525</v>
      </c>
      <c r="X51" s="152">
        <f t="shared" si="22"/>
        <v>0.71887999999999996</v>
      </c>
      <c r="Y51" s="147">
        <f t="shared" si="23"/>
        <v>-0.47939048827419195</v>
      </c>
      <c r="Z51" s="153">
        <f>+X51/W51-1</f>
        <v>-0.5646641809870514</v>
      </c>
      <c r="AA51" s="150">
        <f>+J51/1000000</f>
        <v>1.380843</v>
      </c>
      <c r="AB51" s="151">
        <f>+K51/1000000</f>
        <v>1.6513228836302525</v>
      </c>
      <c r="AC51" s="152">
        <f>+L51/1000000</f>
        <v>0.71887999999999996</v>
      </c>
      <c r="AD51" s="130">
        <f t="shared" si="24"/>
        <v>-0.47939048827419195</v>
      </c>
      <c r="AE51" s="139">
        <f>+AC51/AB51-1</f>
        <v>-0.5646641809870514</v>
      </c>
      <c r="AF51" s="150">
        <f>+O51/1000000</f>
        <v>16.868542000000001</v>
      </c>
      <c r="AG51" s="151">
        <f t="shared" si="25"/>
        <v>19</v>
      </c>
      <c r="AH51" s="152">
        <f t="shared" si="25"/>
        <v>9.5615423047004473</v>
      </c>
      <c r="AI51" s="130">
        <f>+AH51/AF51-1</f>
        <v>-0.43317316311626419</v>
      </c>
      <c r="AJ51" s="131">
        <f>+AH51/AG51-1</f>
        <v>-0.49676093133155541</v>
      </c>
    </row>
    <row r="52" spans="4:43" ht="36" customHeight="1" x14ac:dyDescent="0.35">
      <c r="D52" s="154" t="s">
        <v>269</v>
      </c>
      <c r="E52" s="155">
        <f>+SUM('BD MF'!R124:R154)</f>
        <v>2807631</v>
      </c>
      <c r="F52" s="155">
        <f>+SUM('BD MF'!AV124:AV154)*'Metas 2026'!H31</f>
        <v>3628049.4795010681</v>
      </c>
      <c r="G52" s="156">
        <f>+SUM('BD MF'!S124:S154)</f>
        <v>2472615</v>
      </c>
      <c r="H52" s="157">
        <f t="shared" si="18"/>
        <v>-0.11932337262268444</v>
      </c>
      <c r="I52" s="158">
        <f>+G52/F52-1</f>
        <v>-0.31847263551101412</v>
      </c>
      <c r="J52" s="155">
        <f>+SUM('BD MF'!R124:R154)</f>
        <v>2807631</v>
      </c>
      <c r="K52" s="155">
        <f>+SUM('BD MF'!AV124:AV154)*'Metas 2026'!H31</f>
        <v>3628049.4795010681</v>
      </c>
      <c r="L52" s="128">
        <f>+G52</f>
        <v>2472615</v>
      </c>
      <c r="M52" s="130">
        <f t="shared" si="19"/>
        <v>-0.11932337262268444</v>
      </c>
      <c r="N52" s="131">
        <f>+L52/K52-1</f>
        <v>-0.31847263551101412</v>
      </c>
      <c r="O52" s="159">
        <f>+SUM('BD MF'!R4:R368)</f>
        <v>38372162</v>
      </c>
      <c r="P52" s="160">
        <f>+P$22</f>
        <v>50017174.3362123</v>
      </c>
      <c r="Q52" s="160">
        <f>+L52+SUM('Metas 2026'!D87:G87)+(SUM('Metas 2026'!I87:O87)*0.85)</f>
        <v>42400895.588447273</v>
      </c>
      <c r="R52" s="161">
        <f t="shared" si="20"/>
        <v>0.1049910502422895</v>
      </c>
      <c r="S52" s="162">
        <f t="shared" si="21"/>
        <v>-0.15227327110821731</v>
      </c>
      <c r="U52" s="154" t="s">
        <v>269</v>
      </c>
      <c r="V52" s="163">
        <f t="shared" si="22"/>
        <v>2.8076310000000002</v>
      </c>
      <c r="W52" s="164">
        <f t="shared" si="22"/>
        <v>3.628049479501068</v>
      </c>
      <c r="X52" s="165">
        <f t="shared" si="22"/>
        <v>2.4726149999999998</v>
      </c>
      <c r="Y52" s="157">
        <f t="shared" si="23"/>
        <v>-0.11932337262268455</v>
      </c>
      <c r="Z52" s="166">
        <f>+X52/W52-1</f>
        <v>-0.31847263551101412</v>
      </c>
      <c r="AA52" s="163">
        <f>+J52/1000000</f>
        <v>2.8076310000000002</v>
      </c>
      <c r="AB52" s="164">
        <f>+K52/1000000</f>
        <v>3.628049479501068</v>
      </c>
      <c r="AC52" s="165">
        <f>+L52/1000000</f>
        <v>2.4726149999999998</v>
      </c>
      <c r="AD52" s="130">
        <f t="shared" si="24"/>
        <v>-0.11932337262268455</v>
      </c>
      <c r="AE52" s="139">
        <f>+AC52/AB52-1</f>
        <v>-0.31847263551101412</v>
      </c>
      <c r="AF52" s="163">
        <f>+O52/1000000</f>
        <v>38.372162000000003</v>
      </c>
      <c r="AG52" s="164">
        <f t="shared" si="25"/>
        <v>50.0171743362123</v>
      </c>
      <c r="AH52" s="165">
        <f t="shared" si="25"/>
        <v>42.40089558844727</v>
      </c>
      <c r="AI52" s="161">
        <f>+AH52/AF52-1</f>
        <v>0.10499105024228927</v>
      </c>
      <c r="AJ52" s="162">
        <f>+AH52/AG52-1</f>
        <v>-0.15227327110821742</v>
      </c>
    </row>
    <row r="53" spans="4:43" ht="36" customHeight="1" x14ac:dyDescent="0.35">
      <c r="D53" s="167" t="s">
        <v>258</v>
      </c>
      <c r="E53" s="132">
        <f>+SUM(E48:E52)</f>
        <v>106014535.8275862</v>
      </c>
      <c r="F53" s="168">
        <f>+SUM(F48:F52)</f>
        <v>139275948.52322856</v>
      </c>
      <c r="G53" s="169">
        <f>+SUM(G48:G52)</f>
        <v>118897865</v>
      </c>
      <c r="H53" s="134">
        <f t="shared" si="18"/>
        <v>0.12152417658429626</v>
      </c>
      <c r="I53" s="170">
        <f>+G53/F53-1</f>
        <v>-0.14631444796679938</v>
      </c>
      <c r="J53" s="133">
        <f>+SUM(J48:J52)</f>
        <v>106014535.8275862</v>
      </c>
      <c r="K53" s="133">
        <f>+SUM(K48:K52)</f>
        <v>139275948.52322856</v>
      </c>
      <c r="L53" s="168">
        <f>+SUM(L48:L52)</f>
        <v>118897865</v>
      </c>
      <c r="M53" s="134">
        <f t="shared" si="19"/>
        <v>0.12152417658429626</v>
      </c>
      <c r="N53" s="135">
        <f>+L53/K53-1</f>
        <v>-0.14631444796679938</v>
      </c>
      <c r="O53" s="129">
        <f>+SUM(O48:O52)</f>
        <v>1425657735.5274584</v>
      </c>
      <c r="P53" s="129">
        <f>+SUM(P48:P52)</f>
        <v>1862000000.0000024</v>
      </c>
      <c r="Q53" s="129">
        <f>+SUM(Q48:Q52)</f>
        <v>1753835825.8085787</v>
      </c>
      <c r="R53" s="130">
        <f t="shared" si="20"/>
        <v>0.23019416379044322</v>
      </c>
      <c r="S53" s="131">
        <f t="shared" si="21"/>
        <v>-5.8090319114620592E-2</v>
      </c>
      <c r="U53" s="167" t="s">
        <v>258</v>
      </c>
      <c r="V53" s="140">
        <f>+SUM(V48:V52)</f>
        <v>106.01453582758622</v>
      </c>
      <c r="W53" s="141">
        <f>+SUM(W48:W52)</f>
        <v>139.27594852322855</v>
      </c>
      <c r="X53" s="142">
        <f>+SUM(X48:X52)</f>
        <v>118.89786500000001</v>
      </c>
      <c r="Y53" s="134">
        <f t="shared" si="23"/>
        <v>0.12152417658429626</v>
      </c>
      <c r="Z53" s="143">
        <f>+X53/W53-1</f>
        <v>-0.14631444796679927</v>
      </c>
      <c r="AA53" s="140">
        <f>+SUM(AA48:AA52)</f>
        <v>106.01453582758622</v>
      </c>
      <c r="AB53" s="141">
        <f>+SUM(AB48:AB52)</f>
        <v>139.27594852322855</v>
      </c>
      <c r="AC53" s="142">
        <f>+SUM(AC48:AC52)</f>
        <v>118.89786500000001</v>
      </c>
      <c r="AD53" s="134">
        <f t="shared" si="24"/>
        <v>0.12152417658429626</v>
      </c>
      <c r="AE53" s="143">
        <f>+AC53/AB53-1</f>
        <v>-0.14631444796679927</v>
      </c>
      <c r="AF53" s="140">
        <f>+SUM(AF48:AF52)</f>
        <v>1425.657735527458</v>
      </c>
      <c r="AG53" s="141">
        <f>+SUM(AG48:AG52)</f>
        <v>1862.0000000000023</v>
      </c>
      <c r="AH53" s="142">
        <f>+SUM(AH48:AH52)</f>
        <v>1753.8358258085786</v>
      </c>
      <c r="AI53" s="130">
        <f>+AH53/AF53-1</f>
        <v>0.23019416379044366</v>
      </c>
      <c r="AJ53" s="131">
        <f>+AH53/AG53-1</f>
        <v>-5.8090319114620592E-2</v>
      </c>
    </row>
    <row r="54" spans="4:43" ht="36" customHeight="1" x14ac:dyDescent="0.35">
      <c r="D54" s="171" t="s">
        <v>284</v>
      </c>
      <c r="E54" s="149">
        <f>+SUM('BD MF'!B124:B154)</f>
        <v>1152795410</v>
      </c>
      <c r="F54" s="128"/>
      <c r="G54" s="172">
        <f>+SUM('BD MF'!E124:E154)</f>
        <v>1182272649</v>
      </c>
      <c r="H54" s="228">
        <f t="shared" si="18"/>
        <v>2.5570225856468287E-2</v>
      </c>
      <c r="I54" s="173"/>
      <c r="J54" s="174"/>
      <c r="K54" s="174"/>
      <c r="L54" s="175"/>
      <c r="M54" s="176"/>
      <c r="N54" s="173"/>
      <c r="O54" s="177"/>
      <c r="P54" s="174"/>
      <c r="Q54" s="176"/>
      <c r="R54" s="176"/>
      <c r="S54" s="173"/>
      <c r="U54" s="171" t="s">
        <v>284</v>
      </c>
      <c r="V54" s="149">
        <f>+E54/1000000</f>
        <v>1152.7954099999999</v>
      </c>
      <c r="W54" s="128"/>
      <c r="X54" s="138">
        <f>+G54/1000000</f>
        <v>1182.272649</v>
      </c>
      <c r="Y54" s="147">
        <f t="shared" si="23"/>
        <v>2.5570225856468287E-2</v>
      </c>
      <c r="Z54" s="153"/>
      <c r="AA54" s="178"/>
      <c r="AB54" s="174"/>
      <c r="AC54" s="175"/>
      <c r="AD54" s="176"/>
      <c r="AE54" s="179"/>
      <c r="AF54" s="180"/>
      <c r="AG54" s="174"/>
      <c r="AH54" s="176"/>
      <c r="AI54" s="176"/>
      <c r="AJ54" s="173"/>
    </row>
    <row r="55" spans="4:43" ht="36" customHeight="1" x14ac:dyDescent="0.35">
      <c r="D55" s="181" t="s">
        <v>285</v>
      </c>
      <c r="E55" s="182">
        <f>+E53/E54</f>
        <v>9.1963010008502905E-2</v>
      </c>
      <c r="F55" s="183"/>
      <c r="G55" s="184">
        <f>+G53/G54</f>
        <v>0.10056721273266976</v>
      </c>
      <c r="H55" s="185">
        <f>+G55-E55</f>
        <v>8.6042027241668567E-3</v>
      </c>
      <c r="I55" s="186"/>
      <c r="J55" s="187"/>
      <c r="K55" s="187"/>
      <c r="L55" s="188"/>
      <c r="M55" s="188"/>
      <c r="N55" s="186"/>
      <c r="O55" s="189"/>
      <c r="P55" s="187"/>
      <c r="Q55" s="188"/>
      <c r="R55" s="188"/>
      <c r="S55" s="186"/>
      <c r="U55" s="181" t="s">
        <v>285</v>
      </c>
      <c r="V55" s="182">
        <f>+V53/V54</f>
        <v>9.1963010008502918E-2</v>
      </c>
      <c r="W55" s="183"/>
      <c r="X55" s="190">
        <f>+X53/X54</f>
        <v>0.10056721273266976</v>
      </c>
      <c r="Y55" s="185">
        <f>+X55-V55</f>
        <v>8.6042027241668428E-3</v>
      </c>
      <c r="Z55" s="191"/>
      <c r="AA55" s="192"/>
      <c r="AB55" s="187"/>
      <c r="AC55" s="188"/>
      <c r="AD55" s="188"/>
      <c r="AE55" s="193"/>
      <c r="AF55" s="194"/>
      <c r="AG55" s="187"/>
      <c r="AH55" s="188"/>
      <c r="AI55" s="188"/>
      <c r="AJ55" s="186"/>
    </row>
    <row r="57" spans="4:43" ht="14.25" customHeight="1" x14ac:dyDescent="0.35">
      <c r="G57" s="113"/>
    </row>
    <row r="59" spans="4:43" ht="15" customHeight="1" x14ac:dyDescent="0.35">
      <c r="E59" s="113"/>
      <c r="G59" s="113"/>
      <c r="H59" s="27"/>
    </row>
    <row r="60" spans="4:43" ht="36" customHeight="1" x14ac:dyDescent="0.35">
      <c r="D60" s="512" t="s">
        <v>308</v>
      </c>
      <c r="E60" s="512"/>
      <c r="F60" s="512"/>
      <c r="G60" s="512"/>
      <c r="H60" s="512"/>
      <c r="I60" s="512"/>
      <c r="J60" s="512" t="s">
        <v>309</v>
      </c>
      <c r="K60" s="512"/>
      <c r="L60" s="512"/>
      <c r="M60" s="512"/>
      <c r="N60" s="512"/>
      <c r="O60" s="512" t="s">
        <v>275</v>
      </c>
      <c r="P60" s="512"/>
      <c r="Q60" s="512"/>
      <c r="R60" s="512"/>
      <c r="S60" s="512"/>
      <c r="U60" s="511" t="s">
        <v>308</v>
      </c>
      <c r="V60" s="511"/>
      <c r="W60" s="511"/>
      <c r="X60" s="511"/>
      <c r="Y60" s="511"/>
      <c r="Z60" s="511"/>
      <c r="AA60" s="511" t="s">
        <v>309</v>
      </c>
      <c r="AB60" s="511"/>
      <c r="AC60" s="511"/>
      <c r="AD60" s="511"/>
      <c r="AE60" s="511"/>
      <c r="AF60" s="511" t="s">
        <v>275</v>
      </c>
      <c r="AG60" s="511"/>
      <c r="AH60" s="511"/>
      <c r="AI60" s="511"/>
      <c r="AJ60" s="511"/>
    </row>
    <row r="61" spans="4:43" ht="36" customHeight="1" x14ac:dyDescent="0.35">
      <c r="D61" s="229" t="s">
        <v>276</v>
      </c>
      <c r="E61" s="230">
        <v>2025</v>
      </c>
      <c r="F61" s="231" t="s">
        <v>278</v>
      </c>
      <c r="G61" s="117" t="s">
        <v>303</v>
      </c>
      <c r="H61" s="232" t="s">
        <v>280</v>
      </c>
      <c r="I61" s="233" t="s">
        <v>279</v>
      </c>
      <c r="J61" s="230">
        <v>2025</v>
      </c>
      <c r="K61" s="231" t="s">
        <v>310</v>
      </c>
      <c r="L61" s="117" t="s">
        <v>311</v>
      </c>
      <c r="M61" s="232" t="s">
        <v>280</v>
      </c>
      <c r="N61" s="233" t="s">
        <v>279</v>
      </c>
      <c r="O61" s="230">
        <v>2025</v>
      </c>
      <c r="P61" s="231" t="s">
        <v>292</v>
      </c>
      <c r="Q61" s="117" t="s">
        <v>293</v>
      </c>
      <c r="R61" s="232" t="s">
        <v>280</v>
      </c>
      <c r="S61" s="233" t="s">
        <v>279</v>
      </c>
      <c r="U61" s="215" t="s">
        <v>276</v>
      </c>
      <c r="V61" s="221">
        <v>2025</v>
      </c>
      <c r="W61" s="217" t="s">
        <v>278</v>
      </c>
      <c r="X61" s="222" t="s">
        <v>303</v>
      </c>
      <c r="Y61" s="219" t="s">
        <v>280</v>
      </c>
      <c r="Z61" s="220" t="s">
        <v>279</v>
      </c>
      <c r="AA61" s="223">
        <v>2025</v>
      </c>
      <c r="AB61" s="224" t="s">
        <v>310</v>
      </c>
      <c r="AC61" s="225" t="s">
        <v>311</v>
      </c>
      <c r="AD61" s="226" t="s">
        <v>280</v>
      </c>
      <c r="AE61" s="227" t="s">
        <v>279</v>
      </c>
      <c r="AF61" s="223">
        <v>2025</v>
      </c>
      <c r="AG61" s="224" t="s">
        <v>292</v>
      </c>
      <c r="AH61" s="225" t="s">
        <v>293</v>
      </c>
      <c r="AI61" s="226" t="s">
        <v>280</v>
      </c>
      <c r="AJ61" s="227" t="s">
        <v>279</v>
      </c>
    </row>
    <row r="62" spans="4:43" ht="36" customHeight="1" x14ac:dyDescent="0.35">
      <c r="D62" s="234" t="s">
        <v>265</v>
      </c>
      <c r="E62" s="235">
        <f>+SUM('BD MF'!J155:J184)</f>
        <v>81146441</v>
      </c>
      <c r="F62" s="235">
        <f>+SUM('BD MF'!H155:H184)*'Metas 2026'!I29</f>
        <v>108286652.58976746</v>
      </c>
      <c r="G62" s="236">
        <f>+SUM('BD MF'!K155:K184)</f>
        <v>97249818</v>
      </c>
      <c r="H62" s="237">
        <f t="shared" ref="H62:H68" si="26">+G62/E62-1</f>
        <v>0.1984483459970845</v>
      </c>
      <c r="I62" s="238">
        <f>+G62/F62-1</f>
        <v>-0.10192239141031845</v>
      </c>
      <c r="J62" s="236">
        <f>+SUM('BD MF'!J155:J184)</f>
        <v>81146441</v>
      </c>
      <c r="K62" s="236">
        <f>+SUM('BD MF'!H155:H184)*'Metas 2026'!I29</f>
        <v>108286652.58976746</v>
      </c>
      <c r="L62" s="235">
        <f>+G62+((SUM('BD MF'!H184:H184)*('Metas 2026'!I29))*0.9)</f>
        <v>101515911.57475771</v>
      </c>
      <c r="M62" s="237">
        <f t="shared" ref="M62:M67" si="27">+L62/J62-1</f>
        <v>0.25102112087402229</v>
      </c>
      <c r="N62" s="238">
        <f>+L62/K62-1</f>
        <v>-6.252609027134659E-2</v>
      </c>
      <c r="O62" s="239">
        <f>+SUM('BD MF'!J4:J368)</f>
        <v>1052330368</v>
      </c>
      <c r="P62" s="133">
        <f>+'Metas 2026'!P$17</f>
        <v>1380982825.66379</v>
      </c>
      <c r="Q62" s="240">
        <f>+(SUM('Metas 2026'!D109:H109)+G62+(SUM('Metas 2026'!J109:O109)*0.9))</f>
        <v>1274101337.2930975</v>
      </c>
      <c r="R62" s="237">
        <f t="shared" ref="R62:R67" si="28">+Q62/O62-1</f>
        <v>0.21074272494348234</v>
      </c>
      <c r="S62" s="238">
        <f>+Q62/P62-1</f>
        <v>-7.739523358613698E-2</v>
      </c>
      <c r="T62" s="5"/>
      <c r="U62" s="127" t="s">
        <v>265</v>
      </c>
      <c r="V62" s="136">
        <f>+E62/1000000</f>
        <v>81.146440999999996</v>
      </c>
      <c r="W62" s="137">
        <f>+F62/1000000</f>
        <v>108.28665258976746</v>
      </c>
      <c r="X62" s="138">
        <f>+G62/1000000</f>
        <v>97.249818000000005</v>
      </c>
      <c r="Y62" s="130">
        <f t="shared" ref="Y62:Y68" si="29">+X62/V62-1</f>
        <v>0.1984483459970845</v>
      </c>
      <c r="Z62" s="139">
        <f>+X62/W62-1</f>
        <v>-0.10192239141031845</v>
      </c>
      <c r="AA62" s="140">
        <f>+J62/1000000</f>
        <v>81.146440999999996</v>
      </c>
      <c r="AB62" s="141">
        <f>+K62/1000000</f>
        <v>108.28665258976746</v>
      </c>
      <c r="AC62" s="142">
        <f>+L62/1000000</f>
        <v>101.51591157475771</v>
      </c>
      <c r="AD62" s="134">
        <f t="shared" ref="AD62:AD67" si="30">+AC62/AA62-1</f>
        <v>0.25102112087402229</v>
      </c>
      <c r="AE62" s="143">
        <f>+AC62/AB62-1</f>
        <v>-6.252609027134659E-2</v>
      </c>
      <c r="AF62" s="140">
        <f>+O62/1000000</f>
        <v>1052.3303679999999</v>
      </c>
      <c r="AG62" s="141">
        <f>+P62/1000000</f>
        <v>1380.98282566379</v>
      </c>
      <c r="AH62" s="142">
        <f>+Q62/1000000</f>
        <v>1274.1013372930975</v>
      </c>
      <c r="AI62" s="134">
        <f>+AH62/AF62-1</f>
        <v>0.21074272494348234</v>
      </c>
      <c r="AJ62" s="135">
        <f>+AH62/AG62-1</f>
        <v>-7.739523358613698E-2</v>
      </c>
    </row>
    <row r="63" spans="4:43" ht="36" customHeight="1" x14ac:dyDescent="0.35">
      <c r="D63" s="234" t="s">
        <v>266</v>
      </c>
      <c r="E63" s="235">
        <f>+SUM('BD MF'!L155:L184)</f>
        <v>1043100.8620689649</v>
      </c>
      <c r="F63" s="235"/>
      <c r="G63" s="236">
        <f>+SUM('BD MF'!M155:M184)</f>
        <v>930194</v>
      </c>
      <c r="H63" s="237">
        <f t="shared" si="26"/>
        <v>-0.10824155762369603</v>
      </c>
      <c r="I63" s="238"/>
      <c r="J63" s="236">
        <f>+SUM('BD MF'!L155:L184)</f>
        <v>1043100.8620689649</v>
      </c>
      <c r="K63" s="241"/>
      <c r="L63" s="235">
        <f>+(G63/29)*30</f>
        <v>962269.6551724138</v>
      </c>
      <c r="M63" s="237">
        <f t="shared" si="27"/>
        <v>-7.7491266507271783E-2</v>
      </c>
      <c r="N63" s="238"/>
      <c r="O63" s="242">
        <f>+SUM('BD MF'!L4:L368)</f>
        <v>11634548.148148138</v>
      </c>
      <c r="P63" s="236"/>
      <c r="Q63" s="236"/>
      <c r="R63" s="237">
        <f t="shared" si="28"/>
        <v>-1</v>
      </c>
      <c r="S63" s="238"/>
      <c r="T63" s="5"/>
      <c r="U63" s="127" t="s">
        <v>306</v>
      </c>
      <c r="V63" s="136">
        <f>+E63/1000000</f>
        <v>1.0431008620689648</v>
      </c>
      <c r="W63" s="137"/>
      <c r="X63" s="138">
        <f>+G63/1000000</f>
        <v>0.93019399999999997</v>
      </c>
      <c r="Y63" s="130">
        <f t="shared" si="29"/>
        <v>-0.10824155762369603</v>
      </c>
      <c r="Z63" s="139"/>
      <c r="AA63" s="150">
        <f>+J63/1000000</f>
        <v>1.0431008620689648</v>
      </c>
      <c r="AB63" s="151"/>
      <c r="AC63" s="152">
        <f>+L63/1000000</f>
        <v>0.96226965517241381</v>
      </c>
      <c r="AD63" s="130">
        <f t="shared" si="30"/>
        <v>-7.7491266507271672E-2</v>
      </c>
      <c r="AE63" s="139"/>
      <c r="AF63" s="150">
        <f>+O63/1000000</f>
        <v>11.634548148148138</v>
      </c>
      <c r="AG63" s="151"/>
      <c r="AH63" s="152"/>
      <c r="AI63" s="130"/>
      <c r="AJ63" s="131"/>
      <c r="AQ63" s="32" t="s">
        <v>312</v>
      </c>
    </row>
    <row r="64" spans="4:43" ht="36" customHeight="1" x14ac:dyDescent="0.35">
      <c r="D64" s="243" t="s">
        <v>267</v>
      </c>
      <c r="E64" s="244">
        <f>+SUM('BD MF'!AQ155:AQ184)</f>
        <v>27977710</v>
      </c>
      <c r="F64" s="244">
        <f>+SUM('BD MF'!AW155:AW184)</f>
        <v>36649999.999999985</v>
      </c>
      <c r="G64" s="245">
        <f>+SUM('BD MF'!AS155:AS184)</f>
        <v>22558824</v>
      </c>
      <c r="H64" s="246">
        <f t="shared" si="26"/>
        <v>-0.19368583061301303</v>
      </c>
      <c r="I64" s="247">
        <f>+G64/F64-1</f>
        <v>-0.38447956343792611</v>
      </c>
      <c r="J64" s="236">
        <f>+SUM('BD MF'!AQ155:AQ184)</f>
        <v>27977710</v>
      </c>
      <c r="K64" s="236">
        <f>+SUM('BD MF'!I155:I184)</f>
        <v>36649999.999999985</v>
      </c>
      <c r="L64" s="235">
        <f>G64+800000</f>
        <v>23358824</v>
      </c>
      <c r="M64" s="237">
        <f t="shared" si="27"/>
        <v>-0.16509163902263624</v>
      </c>
      <c r="N64" s="238">
        <f>+L64/K64-1</f>
        <v>-0.36265145975443358</v>
      </c>
      <c r="O64" s="242">
        <f>+SUM('BD MF'!AQ4:AQ368)</f>
        <v>306452115.37931019</v>
      </c>
      <c r="P64" s="129">
        <f>+P$20</f>
        <v>412000000</v>
      </c>
      <c r="Q64" s="236">
        <f>+SUM('Metas 2026'!D114:H117)+G64+(SUM('Metas 2026'!J114:O117)*0.8)</f>
        <v>324000518</v>
      </c>
      <c r="R64" s="237">
        <f t="shared" si="28"/>
        <v>5.7263114659754644E-2</v>
      </c>
      <c r="S64" s="238">
        <f>+Q64/P64-1</f>
        <v>-0.21359097572815533</v>
      </c>
      <c r="T64" s="5"/>
      <c r="U64" s="144" t="s">
        <v>267</v>
      </c>
      <c r="V64" s="150">
        <f>+E64/1000000</f>
        <v>27.977709999999998</v>
      </c>
      <c r="W64" s="151">
        <f>+F64/1000000</f>
        <v>36.649999999999984</v>
      </c>
      <c r="X64" s="152">
        <f>+G64/1000000</f>
        <v>22.558824000000001</v>
      </c>
      <c r="Y64" s="147">
        <f t="shared" si="29"/>
        <v>-0.19368583061301292</v>
      </c>
      <c r="Z64" s="153">
        <f>+X64/W64-1</f>
        <v>-0.384479563437926</v>
      </c>
      <c r="AA64" s="150">
        <f>+J64/1000000</f>
        <v>27.977709999999998</v>
      </c>
      <c r="AB64" s="151">
        <f>+K64/1000000</f>
        <v>36.649999999999984</v>
      </c>
      <c r="AC64" s="152">
        <f>+L64/1000000</f>
        <v>23.358823999999998</v>
      </c>
      <c r="AD64" s="130">
        <f t="shared" si="30"/>
        <v>-0.16509163902263624</v>
      </c>
      <c r="AE64" s="139">
        <f>+AC64/AB64-1</f>
        <v>-0.36265145975443358</v>
      </c>
      <c r="AF64" s="150">
        <f>+O64/1000000</f>
        <v>306.45211537931021</v>
      </c>
      <c r="AG64" s="151">
        <f t="shared" ref="AG64:AH66" si="31">+P64/1000000</f>
        <v>412</v>
      </c>
      <c r="AH64" s="152">
        <f t="shared" si="31"/>
        <v>324.000518</v>
      </c>
      <c r="AI64" s="130">
        <f>+AH64/AF64-1</f>
        <v>5.7263114659754644E-2</v>
      </c>
      <c r="AJ64" s="131">
        <f>+AH64/AG64-1</f>
        <v>-0.21359097572815533</v>
      </c>
      <c r="AP64" s="32" t="s">
        <v>313</v>
      </c>
      <c r="AQ64" s="248">
        <f>G48+G49+G51+G52</f>
        <v>98236866</v>
      </c>
    </row>
    <row r="65" spans="2:51" ht="36" customHeight="1" x14ac:dyDescent="0.35">
      <c r="D65" s="243" t="s">
        <v>268</v>
      </c>
      <c r="E65" s="244">
        <f>+SUM('BD MF'!N155:N184)+SUM('BD MF'!P155:P184)</f>
        <v>1299990</v>
      </c>
      <c r="F65" s="244">
        <f>+SUM('BD MF'!H155:H184)*('Metas 2026'!I30+'Metas 2026'!I32)</f>
        <v>1611976.2926973088</v>
      </c>
      <c r="G65" s="245">
        <f>+SUM('BD MF'!O155:O184)+SUM('BD MF'!Q155:Q184)</f>
        <v>858338</v>
      </c>
      <c r="H65" s="246">
        <f t="shared" si="26"/>
        <v>-0.33973492103785419</v>
      </c>
      <c r="I65" s="247">
        <f>+G65/F65-1</f>
        <v>-0.46752442707221897</v>
      </c>
      <c r="J65" s="236">
        <f>+SUM('BD MF'!N155:N184)+SUM('BD MF'!P155:P184)</f>
        <v>1299990</v>
      </c>
      <c r="K65" s="236">
        <f>+SUM('BD MD'!H155:H184)*('Metas 2026'!I30+'Metas 2026'!I32)</f>
        <v>1611976.2926973088</v>
      </c>
      <c r="L65" s="235">
        <f>+G65+((SUM('BD MF'!H184:H184)*('Metas 2026'!I30+'Metas 2026'!I32))*0.6)</f>
        <v>900675.26897065784</v>
      </c>
      <c r="M65" s="237">
        <f t="shared" si="27"/>
        <v>-0.30716754054211348</v>
      </c>
      <c r="N65" s="238">
        <f>+L65/K65-1</f>
        <v>-0.44126022631290429</v>
      </c>
      <c r="O65" s="242">
        <f>+SUM('BD MF'!N4:N368)+SUM('BD MF'!P4:P368)</f>
        <v>16868542</v>
      </c>
      <c r="P65" s="129">
        <f>+P$21</f>
        <v>19000000</v>
      </c>
      <c r="Q65" s="236">
        <f>+SUM('Metas 2026'!D110:H110)+SUM('Metas 2026'!D112:H112)+G65+((SUM('Metas 2026'!J110:O110)+SUM('Metas 2026'!J112:O112))*0.5)</f>
        <v>9613892.1583517957</v>
      </c>
      <c r="R65" s="237">
        <f t="shared" si="28"/>
        <v>-0.43006976190640567</v>
      </c>
      <c r="S65" s="238">
        <f>+Q65/P65-1</f>
        <v>-0.49400567587622124</v>
      </c>
      <c r="T65" s="5"/>
      <c r="U65" s="144" t="s">
        <v>268</v>
      </c>
      <c r="V65" s="150">
        <f>+E65/1000000</f>
        <v>1.29999</v>
      </c>
      <c r="W65" s="151">
        <f>+F65/1000000</f>
        <v>1.6119762926973089</v>
      </c>
      <c r="X65" s="152">
        <f>+G65/1000000</f>
        <v>0.85833800000000005</v>
      </c>
      <c r="Y65" s="147">
        <f t="shared" si="29"/>
        <v>-0.33973492103785408</v>
      </c>
      <c r="Z65" s="153">
        <f>+X65/W65-1</f>
        <v>-0.46752442707221897</v>
      </c>
      <c r="AA65" s="150">
        <f>+J65/1000000</f>
        <v>1.29999</v>
      </c>
      <c r="AB65" s="151">
        <f>+K65/1000000</f>
        <v>1.6119762926973089</v>
      </c>
      <c r="AC65" s="152">
        <f>+L65/1000000</f>
        <v>0.90067526897065786</v>
      </c>
      <c r="AD65" s="130">
        <f t="shared" si="30"/>
        <v>-0.30716754054211348</v>
      </c>
      <c r="AE65" s="139">
        <f>+AC65/AB65-1</f>
        <v>-0.44126022631290429</v>
      </c>
      <c r="AF65" s="150">
        <f>+O65/1000000</f>
        <v>16.868542000000001</v>
      </c>
      <c r="AG65" s="151">
        <f t="shared" si="31"/>
        <v>19</v>
      </c>
      <c r="AH65" s="152">
        <f t="shared" si="31"/>
        <v>9.6138921583517956</v>
      </c>
      <c r="AI65" s="130">
        <f>+AH65/AF65-1</f>
        <v>-0.43006976190640578</v>
      </c>
      <c r="AJ65" s="131">
        <f>+AH65/AG65-1</f>
        <v>-0.49400567587622124</v>
      </c>
      <c r="AP65" s="32" t="s">
        <v>314</v>
      </c>
      <c r="AQ65" s="248">
        <f>SUM(G62,G63,G65,G66)</f>
        <v>101778902</v>
      </c>
    </row>
    <row r="66" spans="2:51" ht="36" customHeight="1" x14ac:dyDescent="0.35">
      <c r="D66" s="249" t="s">
        <v>269</v>
      </c>
      <c r="E66" s="250">
        <f>+SUM('BD MF'!R155:R184)</f>
        <v>3214064</v>
      </c>
      <c r="F66" s="250">
        <f>+SUM('BD MF'!H155:H184)*'Metas 2026'!I31</f>
        <v>4151500.5808941182</v>
      </c>
      <c r="G66" s="251">
        <f>+SUM('BD MF'!S155:S184)</f>
        <v>2740552</v>
      </c>
      <c r="H66" s="252">
        <f t="shared" si="26"/>
        <v>-0.14732500659601055</v>
      </c>
      <c r="I66" s="253">
        <f>+G66/F66-1</f>
        <v>-0.33986471961187559</v>
      </c>
      <c r="J66" s="250">
        <f>+SUM('BD MF'!R155:R184)</f>
        <v>3214064</v>
      </c>
      <c r="K66" s="250">
        <f>+SUM('BD MF'!H155:H184)*'Metas 2026'!I31</f>
        <v>4151500.5808941182</v>
      </c>
      <c r="L66" s="235">
        <f>+G66+((SUM('BD MF'!H184:H184)*'Metas 2026'!I31)*0.7)</f>
        <v>2867760.48549385</v>
      </c>
      <c r="M66" s="237">
        <f t="shared" si="27"/>
        <v>-0.10774630328025514</v>
      </c>
      <c r="N66" s="238">
        <f>+L66/K66-1</f>
        <v>-0.30922315205934192</v>
      </c>
      <c r="O66" s="254">
        <f>+SUM('BD MF'!R4:R368)</f>
        <v>38372162</v>
      </c>
      <c r="P66" s="160">
        <f>+P$22</f>
        <v>50017174.3362123</v>
      </c>
      <c r="Q66" s="255">
        <f>+SUM('Metas 2026'!D111:H111)+G66+(SUM('Metas 2026'!J111:O111)*0.7)</f>
        <v>36788781.489742473</v>
      </c>
      <c r="R66" s="256">
        <f t="shared" si="28"/>
        <v>-4.1263781547089429E-2</v>
      </c>
      <c r="S66" s="257">
        <f>+Q66/P66-1</f>
        <v>-0.26447701258670475</v>
      </c>
      <c r="T66" s="5"/>
      <c r="U66" s="154" t="s">
        <v>269</v>
      </c>
      <c r="V66" s="163">
        <f>+E66/1000000</f>
        <v>3.214064</v>
      </c>
      <c r="W66" s="164">
        <f>+F66/1000000</f>
        <v>4.1515005808941181</v>
      </c>
      <c r="X66" s="165">
        <f>+G66/1000000</f>
        <v>2.7405520000000001</v>
      </c>
      <c r="Y66" s="157">
        <f t="shared" si="29"/>
        <v>-0.14732500659601055</v>
      </c>
      <c r="Z66" s="166">
        <f>+X66/W66-1</f>
        <v>-0.33986471961187559</v>
      </c>
      <c r="AA66" s="163">
        <f>+J66/1000000</f>
        <v>3.214064</v>
      </c>
      <c r="AB66" s="164">
        <f>+K66/1000000</f>
        <v>4.1515005808941181</v>
      </c>
      <c r="AC66" s="165">
        <f>+L66/1000000</f>
        <v>2.8677604854938501</v>
      </c>
      <c r="AD66" s="130">
        <f t="shared" si="30"/>
        <v>-0.10774630328025514</v>
      </c>
      <c r="AE66" s="139">
        <f>+AC66/AB66-1</f>
        <v>-0.30922315205934192</v>
      </c>
      <c r="AF66" s="163">
        <f>+O66/1000000</f>
        <v>38.372162000000003</v>
      </c>
      <c r="AG66" s="164">
        <f t="shared" si="31"/>
        <v>50.0171743362123</v>
      </c>
      <c r="AH66" s="165">
        <f t="shared" si="31"/>
        <v>36.788781489742476</v>
      </c>
      <c r="AI66" s="161">
        <f>+AH66/AF66-1</f>
        <v>-4.1263781547089429E-2</v>
      </c>
      <c r="AJ66" s="162">
        <f>+AH66/AG66-1</f>
        <v>-0.26447701258670475</v>
      </c>
    </row>
    <row r="67" spans="2:51" ht="36" customHeight="1" x14ac:dyDescent="0.35">
      <c r="D67" s="258" t="s">
        <v>258</v>
      </c>
      <c r="E67" s="239">
        <f>+SUM(E62:E66)</f>
        <v>114681305.86206897</v>
      </c>
      <c r="F67" s="259">
        <f>+SUM(F62:F66)</f>
        <v>150700129.46335888</v>
      </c>
      <c r="G67" s="260">
        <f>+SUM(G62:G66)</f>
        <v>124337726</v>
      </c>
      <c r="H67" s="261">
        <f t="shared" si="26"/>
        <v>8.4202216440970146E-2</v>
      </c>
      <c r="I67" s="262">
        <f>+G67/F67-1</f>
        <v>-0.17493285212982257</v>
      </c>
      <c r="J67" s="240">
        <f>+SUM(J62:J66)</f>
        <v>114681305.86206897</v>
      </c>
      <c r="K67" s="240">
        <f>+SUM(K62:K66)</f>
        <v>150700129.46335888</v>
      </c>
      <c r="L67" s="259">
        <f>+SUM(L62:L66)</f>
        <v>129605440.98439462</v>
      </c>
      <c r="M67" s="261">
        <f t="shared" si="27"/>
        <v>0.13013572709291799</v>
      </c>
      <c r="N67" s="263">
        <f>+L67/K67-1</f>
        <v>-0.13997790548742162</v>
      </c>
      <c r="O67" s="236">
        <f>+SUM(O62:O66)</f>
        <v>1425657735.5274584</v>
      </c>
      <c r="P67" s="236">
        <f>+SUM(P62:P66)</f>
        <v>1862000000.0000024</v>
      </c>
      <c r="Q67" s="236">
        <f>+SUM(Q62:Q66)</f>
        <v>1644504528.9411919</v>
      </c>
      <c r="R67" s="237">
        <f t="shared" si="28"/>
        <v>0.15350584362576014</v>
      </c>
      <c r="S67" s="238">
        <f>+Q67/P67-1</f>
        <v>-0.11680744954823319</v>
      </c>
      <c r="U67" s="167" t="s">
        <v>258</v>
      </c>
      <c r="V67" s="140">
        <f>+SUM(V62:V66)</f>
        <v>114.68130586206895</v>
      </c>
      <c r="W67" s="141">
        <f>+SUM(W62:W66)</f>
        <v>150.70012946335888</v>
      </c>
      <c r="X67" s="142">
        <f>+SUM(X62:X66)</f>
        <v>124.337726</v>
      </c>
      <c r="Y67" s="134">
        <f t="shared" si="29"/>
        <v>8.4202216440970368E-2</v>
      </c>
      <c r="Z67" s="143">
        <f>+X67/W67-1</f>
        <v>-0.17493285212982257</v>
      </c>
      <c r="AA67" s="140">
        <f>+SUM(AA62:AA66)</f>
        <v>114.68130586206895</v>
      </c>
      <c r="AB67" s="141">
        <f>+SUM(AB62:AB66)</f>
        <v>150.70012946335888</v>
      </c>
      <c r="AC67" s="142">
        <f>+SUM(AC62:AC66)</f>
        <v>129.60544098439465</v>
      </c>
      <c r="AD67" s="134">
        <f t="shared" si="30"/>
        <v>0.13013572709291821</v>
      </c>
      <c r="AE67" s="143">
        <f>+AC67/AB67-1</f>
        <v>-0.13997790548742151</v>
      </c>
      <c r="AF67" s="140">
        <f>+SUM(AF62:AF66)</f>
        <v>1425.657735527458</v>
      </c>
      <c r="AG67" s="141">
        <f>+SUM(AG62:AG66)</f>
        <v>1862.0000000000023</v>
      </c>
      <c r="AH67" s="142">
        <f>+SUM(AH62:AH66)</f>
        <v>1644.5045289411917</v>
      </c>
      <c r="AI67" s="130">
        <f>+AH67/AF67-1</f>
        <v>0.15350584362576036</v>
      </c>
      <c r="AJ67" s="131">
        <f>+AH67/AG67-1</f>
        <v>-0.1168074495482333</v>
      </c>
    </row>
    <row r="68" spans="2:51" ht="36" customHeight="1" x14ac:dyDescent="0.35">
      <c r="D68" s="264" t="s">
        <v>315</v>
      </c>
      <c r="E68" s="242">
        <f>+SUM('BD MF'!B155:B184)</f>
        <v>1224352130</v>
      </c>
      <c r="F68" s="235"/>
      <c r="G68" s="265">
        <f>+SUM('BD MF'!E155:E184)</f>
        <v>1153195153</v>
      </c>
      <c r="H68" s="266">
        <f t="shared" si="26"/>
        <v>-5.8118065266076657E-2</v>
      </c>
      <c r="I68" s="267"/>
      <c r="J68" s="268"/>
      <c r="K68" s="269"/>
      <c r="L68" s="270"/>
      <c r="M68" s="271"/>
      <c r="N68" s="267"/>
      <c r="O68" s="272"/>
      <c r="P68" s="268"/>
      <c r="Q68" s="271"/>
      <c r="R68" s="271"/>
      <c r="S68" s="267"/>
      <c r="U68" s="171" t="s">
        <v>315</v>
      </c>
      <c r="V68" s="149">
        <f>+E68/1000000</f>
        <v>1224.35213</v>
      </c>
      <c r="W68" s="128"/>
      <c r="X68" s="138">
        <f>+G68/1000000</f>
        <v>1153.1951529999999</v>
      </c>
      <c r="Y68" s="147">
        <f t="shared" si="29"/>
        <v>-5.8118065266076768E-2</v>
      </c>
      <c r="Z68" s="153"/>
      <c r="AA68" s="178"/>
      <c r="AB68" s="174"/>
      <c r="AC68" s="175"/>
      <c r="AD68" s="176"/>
      <c r="AE68" s="179"/>
      <c r="AF68" s="180"/>
      <c r="AG68" s="174"/>
      <c r="AH68" s="176"/>
      <c r="AI68" s="176"/>
      <c r="AJ68" s="173"/>
    </row>
    <row r="69" spans="2:51" ht="36" customHeight="1" x14ac:dyDescent="0.35">
      <c r="D69" s="273" t="s">
        <v>285</v>
      </c>
      <c r="E69" s="274">
        <f>+E67/E68</f>
        <v>9.3666930494962233E-2</v>
      </c>
      <c r="F69" s="275"/>
      <c r="G69" s="276">
        <f>+G67/G68</f>
        <v>0.10782019476628861</v>
      </c>
      <c r="H69" s="277">
        <f>+G69-E69</f>
        <v>1.4153264271326377E-2</v>
      </c>
      <c r="I69" s="278"/>
      <c r="J69" s="279"/>
      <c r="K69" s="279"/>
      <c r="L69" s="280"/>
      <c r="M69" s="280"/>
      <c r="N69" s="278"/>
      <c r="O69" s="281"/>
      <c r="P69" s="279"/>
      <c r="Q69" s="280"/>
      <c r="R69" s="280"/>
      <c r="S69" s="278"/>
      <c r="U69" s="181" t="s">
        <v>285</v>
      </c>
      <c r="V69" s="182">
        <f>+V67/V68</f>
        <v>9.3666930494962219E-2</v>
      </c>
      <c r="W69" s="183"/>
      <c r="X69" s="190">
        <f>+X67/X68</f>
        <v>0.10782019476628862</v>
      </c>
      <c r="Y69" s="185">
        <f>+X69-V69</f>
        <v>1.4153264271326405E-2</v>
      </c>
      <c r="Z69" s="191"/>
      <c r="AA69" s="192"/>
      <c r="AB69" s="187"/>
      <c r="AC69" s="188"/>
      <c r="AD69" s="188"/>
      <c r="AE69" s="193"/>
      <c r="AF69" s="194"/>
      <c r="AG69" s="187"/>
      <c r="AH69" s="188"/>
      <c r="AI69" s="188"/>
      <c r="AJ69" s="186"/>
    </row>
    <row r="71" spans="2:51" ht="14.25" customHeight="1" x14ac:dyDescent="0.35">
      <c r="M71" s="5">
        <f>L62/K62</f>
        <v>0.93747390972865341</v>
      </c>
    </row>
    <row r="72" spans="2:51" ht="14.25" customHeight="1" x14ac:dyDescent="0.35">
      <c r="K72" s="282"/>
    </row>
    <row r="73" spans="2:51" ht="15" customHeight="1" x14ac:dyDescent="0.35"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4"/>
      <c r="P73" s="283"/>
      <c r="Q73" s="283"/>
      <c r="R73" s="283"/>
      <c r="S73" s="283"/>
      <c r="T73" s="283"/>
      <c r="U73" s="283"/>
      <c r="V73" s="283"/>
      <c r="W73" s="283"/>
      <c r="X73" s="283"/>
      <c r="Y73" s="283"/>
      <c r="Z73" s="283"/>
      <c r="AA73" s="283"/>
      <c r="AB73" s="283"/>
      <c r="AC73" s="283"/>
      <c r="AD73" s="283"/>
      <c r="AE73" s="283"/>
      <c r="AF73" s="283"/>
      <c r="AG73" s="283"/>
      <c r="AH73" s="283"/>
      <c r="AI73" s="283"/>
      <c r="AJ73" s="283"/>
      <c r="AK73" s="283"/>
      <c r="AL73" s="283"/>
      <c r="AM73" s="283"/>
      <c r="AN73" s="283"/>
      <c r="AO73" s="283"/>
    </row>
    <row r="74" spans="2:51" ht="36" customHeight="1" x14ac:dyDescent="0.35">
      <c r="D74" s="512" t="s">
        <v>316</v>
      </c>
      <c r="E74" s="512"/>
      <c r="F74" s="512"/>
      <c r="G74" s="512"/>
      <c r="H74" s="512"/>
      <c r="I74" s="512"/>
      <c r="J74" s="512" t="s">
        <v>317</v>
      </c>
      <c r="K74" s="512"/>
      <c r="L74" s="512"/>
      <c r="M74" s="512"/>
      <c r="N74" s="512"/>
      <c r="O74" s="512" t="s">
        <v>275</v>
      </c>
      <c r="P74" s="512"/>
      <c r="Q74" s="512"/>
      <c r="R74" s="512"/>
      <c r="S74" s="512"/>
      <c r="U74" s="511" t="s">
        <v>316</v>
      </c>
      <c r="V74" s="511"/>
      <c r="W74" s="511"/>
      <c r="X74" s="511"/>
      <c r="Y74" s="511"/>
      <c r="Z74" s="511"/>
      <c r="AA74" s="511" t="s">
        <v>317</v>
      </c>
      <c r="AB74" s="511"/>
      <c r="AC74" s="511"/>
      <c r="AD74" s="511"/>
      <c r="AE74" s="511"/>
      <c r="AF74" s="511" t="s">
        <v>275</v>
      </c>
      <c r="AG74" s="511"/>
      <c r="AH74" s="511"/>
      <c r="AI74" s="511"/>
      <c r="AJ74" s="511"/>
      <c r="AK74" s="511" t="s">
        <v>318</v>
      </c>
      <c r="AL74" s="511"/>
      <c r="AM74" s="511"/>
      <c r="AN74" s="511"/>
      <c r="AO74" s="511"/>
      <c r="AQ74" t="s">
        <v>319</v>
      </c>
      <c r="AT74" s="32">
        <v>2026</v>
      </c>
      <c r="AU74" s="32"/>
      <c r="AV74" s="32">
        <v>2025</v>
      </c>
    </row>
    <row r="75" spans="2:51" ht="36" customHeight="1" x14ac:dyDescent="0.35">
      <c r="D75" s="229" t="s">
        <v>276</v>
      </c>
      <c r="E75" s="230">
        <v>2025</v>
      </c>
      <c r="F75" s="231" t="s">
        <v>278</v>
      </c>
      <c r="G75" s="117" t="s">
        <v>303</v>
      </c>
      <c r="H75" s="232" t="s">
        <v>280</v>
      </c>
      <c r="I75" s="233" t="s">
        <v>279</v>
      </c>
      <c r="J75" s="230">
        <v>2025</v>
      </c>
      <c r="K75" s="231" t="s">
        <v>320</v>
      </c>
      <c r="L75" s="117" t="s">
        <v>321</v>
      </c>
      <c r="M75" s="232" t="s">
        <v>280</v>
      </c>
      <c r="N75" s="233" t="s">
        <v>279</v>
      </c>
      <c r="O75" s="230">
        <v>2025</v>
      </c>
      <c r="P75" s="231" t="s">
        <v>292</v>
      </c>
      <c r="Q75" s="117" t="s">
        <v>293</v>
      </c>
      <c r="R75" s="232" t="s">
        <v>280</v>
      </c>
      <c r="S75" s="233" t="s">
        <v>279</v>
      </c>
      <c r="U75" s="215" t="s">
        <v>276</v>
      </c>
      <c r="V75" s="221">
        <v>2025</v>
      </c>
      <c r="W75" s="217" t="s">
        <v>278</v>
      </c>
      <c r="X75" s="222" t="s">
        <v>303</v>
      </c>
      <c r="Y75" s="219" t="s">
        <v>280</v>
      </c>
      <c r="Z75" s="220" t="s">
        <v>279</v>
      </c>
      <c r="AA75" s="223">
        <v>2025</v>
      </c>
      <c r="AB75" s="224" t="s">
        <v>320</v>
      </c>
      <c r="AC75" s="225" t="s">
        <v>321</v>
      </c>
      <c r="AD75" s="226" t="s">
        <v>280</v>
      </c>
      <c r="AE75" s="227" t="s">
        <v>279</v>
      </c>
      <c r="AF75" s="223">
        <v>2025</v>
      </c>
      <c r="AG75" s="224" t="s">
        <v>292</v>
      </c>
      <c r="AH75" s="225" t="s">
        <v>293</v>
      </c>
      <c r="AI75" s="226" t="s">
        <v>280</v>
      </c>
      <c r="AJ75" s="227" t="s">
        <v>279</v>
      </c>
      <c r="AK75" s="223" t="s">
        <v>322</v>
      </c>
      <c r="AL75" s="224" t="s">
        <v>323</v>
      </c>
      <c r="AM75" s="225" t="s">
        <v>324</v>
      </c>
      <c r="AN75" s="226" t="s">
        <v>280</v>
      </c>
      <c r="AO75" s="227" t="s">
        <v>279</v>
      </c>
      <c r="AQ75" s="285" t="s">
        <v>325</v>
      </c>
      <c r="AR75" s="285" t="s">
        <v>326</v>
      </c>
      <c r="AS75" s="286" t="s">
        <v>327</v>
      </c>
      <c r="AT75" s="287" t="s">
        <v>328</v>
      </c>
      <c r="AU75" s="287" t="s">
        <v>329</v>
      </c>
      <c r="AV75" s="285" t="s">
        <v>330</v>
      </c>
      <c r="AW75" s="285" t="s">
        <v>329</v>
      </c>
      <c r="AX75" s="285" t="s">
        <v>331</v>
      </c>
      <c r="AY75" s="285" t="s">
        <v>332</v>
      </c>
    </row>
    <row r="76" spans="2:51" ht="36" customHeight="1" x14ac:dyDescent="0.35">
      <c r="B76" s="282">
        <f t="shared" ref="B76:B81" si="32">C76/5</f>
        <v>0</v>
      </c>
      <c r="C76" s="113">
        <f t="shared" ref="C76:C81" si="33">L76-G76</f>
        <v>0</v>
      </c>
      <c r="D76" s="234" t="s">
        <v>265</v>
      </c>
      <c r="E76" s="235">
        <f>SUMIF('BD MF'!$E$185:$E$214,"&lt;&gt;",'BD MF'!$J$186:$J$215)</f>
        <v>82289175</v>
      </c>
      <c r="F76" s="235">
        <f>SUMIF('BD MF'!$E$185:$E$215,"&lt;&gt;",'BD MF'!$H$185:$H$215)*'Metas 2026'!J29</f>
        <v>113564325.48241307</v>
      </c>
      <c r="G76" s="236">
        <f>+SUM('BD MF'!K185:K215)</f>
        <v>83933912</v>
      </c>
      <c r="H76" s="237">
        <f t="shared" ref="H76:H82" si="34">+G76/E76-1</f>
        <v>1.998728265291283E-2</v>
      </c>
      <c r="I76" s="238">
        <f>+G76/F76-1</f>
        <v>-0.26091304075065125</v>
      </c>
      <c r="J76" s="236">
        <f>+SUM('BD MF'!J185:J215)</f>
        <v>85926647</v>
      </c>
      <c r="K76" s="236">
        <f>+SUM('BD MF'!H185:H215)*'Metas 2026'!J$29</f>
        <v>113564325.48241307</v>
      </c>
      <c r="L76" s="235">
        <f>G76+((SUMIF('BD MF'!$E$185:$E$215,"",'BD MF'!$H$185:$H$215)*('Metas 2026'!J$29))*0.75)</f>
        <v>83933912</v>
      </c>
      <c r="M76" s="237">
        <f t="shared" ref="M76:M81" si="35">+L76/J76-1</f>
        <v>-2.3191117884536983E-2</v>
      </c>
      <c r="N76" s="238">
        <f>+L76/K76-1</f>
        <v>-0.26091304075065125</v>
      </c>
      <c r="O76" s="239">
        <f>+SUM('BD MF'!J32:J396)</f>
        <v>994161604</v>
      </c>
      <c r="P76" s="240">
        <f>+P62</f>
        <v>1380982825.66379</v>
      </c>
      <c r="Q76" s="240">
        <f>+(SUM('Metas 2026'!D132:I132)+'Dashboard MF'!L76+(SUM('Metas 2026'!K132:O132)*0.9))</f>
        <v>1255827356.3589258</v>
      </c>
      <c r="R76" s="237">
        <f t="shared" ref="R76:R81" si="36">+Q76/O76-1</f>
        <v>0.26320243238736651</v>
      </c>
      <c r="S76" s="238">
        <f>+Q76/P76-1</f>
        <v>-9.0627824603616181E-2</v>
      </c>
      <c r="T76" s="5"/>
      <c r="U76" s="127" t="s">
        <v>265</v>
      </c>
      <c r="V76" s="288">
        <f>+E76/1000000</f>
        <v>82.289175</v>
      </c>
      <c r="W76" s="289">
        <f>+F76/1000000</f>
        <v>113.56432548241307</v>
      </c>
      <c r="X76" s="290">
        <f>+G76/1000000</f>
        <v>83.933912000000007</v>
      </c>
      <c r="Y76" s="237">
        <f t="shared" ref="Y76:Y82" si="37">+X76/V76-1</f>
        <v>1.998728265291283E-2</v>
      </c>
      <c r="Z76" s="291">
        <f>+X76/W76-1</f>
        <v>-0.26091304075065125</v>
      </c>
      <c r="AA76" s="292">
        <f>+J76/1000000</f>
        <v>85.926647000000003</v>
      </c>
      <c r="AB76" s="293">
        <f>+K76/1000000</f>
        <v>113.56432548241307</v>
      </c>
      <c r="AC76" s="294">
        <f>+L76/1000000</f>
        <v>83.933912000000007</v>
      </c>
      <c r="AD76" s="261">
        <f t="shared" ref="AD76:AD81" si="38">+AC76/AA76-1</f>
        <v>-2.3191117884536983E-2</v>
      </c>
      <c r="AE76" s="295">
        <f>+AC76/AB76-1</f>
        <v>-0.26091304075065125</v>
      </c>
      <c r="AF76" s="292">
        <f>+O76/1000000</f>
        <v>994.16160400000001</v>
      </c>
      <c r="AG76" s="293">
        <f>+P76/1000000</f>
        <v>1380.98282566379</v>
      </c>
      <c r="AH76" s="294">
        <f>+Q76/1000000</f>
        <v>1255.8273563589257</v>
      </c>
      <c r="AI76" s="261">
        <f>+AH76/AF76-1</f>
        <v>0.26320243238736629</v>
      </c>
      <c r="AJ76" s="263">
        <f>+AH76/AG76-1</f>
        <v>-9.0627824603616181E-2</v>
      </c>
      <c r="AK76" s="292">
        <f>(E76+E62+E48+E33+E19)/1000000</f>
        <v>507.18155841379308</v>
      </c>
      <c r="AL76" s="293">
        <f>(F76+F62+F48+F33+F19)/1000000</f>
        <v>664.50687082053651</v>
      </c>
      <c r="AM76" s="294">
        <f>(G76+G62+G48+G33+G19)/1000000</f>
        <v>613.96849099999997</v>
      </c>
      <c r="AN76" s="261">
        <f>+AM76/AK76-1</f>
        <v>0.210549715017601</v>
      </c>
      <c r="AO76" s="263">
        <f>+AM76/AL76-1</f>
        <v>-7.6053961275270865E-2</v>
      </c>
      <c r="AS76" s="296" t="s">
        <v>333</v>
      </c>
      <c r="AT76" s="297">
        <f>SUM(AT77:AT78)</f>
        <v>12795955</v>
      </c>
      <c r="AV76" s="297">
        <f>SUM(AV77:AV78)</f>
        <v>22198898</v>
      </c>
    </row>
    <row r="77" spans="2:51" ht="36" customHeight="1" x14ac:dyDescent="0.35">
      <c r="B77" s="282">
        <f t="shared" si="32"/>
        <v>15874.579310344858</v>
      </c>
      <c r="C77" s="113">
        <f t="shared" si="33"/>
        <v>79372.89655172429</v>
      </c>
      <c r="D77" s="234" t="s">
        <v>266</v>
      </c>
      <c r="E77" s="235">
        <f>SUMIF('BD MF'!$E$185:$E$214,"&lt;&gt;",'BD MF'!$L$186:$L$215)</f>
        <v>1245909.4827586205</v>
      </c>
      <c r="F77" s="235"/>
      <c r="G77" s="236">
        <f>+SUM('BD MF'!M185:M215)</f>
        <v>1150907</v>
      </c>
      <c r="H77" s="237">
        <f t="shared" si="34"/>
        <v>-7.6251512708829794E-2</v>
      </c>
      <c r="I77" s="238"/>
      <c r="J77" s="236">
        <f>+SUM('BD MF'!L185:L215)</f>
        <v>1288231.8965517238</v>
      </c>
      <c r="K77" s="241"/>
      <c r="L77" s="235">
        <f>+(G77/29)*31</f>
        <v>1230279.8965517243</v>
      </c>
      <c r="M77" s="237">
        <f t="shared" si="35"/>
        <v>-4.4985689420610209E-2</v>
      </c>
      <c r="N77" s="238"/>
      <c r="O77" s="242">
        <f>+SUM('BD MF'!L32:L396)</f>
        <v>11245542.630906761</v>
      </c>
      <c r="P77" s="236"/>
      <c r="Q77" s="236"/>
      <c r="R77" s="237">
        <f t="shared" si="36"/>
        <v>-1</v>
      </c>
      <c r="S77" s="238"/>
      <c r="T77" s="5"/>
      <c r="U77" s="127" t="s">
        <v>306</v>
      </c>
      <c r="V77" s="288">
        <f>+E77/1000000</f>
        <v>1.2459094827586206</v>
      </c>
      <c r="W77" s="289"/>
      <c r="X77" s="290">
        <f>+G77/1000000</f>
        <v>1.1509069999999999</v>
      </c>
      <c r="Y77" s="237">
        <f t="shared" si="37"/>
        <v>-7.6251512708829905E-2</v>
      </c>
      <c r="Z77" s="291"/>
      <c r="AA77" s="298">
        <f>+J77/1000000</f>
        <v>1.2882318965517239</v>
      </c>
      <c r="AB77" s="299"/>
      <c r="AC77" s="300">
        <f>+L77/1000000</f>
        <v>1.2302798965517243</v>
      </c>
      <c r="AD77" s="237">
        <f t="shared" si="38"/>
        <v>-4.4985689420610209E-2</v>
      </c>
      <c r="AE77" s="291"/>
      <c r="AF77" s="298">
        <f>+O77/1000000</f>
        <v>11.24554263090676</v>
      </c>
      <c r="AG77" s="299"/>
      <c r="AH77" s="300"/>
      <c r="AI77" s="237"/>
      <c r="AJ77" s="238"/>
      <c r="AK77" s="298"/>
      <c r="AL77" s="299"/>
      <c r="AM77" s="300"/>
      <c r="AN77" s="237"/>
      <c r="AO77" s="238"/>
      <c r="AS77" s="301" t="s">
        <v>334</v>
      </c>
      <c r="AT77" s="297">
        <f>SUMIF('BD MF'!$E$185:$E$215,"&lt;&gt;",'BD MF'!$U$185:$U$215)</f>
        <v>9647154</v>
      </c>
      <c r="AU77" s="55">
        <f>AT77/AT76</f>
        <v>0.75392215743178215</v>
      </c>
      <c r="AV77" s="297">
        <f>SUMIF('BD MF'!$E$185:$E$215,"&lt;&gt;",'BD MF'!$T$185:$T$215)</f>
        <v>18674810</v>
      </c>
      <c r="AW77" s="55">
        <f>AV77/AV76</f>
        <v>0.84124941697556344</v>
      </c>
    </row>
    <row r="78" spans="2:51" ht="36" customHeight="1" x14ac:dyDescent="0.35">
      <c r="B78" s="282">
        <f t="shared" si="32"/>
        <v>0</v>
      </c>
      <c r="C78" s="113">
        <f t="shared" si="33"/>
        <v>0</v>
      </c>
      <c r="D78" s="243" t="s">
        <v>267</v>
      </c>
      <c r="E78" s="244">
        <f>+SUMIF('BD MF'!$E$185:$E$214,"&lt;&gt;",'BD MF'!$AQ$186:$AQ$215)</f>
        <v>22899836</v>
      </c>
      <c r="F78" s="244">
        <f>+SUMIF('BD MF'!$E$185:$E$215,"&lt;&gt;",'BD MF'!$I$185:$I$215)</f>
        <v>31500000.000000011</v>
      </c>
      <c r="G78" s="245">
        <f>+SUM('BD MF'!AS185:AS215)</f>
        <v>13986383</v>
      </c>
      <c r="H78" s="246">
        <f t="shared" si="34"/>
        <v>-0.38923654300406341</v>
      </c>
      <c r="I78" s="247">
        <f>+G78/F78-1</f>
        <v>-0.55598784126984135</v>
      </c>
      <c r="J78" s="236">
        <f>+SUM('BD MF'!AQ185:AQ215)</f>
        <v>23568515</v>
      </c>
      <c r="K78" s="236">
        <f>+SUM('BD MF'!I185:I215)</f>
        <v>31500000.000000011</v>
      </c>
      <c r="L78" s="235">
        <f>+G78+((SUMIF('BD MF'!$E$185:$E$215,"",'BD MF'!I$185:I$215)*0.7))</f>
        <v>13986383</v>
      </c>
      <c r="M78" s="237">
        <f t="shared" si="35"/>
        <v>-0.40656494480029814</v>
      </c>
      <c r="N78" s="238">
        <f>+L78/K78-1</f>
        <v>-0.55598784126984135</v>
      </c>
      <c r="O78" s="242">
        <f>+SUM('BD MF'!AQ32:AQ396)</f>
        <v>422936222.37931025</v>
      </c>
      <c r="P78" s="236">
        <f>+P64</f>
        <v>412000000</v>
      </c>
      <c r="Q78" s="236">
        <f>+SUM('Metas 2026'!D137:I140)+'Dashboard MF'!L78+(SUM('Metas 2026'!K137:O140)*0.7)</f>
        <v>288931901</v>
      </c>
      <c r="R78" s="237">
        <f t="shared" si="36"/>
        <v>-0.3168428578319511</v>
      </c>
      <c r="S78" s="238">
        <f>+Q78/P78-1</f>
        <v>-0.29870897815533981</v>
      </c>
      <c r="T78" s="5"/>
      <c r="U78" s="144" t="s">
        <v>267</v>
      </c>
      <c r="V78" s="298">
        <f>+E78/1000000</f>
        <v>22.899836000000001</v>
      </c>
      <c r="W78" s="299">
        <f>+F78/1000000</f>
        <v>31.500000000000011</v>
      </c>
      <c r="X78" s="300">
        <f>+G78/1000000</f>
        <v>13.986383</v>
      </c>
      <c r="Y78" s="246">
        <f t="shared" si="37"/>
        <v>-0.38923654300406341</v>
      </c>
      <c r="Z78" s="302">
        <f>+X78/W78-1</f>
        <v>-0.55598784126984135</v>
      </c>
      <c r="AA78" s="298">
        <f>+J78/1000000</f>
        <v>23.568515000000001</v>
      </c>
      <c r="AB78" s="299">
        <f>+K78/1000000</f>
        <v>31.500000000000011</v>
      </c>
      <c r="AC78" s="300">
        <f>+L78/1000000</f>
        <v>13.986383</v>
      </c>
      <c r="AD78" s="237">
        <f t="shared" si="38"/>
        <v>-0.40656494480029826</v>
      </c>
      <c r="AE78" s="291">
        <f>+AC78/AB78-1</f>
        <v>-0.55598784126984135</v>
      </c>
      <c r="AF78" s="298">
        <f>+O78/1000000</f>
        <v>422.93622237931027</v>
      </c>
      <c r="AG78" s="299">
        <f t="shared" ref="AG78:AH80" si="39">+P78/1000000</f>
        <v>412</v>
      </c>
      <c r="AH78" s="300">
        <f t="shared" si="39"/>
        <v>288.93190099999998</v>
      </c>
      <c r="AI78" s="237">
        <f>+AH78/AF78-1</f>
        <v>-0.31684285783195121</v>
      </c>
      <c r="AJ78" s="238">
        <f>+AH78/AG78-1</f>
        <v>-0.29870897815533981</v>
      </c>
      <c r="AK78" s="298">
        <f>(E78+E64+E50+E20+E35)/1000000</f>
        <v>132.78606600000001</v>
      </c>
      <c r="AL78" s="299">
        <f>(F78+F64+F50+F20+F35)/1000000</f>
        <v>173.45</v>
      </c>
      <c r="AM78" s="300">
        <f>(G78+G64+G50+G20+G35)/1000000</f>
        <v>121.946901</v>
      </c>
      <c r="AN78" s="237">
        <f>+AM78/AK78-1</f>
        <v>-8.1628783248989478E-2</v>
      </c>
      <c r="AO78" s="238">
        <f>+AM78/AL78-1</f>
        <v>-0.2969334044393197</v>
      </c>
      <c r="AS78" s="301" t="s">
        <v>335</v>
      </c>
      <c r="AT78" s="297">
        <f>SUMIF('BD MF'!$E$185:$E$215,"&lt;&gt;",'BD MF'!$W$185:$W$215)</f>
        <v>3148801</v>
      </c>
      <c r="AU78" s="55">
        <f>AT78/AT76</f>
        <v>0.24607784256821785</v>
      </c>
      <c r="AV78" s="297">
        <f>SUMIF('BD MF'!$E$185:$E$215,"&lt;&gt;",'BD MF'!$V$185:$V$215)</f>
        <v>3524088</v>
      </c>
      <c r="AW78" s="55">
        <f>AV78/AV76</f>
        <v>0.15875058302443662</v>
      </c>
    </row>
    <row r="79" spans="2:51" ht="36" customHeight="1" x14ac:dyDescent="0.35">
      <c r="B79" s="282">
        <f t="shared" si="32"/>
        <v>0</v>
      </c>
      <c r="C79" s="113">
        <f t="shared" si="33"/>
        <v>0</v>
      </c>
      <c r="D79" s="243" t="s">
        <v>268</v>
      </c>
      <c r="E79" s="244">
        <f>SUMIF('BD MF'!$E$185:$E$214,"&lt;&gt;",'BD MF'!$N$186:$N$215)+SUMIF('BD MF'!$E$185:$E$214,"&lt;&gt;",'BD MF'!$P$186:$P$215)</f>
        <v>1079514</v>
      </c>
      <c r="F79" s="244">
        <f>SUMIF('BD MF'!$E$185:$E$215,"&lt;&gt;",'BD MF'!$H$185:$H$215)*('Metas 2026'!J$30+'Metas 2026'!J$32)</f>
        <v>1431098.2457845761</v>
      </c>
      <c r="G79" s="245">
        <f>+SUM('BD MF'!O185:O215)+SUM('BD MF'!Q185:Q215)</f>
        <v>536906</v>
      </c>
      <c r="H79" s="246">
        <f t="shared" si="34"/>
        <v>-0.50264100326628469</v>
      </c>
      <c r="I79" s="247">
        <f>+G79/F79-1</f>
        <v>-0.62482939128637516</v>
      </c>
      <c r="J79" s="236">
        <f>+SUM('BD MF'!N185:N215)+SUM('BD MF'!P185:P215)</f>
        <v>1176257</v>
      </c>
      <c r="K79" s="236">
        <f>+SUM('BD MD'!H185:H215)*('Metas 2026'!J$30+'Metas 2026'!J$32)</f>
        <v>1431098.2457845761</v>
      </c>
      <c r="L79" s="235">
        <f>+G79+((SUMIF('BD MF'!$E$185:$E$215,"",'BD MF'!H$185:H$215)*('Metas 2026'!J$34))*0.5)</f>
        <v>536906</v>
      </c>
      <c r="M79" s="237">
        <f t="shared" si="35"/>
        <v>-0.54354703096347134</v>
      </c>
      <c r="N79" s="238">
        <f>+L79/K79-1</f>
        <v>-0.62482939128637516</v>
      </c>
      <c r="O79" s="242">
        <f>+SUM('BD MF'!N32:N396)+SUM('BD MF'!P32:P396)</f>
        <v>15500682</v>
      </c>
      <c r="P79" s="236">
        <f>+P65</f>
        <v>19000000</v>
      </c>
      <c r="Q79" s="236">
        <f>+SUM('Metas 2026'!D133:I133)+SUM('Metas 2026'!D135:I135)+'Dashboard MF'!L79+((SUM('Metas 2026'!K133:O133)+SUM('Metas 2026'!K135:O135))*0.5)</f>
        <v>9435249.0354595073</v>
      </c>
      <c r="R79" s="237">
        <f t="shared" si="36"/>
        <v>-0.39130103853111065</v>
      </c>
      <c r="S79" s="238">
        <f>+Q79/P79-1</f>
        <v>-0.50340794550213119</v>
      </c>
      <c r="T79" s="5"/>
      <c r="U79" s="144" t="s">
        <v>268</v>
      </c>
      <c r="V79" s="298">
        <f>+E79/1000000</f>
        <v>1.0795140000000001</v>
      </c>
      <c r="W79" s="299">
        <f>+F79/1000000</f>
        <v>1.431098245784576</v>
      </c>
      <c r="X79" s="300">
        <f>+G79/1000000</f>
        <v>0.53690599999999999</v>
      </c>
      <c r="Y79" s="246">
        <f t="shared" si="37"/>
        <v>-0.50264100326628469</v>
      </c>
      <c r="Z79" s="302">
        <f>+X79/W79-1</f>
        <v>-0.62482939128637516</v>
      </c>
      <c r="AA79" s="298">
        <f>+J79/1000000</f>
        <v>1.1762570000000001</v>
      </c>
      <c r="AB79" s="299">
        <f>+K79/1000000</f>
        <v>1.431098245784576</v>
      </c>
      <c r="AC79" s="300">
        <f>+L79/1000000</f>
        <v>0.53690599999999999</v>
      </c>
      <c r="AD79" s="237">
        <f t="shared" si="38"/>
        <v>-0.54354703096347146</v>
      </c>
      <c r="AE79" s="291">
        <f>+AC79/AB79-1</f>
        <v>-0.62482939128637516</v>
      </c>
      <c r="AF79" s="298">
        <f>+O79/1000000</f>
        <v>15.500681999999999</v>
      </c>
      <c r="AG79" s="299">
        <f t="shared" si="39"/>
        <v>19</v>
      </c>
      <c r="AH79" s="300">
        <f t="shared" si="39"/>
        <v>9.435249035459508</v>
      </c>
      <c r="AI79" s="237">
        <f>+AH79/AF79-1</f>
        <v>-0.39130103853111053</v>
      </c>
      <c r="AJ79" s="238">
        <f>+AH79/AG79-1</f>
        <v>-0.50340794550213119</v>
      </c>
      <c r="AK79" s="298">
        <f t="shared" ref="AK79:AM80" si="40">(E79+E65+E51+E36+E21)/1000000</f>
        <v>9.9535520000000002</v>
      </c>
      <c r="AL79" s="299">
        <f t="shared" si="40"/>
        <v>11.311175929081005</v>
      </c>
      <c r="AM79" s="300">
        <f t="shared" si="40"/>
        <v>5.5908369999999996</v>
      </c>
      <c r="AN79" s="237">
        <f>+AM79/AK79-1</f>
        <v>-0.43830734997918341</v>
      </c>
      <c r="AO79" s="238">
        <f>+AM79/AL79-1</f>
        <v>-0.50572451219453041</v>
      </c>
      <c r="AS79" s="296" t="s">
        <v>336</v>
      </c>
      <c r="AT79" s="297">
        <f>SUM(AT80:AT81)</f>
        <v>875135</v>
      </c>
      <c r="AU79" s="55"/>
      <c r="AV79" s="297">
        <f>SUM(AV80:AV81)</f>
        <v>1369617</v>
      </c>
      <c r="AW79" s="55"/>
    </row>
    <row r="80" spans="2:51" ht="36" customHeight="1" x14ac:dyDescent="0.35">
      <c r="B80" s="282">
        <f t="shared" si="32"/>
        <v>0</v>
      </c>
      <c r="C80" s="113">
        <f t="shared" si="33"/>
        <v>0</v>
      </c>
      <c r="D80" s="249" t="s">
        <v>269</v>
      </c>
      <c r="E80" s="244">
        <f>SUMIF('BD MF'!$E$185:$E$214,"&lt;&gt;",'BD MF'!$R$186:$R$215)</f>
        <v>3193617</v>
      </c>
      <c r="F80" s="250">
        <f>SUMIF('BD MF'!$E$185:$E$215,"&lt;&gt;",'BD MF'!$H$185:$H$215)*'Metas 2026'!J$31</f>
        <v>4222672.9355347129</v>
      </c>
      <c r="G80" s="251">
        <f>+SUM('BD MF'!S185:S215)</f>
        <v>1878801</v>
      </c>
      <c r="H80" s="252">
        <f t="shared" si="34"/>
        <v>-0.41170121526782955</v>
      </c>
      <c r="I80" s="253">
        <f>+G80/F80-1</f>
        <v>-0.55506831130834677</v>
      </c>
      <c r="J80" s="250">
        <f>+SUM('BD MF'!R185:R215)</f>
        <v>3267791</v>
      </c>
      <c r="K80" s="250">
        <f>+SUM('BD MF'!H185:H215)*'Metas 2026'!J$31</f>
        <v>4222672.9355347129</v>
      </c>
      <c r="L80" s="235">
        <f>+G80+((SUMIF('BD MF'!$E$185:$E$215,"",'BD MF'!H$185:H$215)*('Metas 2026'!J$31))*0.7)</f>
        <v>1878801</v>
      </c>
      <c r="M80" s="237">
        <f t="shared" si="35"/>
        <v>-0.42505472351199935</v>
      </c>
      <c r="N80" s="238">
        <f>+L80/K80-1</f>
        <v>-0.55506831130834677</v>
      </c>
      <c r="O80" s="254">
        <f>+SUM('BD MF'!R32:R396)</f>
        <v>36828907</v>
      </c>
      <c r="P80" s="255">
        <f>+P66</f>
        <v>50017174.3362123</v>
      </c>
      <c r="Q80" s="255">
        <f>+SUM('Metas 2026'!D134:I134)+'Dashboard MF'!L80+(SUM('Metas 2026'!K134:O134)*0.7)</f>
        <v>35711711.434868172</v>
      </c>
      <c r="R80" s="256">
        <f t="shared" si="36"/>
        <v>-3.033474670132974E-2</v>
      </c>
      <c r="S80" s="257">
        <f>+Q80/P80-1</f>
        <v>-0.28601101703954135</v>
      </c>
      <c r="T80" s="5"/>
      <c r="U80" s="154" t="s">
        <v>269</v>
      </c>
      <c r="V80" s="303">
        <f>+E80/1000000</f>
        <v>3.1936170000000002</v>
      </c>
      <c r="W80" s="304">
        <f>+F80/1000000</f>
        <v>4.222672935534713</v>
      </c>
      <c r="X80" s="305">
        <f>+G80/1000000</f>
        <v>1.8788009999999999</v>
      </c>
      <c r="Y80" s="252">
        <f t="shared" si="37"/>
        <v>-0.41170121526782955</v>
      </c>
      <c r="Z80" s="306">
        <f>+X80/W80-1</f>
        <v>-0.55506831130834688</v>
      </c>
      <c r="AA80" s="303">
        <f>+J80/1000000</f>
        <v>3.2677909999999999</v>
      </c>
      <c r="AB80" s="304">
        <f>+K80/1000000</f>
        <v>4.222672935534713</v>
      </c>
      <c r="AC80" s="305">
        <f>+L80/1000000</f>
        <v>1.8788009999999999</v>
      </c>
      <c r="AD80" s="237">
        <f t="shared" si="38"/>
        <v>-0.42505472351199935</v>
      </c>
      <c r="AE80" s="291">
        <f>+AC80/AB80-1</f>
        <v>-0.55506831130834688</v>
      </c>
      <c r="AF80" s="303">
        <f>+O80/1000000</f>
        <v>36.828907000000001</v>
      </c>
      <c r="AG80" s="304">
        <f t="shared" si="39"/>
        <v>50.0171743362123</v>
      </c>
      <c r="AH80" s="305">
        <f t="shared" si="39"/>
        <v>35.711711434868171</v>
      </c>
      <c r="AI80" s="256">
        <f>+AH80/AF80-1</f>
        <v>-3.033474670132974E-2</v>
      </c>
      <c r="AJ80" s="257">
        <f>+AH80/AG80-1</f>
        <v>-0.28601101703954135</v>
      </c>
      <c r="AK80" s="303">
        <f t="shared" si="40"/>
        <v>16.570235</v>
      </c>
      <c r="AL80" s="304">
        <f t="shared" si="40"/>
        <v>22.080576572114936</v>
      </c>
      <c r="AM80" s="305">
        <f t="shared" si="40"/>
        <v>16.156092999999998</v>
      </c>
      <c r="AN80" s="256">
        <f>+AM80/AK80-1</f>
        <v>-2.4993127737778065E-2</v>
      </c>
      <c r="AO80" s="257">
        <f>+AM80/AL80-1</f>
        <v>-0.26831199596467215</v>
      </c>
      <c r="AS80" s="301" t="s">
        <v>50</v>
      </c>
      <c r="AT80" s="297">
        <f>SUMIF('BD MF'!$E$185:$E$215,"&lt;&gt;",'BD MF'!$Y$185:$Y$215)</f>
        <v>638312</v>
      </c>
      <c r="AU80" s="55">
        <f>AT80/AT79</f>
        <v>0.72938689459340555</v>
      </c>
      <c r="AV80" s="297">
        <f>SUMIF('BD MF'!$E$185:$E$215,"&lt;&gt;",'BD MF'!$X$185:$X$215)</f>
        <v>1034594</v>
      </c>
      <c r="AW80" s="55">
        <f>AV80/AV79</f>
        <v>0.75538928036086006</v>
      </c>
    </row>
    <row r="81" spans="2:49" ht="36" customHeight="1" x14ac:dyDescent="0.35">
      <c r="B81" s="282">
        <f t="shared" si="32"/>
        <v>15874.579310345649</v>
      </c>
      <c r="C81" s="113">
        <f t="shared" si="33"/>
        <v>79372.896551728249</v>
      </c>
      <c r="D81" s="258" t="s">
        <v>258</v>
      </c>
      <c r="E81" s="239">
        <f>+SUM(E76:E80)</f>
        <v>110708051.48275863</v>
      </c>
      <c r="F81" s="259">
        <f>+SUM(F76:F80)</f>
        <v>150718096.66373238</v>
      </c>
      <c r="G81" s="260">
        <f>+SUM(G76:G80)</f>
        <v>101486909</v>
      </c>
      <c r="H81" s="261">
        <f t="shared" si="34"/>
        <v>-8.3292428682973485E-2</v>
      </c>
      <c r="I81" s="262">
        <f>+G81/F81-1</f>
        <v>-0.32664417049780181</v>
      </c>
      <c r="J81" s="240">
        <f>+SUM(J76:J80)</f>
        <v>115227441.89655173</v>
      </c>
      <c r="K81" s="240">
        <f>+SUM(K76:K80)</f>
        <v>150718096.66373238</v>
      </c>
      <c r="L81" s="259">
        <f>+SUM(L76:L80)</f>
        <v>101566281.89655173</v>
      </c>
      <c r="M81" s="261">
        <f t="shared" si="35"/>
        <v>-0.11855821647298781</v>
      </c>
      <c r="N81" s="263">
        <f>+L81/K81-1</f>
        <v>-0.32611753900292029</v>
      </c>
      <c r="O81" s="236">
        <f>+SUM(O76:O80)</f>
        <v>1480672958.0102172</v>
      </c>
      <c r="P81" s="236">
        <f>+SUM(P76:P80)</f>
        <v>1862000000.0000024</v>
      </c>
      <c r="Q81" s="236">
        <f>+SUM(Q76:Q80)</f>
        <v>1589906217.8292534</v>
      </c>
      <c r="R81" s="237">
        <f t="shared" si="36"/>
        <v>7.3772712082098124E-2</v>
      </c>
      <c r="S81" s="238">
        <f>+Q81/P81-1</f>
        <v>-0.14612985078987573</v>
      </c>
      <c r="U81" s="167" t="s">
        <v>258</v>
      </c>
      <c r="V81" s="292">
        <f>+SUM(V76:V80)</f>
        <v>110.70805148275863</v>
      </c>
      <c r="W81" s="293">
        <f>+SUM(W76:W80)</f>
        <v>150.71809666373235</v>
      </c>
      <c r="X81" s="294">
        <f>+SUM(X76:X80)</f>
        <v>101.48690900000001</v>
      </c>
      <c r="Y81" s="261">
        <f t="shared" si="37"/>
        <v>-8.3292428682973374E-2</v>
      </c>
      <c r="Z81" s="295">
        <f>+X81/W81-1</f>
        <v>-0.3266441704978017</v>
      </c>
      <c r="AA81" s="292">
        <f>+SUM(AA76:AA80)</f>
        <v>115.22744189655174</v>
      </c>
      <c r="AB81" s="293">
        <f>+SUM(AB76:AB80)</f>
        <v>150.71809666373235</v>
      </c>
      <c r="AC81" s="294">
        <f>+SUM(AC76:AC80)</f>
        <v>101.56628189655173</v>
      </c>
      <c r="AD81" s="261">
        <f t="shared" si="38"/>
        <v>-0.11855821647298781</v>
      </c>
      <c r="AE81" s="295">
        <f>+AC81/AB81-1</f>
        <v>-0.32611753900292018</v>
      </c>
      <c r="AF81" s="292">
        <f>+SUM(AF76:AF80)</f>
        <v>1480.6729580102171</v>
      </c>
      <c r="AG81" s="293">
        <f>+SUM(AG76:AG80)</f>
        <v>1862.0000000000023</v>
      </c>
      <c r="AH81" s="294">
        <f>+SUM(AH76:AH80)</f>
        <v>1589.9062178292534</v>
      </c>
      <c r="AI81" s="237">
        <f>+AH81/AF81-1</f>
        <v>7.3772712082098124E-2</v>
      </c>
      <c r="AJ81" s="238">
        <f>+AH81/AG81-1</f>
        <v>-0.14612985078987573</v>
      </c>
      <c r="AK81" s="292">
        <f>SUM(AK76:AK80)</f>
        <v>666.49141141379312</v>
      </c>
      <c r="AL81" s="293">
        <f>SUM(AL76:AL80)</f>
        <v>871.34862332173259</v>
      </c>
      <c r="AM81" s="294">
        <f>SUM(AM76:AM80)</f>
        <v>757.6623219999999</v>
      </c>
      <c r="AN81" s="237">
        <f>+AM81/AK81-1</f>
        <v>0.13679232623989979</v>
      </c>
      <c r="AO81" s="238">
        <f>+AM81/AL81-1</f>
        <v>-0.13047165999797039</v>
      </c>
      <c r="AS81" s="301" t="s">
        <v>337</v>
      </c>
      <c r="AT81" s="297">
        <f>SUMIF('BD MF'!$E$185:$E$215,"&lt;&gt;",'BD MF'!$AA$185:$AA$215)</f>
        <v>236823</v>
      </c>
      <c r="AU81" s="55">
        <f>AT81/AT79</f>
        <v>0.27061310540659439</v>
      </c>
      <c r="AV81" s="297">
        <f>SUMIF('BD MF'!$E$185:$E$215,"&lt;&gt;",'BD MF'!$Z$185:$Z$215)</f>
        <v>335023</v>
      </c>
      <c r="AW81" s="55">
        <f>AV81/AV79</f>
        <v>0.24461071963914</v>
      </c>
    </row>
    <row r="82" spans="2:49" ht="36" customHeight="1" x14ac:dyDescent="0.35">
      <c r="B82" s="282"/>
      <c r="D82" s="264" t="s">
        <v>315</v>
      </c>
      <c r="E82" s="244">
        <f>SUMIF('BD MF'!$E$185:$E$214,"&lt;&gt;",'BD MF'!$B$186:$B$215)</f>
        <v>1221924405</v>
      </c>
      <c r="F82" s="235"/>
      <c r="G82" s="265">
        <f>+SUMIF('BD MF'!$E$185:$E$215,"&lt;&gt;",'BD MF'!$E$185:$E$215)</f>
        <v>1112224545</v>
      </c>
      <c r="H82" s="266">
        <f t="shared" si="34"/>
        <v>-8.9776306579292808E-2</v>
      </c>
      <c r="I82" s="267"/>
      <c r="J82" s="268"/>
      <c r="K82" s="269"/>
      <c r="L82" s="270"/>
      <c r="M82" s="271"/>
      <c r="N82" s="267"/>
      <c r="O82" s="272"/>
      <c r="P82" s="268"/>
      <c r="Q82" s="271"/>
      <c r="R82" s="271"/>
      <c r="S82" s="267"/>
      <c r="U82" s="171" t="s">
        <v>315</v>
      </c>
      <c r="V82" s="242">
        <f>+E82/1000000</f>
        <v>1221.924405</v>
      </c>
      <c r="W82" s="235"/>
      <c r="X82" s="290">
        <f>+G82/1000000</f>
        <v>1112.224545</v>
      </c>
      <c r="Y82" s="246">
        <f t="shared" si="37"/>
        <v>-8.9776306579292808E-2</v>
      </c>
      <c r="Z82" s="302"/>
      <c r="AA82" s="307"/>
      <c r="AB82" s="268"/>
      <c r="AC82" s="270"/>
      <c r="AD82" s="271"/>
      <c r="AE82" s="308"/>
      <c r="AF82" s="309"/>
      <c r="AG82" s="268"/>
      <c r="AH82" s="271"/>
      <c r="AI82" s="271"/>
      <c r="AJ82" s="267"/>
      <c r="AK82" s="298">
        <f>(E82+E68+E54+E39+E24)/1000000</f>
        <v>7772.526801</v>
      </c>
      <c r="AL82" s="268"/>
      <c r="AM82" s="300">
        <f>(G82+G68+G54+G39+G24)/1000000</f>
        <v>7625.8389269999998</v>
      </c>
      <c r="AN82" s="237">
        <f>+AM82/AK82-1</f>
        <v>-1.8872610896771391E-2</v>
      </c>
      <c r="AO82" s="238"/>
      <c r="AS82" s="296" t="s">
        <v>338</v>
      </c>
      <c r="AT82" s="297">
        <f>SUMIF('BD MF'!$E$185:$E$215,"&lt;&gt;",'BD MF'!$AC$185:$AC$215)</f>
        <v>257607</v>
      </c>
      <c r="AV82" s="297">
        <f>SUMIF('BD MF'!$E$185:$E$215,"&lt;&gt;",'BD MF'!$AB$185:$AB$215)</f>
        <v>0</v>
      </c>
    </row>
    <row r="83" spans="2:49" ht="36" customHeight="1" x14ac:dyDescent="0.35">
      <c r="D83" s="273" t="s">
        <v>285</v>
      </c>
      <c r="E83" s="274">
        <f>+E81/E82</f>
        <v>9.0601391567065578E-2</v>
      </c>
      <c r="F83" s="275"/>
      <c r="G83" s="276">
        <f>+G81/G82</f>
        <v>9.1246780568037186E-2</v>
      </c>
      <c r="H83" s="277">
        <f>+G83-E83</f>
        <v>6.453890009716079E-4</v>
      </c>
      <c r="I83" s="278"/>
      <c r="J83" s="279"/>
      <c r="K83" s="279"/>
      <c r="L83" s="280"/>
      <c r="M83" s="280"/>
      <c r="N83" s="278"/>
      <c r="O83" s="274"/>
      <c r="P83" s="279"/>
      <c r="Q83" s="280"/>
      <c r="R83" s="280"/>
      <c r="S83" s="278"/>
      <c r="U83" s="181" t="s">
        <v>285</v>
      </c>
      <c r="V83" s="310">
        <f>+V81/V82</f>
        <v>9.0601391567065592E-2</v>
      </c>
      <c r="W83" s="256"/>
      <c r="X83" s="311">
        <f>+X81/X82</f>
        <v>9.1246780568037186E-2</v>
      </c>
      <c r="Y83" s="312">
        <f>(X83-V83)*100</f>
        <v>6.4538900097159402E-2</v>
      </c>
      <c r="Z83" s="313"/>
      <c r="AA83" s="314"/>
      <c r="AB83" s="279"/>
      <c r="AC83" s="280"/>
      <c r="AD83" s="280"/>
      <c r="AE83" s="315"/>
      <c r="AF83" s="316"/>
      <c r="AG83" s="279"/>
      <c r="AH83" s="280"/>
      <c r="AI83" s="280"/>
      <c r="AJ83" s="278"/>
      <c r="AK83" s="316">
        <f>AK81/AK82</f>
        <v>8.5749644675145217E-2</v>
      </c>
      <c r="AL83" s="279"/>
      <c r="AM83" s="277">
        <f>AM81/AM82</f>
        <v>9.9354619111797021E-2</v>
      </c>
      <c r="AN83" s="312">
        <f>(AM83-AK83)*100</f>
        <v>1.3604974436651804</v>
      </c>
      <c r="AO83" s="278"/>
      <c r="AS83" s="296" t="s">
        <v>339</v>
      </c>
      <c r="AT83" s="297">
        <f>SUMIF('BD MF'!$E$185:$E$215,"&lt;&gt;",'BD MF'!$AE$185:$AE$215)</f>
        <v>57686</v>
      </c>
      <c r="AV83" s="297">
        <f>SUMIF('BD MF'!$E$185:$E$215,"&lt;&gt;",'BD MF'!$AD$185:$AD$215)</f>
        <v>0</v>
      </c>
    </row>
    <row r="84" spans="2:49" ht="15.75" customHeight="1" x14ac:dyDescent="0.35">
      <c r="AS84" s="301" t="s">
        <v>340</v>
      </c>
      <c r="AT84" s="297">
        <f>AT76+AT79+AT82+AT83</f>
        <v>13986383</v>
      </c>
      <c r="AV84" s="297">
        <f>AV76+AV79+AV82+AV83</f>
        <v>23568515</v>
      </c>
    </row>
    <row r="85" spans="2:49" ht="14.25" customHeight="1" x14ac:dyDescent="0.35">
      <c r="L85" s="52"/>
    </row>
  </sheetData>
  <mergeCells count="37">
    <mergeCell ref="AK74:AO74"/>
    <mergeCell ref="AF60:AJ60"/>
    <mergeCell ref="D74:I74"/>
    <mergeCell ref="J74:N74"/>
    <mergeCell ref="O74:S74"/>
    <mergeCell ref="U74:Z74"/>
    <mergeCell ref="AA74:AE74"/>
    <mergeCell ref="AF74:AJ74"/>
    <mergeCell ref="D60:I60"/>
    <mergeCell ref="J60:N60"/>
    <mergeCell ref="O60:S60"/>
    <mergeCell ref="U60:Z60"/>
    <mergeCell ref="AA60:AE60"/>
    <mergeCell ref="AM31:AR31"/>
    <mergeCell ref="D46:I46"/>
    <mergeCell ref="J46:N46"/>
    <mergeCell ref="O46:S46"/>
    <mergeCell ref="U46:Z46"/>
    <mergeCell ref="AA46:AE46"/>
    <mergeCell ref="AF46:AJ46"/>
    <mergeCell ref="AF17:AJ17"/>
    <mergeCell ref="D31:I31"/>
    <mergeCell ref="K31:P31"/>
    <mergeCell ref="R31:W31"/>
    <mergeCell ref="Y31:AD31"/>
    <mergeCell ref="AF31:AK31"/>
    <mergeCell ref="AA3:AD3"/>
    <mergeCell ref="D17:I17"/>
    <mergeCell ref="J17:N17"/>
    <mergeCell ref="O17:S17"/>
    <mergeCell ref="U17:Z17"/>
    <mergeCell ref="AA17:AE17"/>
    <mergeCell ref="E3:I3"/>
    <mergeCell ref="J3:L3"/>
    <mergeCell ref="M3:P3"/>
    <mergeCell ref="S3:W3"/>
    <mergeCell ref="X3:Z3"/>
  </mergeCells>
  <conditionalFormatting sqref="G5:G9">
    <cfRule type="cellIs" dxfId="167" priority="87" operator="lessThan">
      <formula>0</formula>
    </cfRule>
  </conditionalFormatting>
  <conditionalFormatting sqref="G5:H9">
    <cfRule type="cellIs" dxfId="166" priority="89" operator="greaterThan">
      <formula>0</formula>
    </cfRule>
  </conditionalFormatting>
  <conditionalFormatting sqref="H5:H11">
    <cfRule type="cellIs" dxfId="165" priority="88" operator="lessThan">
      <formula>0</formula>
    </cfRule>
  </conditionalFormatting>
  <conditionalFormatting sqref="H10:H11">
    <cfRule type="cellIs" dxfId="164" priority="84" operator="greaterThan">
      <formula>0</formula>
    </cfRule>
  </conditionalFormatting>
  <conditionalFormatting sqref="H19:H25">
    <cfRule type="cellIs" dxfId="163" priority="81" operator="lessThan">
      <formula>0</formula>
    </cfRule>
  </conditionalFormatting>
  <conditionalFormatting sqref="H33:H40">
    <cfRule type="cellIs" dxfId="162" priority="65" operator="lessThan">
      <formula>0</formula>
    </cfRule>
  </conditionalFormatting>
  <conditionalFormatting sqref="H39:H40">
    <cfRule type="cellIs" dxfId="161" priority="63" operator="greaterThan">
      <formula>0</formula>
    </cfRule>
  </conditionalFormatting>
  <conditionalFormatting sqref="H48:H55">
    <cfRule type="cellIs" dxfId="160" priority="58" operator="lessThan">
      <formula>0</formula>
    </cfRule>
  </conditionalFormatting>
  <conditionalFormatting sqref="H62:H69">
    <cfRule type="cellIs" dxfId="159" priority="37" operator="lessThan">
      <formula>0</formula>
    </cfRule>
  </conditionalFormatting>
  <conditionalFormatting sqref="H76:H83">
    <cfRule type="cellIs" dxfId="158" priority="16" operator="lessThan">
      <formula>0</formula>
    </cfRule>
  </conditionalFormatting>
  <conditionalFormatting sqref="H19:I22 I23 H23:H25">
    <cfRule type="cellIs" dxfId="157" priority="83" operator="greaterThan">
      <formula>0</formula>
    </cfRule>
  </conditionalFormatting>
  <conditionalFormatting sqref="H33:I38">
    <cfRule type="cellIs" dxfId="156" priority="66" operator="greaterThan">
      <formula>0</formula>
    </cfRule>
  </conditionalFormatting>
  <conditionalFormatting sqref="H48:I52 I53 H53:H55">
    <cfRule type="cellIs" dxfId="155" priority="60" operator="greaterThan">
      <formula>0</formula>
    </cfRule>
  </conditionalFormatting>
  <conditionalFormatting sqref="H62:I66 I67 H67:H69">
    <cfRule type="cellIs" dxfId="154" priority="39" operator="greaterThan">
      <formula>0</formula>
    </cfRule>
  </conditionalFormatting>
  <conditionalFormatting sqref="H76:I80 I81 H81:H83">
    <cfRule type="cellIs" dxfId="153" priority="18" operator="greaterThan">
      <formula>0</formula>
    </cfRule>
  </conditionalFormatting>
  <conditionalFormatting sqref="I19:I23">
    <cfRule type="cellIs" dxfId="152" priority="82" operator="lessThan">
      <formula>0</formula>
    </cfRule>
  </conditionalFormatting>
  <conditionalFormatting sqref="I33:I38">
    <cfRule type="cellIs" dxfId="151" priority="64" operator="lessThan">
      <formula>0</formula>
    </cfRule>
  </conditionalFormatting>
  <conditionalFormatting sqref="I48:I53">
    <cfRule type="cellIs" dxfId="150" priority="59" operator="lessThan">
      <formula>0</formula>
    </cfRule>
  </conditionalFormatting>
  <conditionalFormatting sqref="I62:I67">
    <cfRule type="cellIs" dxfId="149" priority="38" operator="lessThan">
      <formula>0</formula>
    </cfRule>
  </conditionalFormatting>
  <conditionalFormatting sqref="I76:I81">
    <cfRule type="cellIs" dxfId="148" priority="17" operator="lessThan">
      <formula>0</formula>
    </cfRule>
  </conditionalFormatting>
  <conditionalFormatting sqref="K5:L9">
    <cfRule type="cellIs" dxfId="147" priority="74" operator="greaterThan">
      <formula>0</formula>
    </cfRule>
    <cfRule type="cellIs" dxfId="146" priority="73" operator="lessThan">
      <formula>0</formula>
    </cfRule>
  </conditionalFormatting>
  <conditionalFormatting sqref="M19:N23">
    <cfRule type="cellIs" dxfId="145" priority="72" operator="greaterThan">
      <formula>0</formula>
    </cfRule>
    <cfRule type="cellIs" dxfId="144" priority="71" operator="lessThan">
      <formula>0</formula>
    </cfRule>
  </conditionalFormatting>
  <conditionalFormatting sqref="M48:N53">
    <cfRule type="cellIs" dxfId="143" priority="54" operator="lessThan">
      <formula>0</formula>
    </cfRule>
    <cfRule type="cellIs" dxfId="142" priority="55" operator="greaterThan">
      <formula>0</formula>
    </cfRule>
  </conditionalFormatting>
  <conditionalFormatting sqref="M62:N67">
    <cfRule type="cellIs" dxfId="141" priority="34" operator="greaterThan">
      <formula>0</formula>
    </cfRule>
    <cfRule type="cellIs" dxfId="140" priority="33" operator="lessThan">
      <formula>0</formula>
    </cfRule>
  </conditionalFormatting>
  <conditionalFormatting sqref="M76:N81">
    <cfRule type="cellIs" dxfId="139" priority="12" operator="lessThan">
      <formula>0</formula>
    </cfRule>
    <cfRule type="cellIs" dxfId="138" priority="13" operator="greaterThan">
      <formula>0</formula>
    </cfRule>
  </conditionalFormatting>
  <conditionalFormatting sqref="O33:O40">
    <cfRule type="cellIs" dxfId="137" priority="77" operator="lessThan">
      <formula>0</formula>
    </cfRule>
  </conditionalFormatting>
  <conditionalFormatting sqref="O39:O40">
    <cfRule type="cellIs" dxfId="136" priority="75" operator="greaterThan">
      <formula>0</formula>
    </cfRule>
  </conditionalFormatting>
  <conditionalFormatting sqref="O5:P9">
    <cfRule type="cellIs" dxfId="135" priority="86" operator="greaterThan">
      <formula>0</formula>
    </cfRule>
    <cfRule type="cellIs" dxfId="134" priority="85" operator="lessThan">
      <formula>0</formula>
    </cfRule>
  </conditionalFormatting>
  <conditionalFormatting sqref="O33:P38">
    <cfRule type="cellIs" dxfId="133" priority="78" operator="greaterThan">
      <formula>0</formula>
    </cfRule>
  </conditionalFormatting>
  <conditionalFormatting sqref="P33:P38">
    <cfRule type="cellIs" dxfId="132" priority="76" operator="lessThan">
      <formula>0</formula>
    </cfRule>
  </conditionalFormatting>
  <conditionalFormatting sqref="R19:S23">
    <cfRule type="cellIs" dxfId="131" priority="80" operator="greaterThan">
      <formula>0</formula>
    </cfRule>
    <cfRule type="cellIs" dxfId="130" priority="79" operator="lessThan">
      <formula>0</formula>
    </cfRule>
  </conditionalFormatting>
  <conditionalFormatting sqref="R48:S53">
    <cfRule type="cellIs" dxfId="129" priority="57" operator="greaterThan">
      <formula>0</formula>
    </cfRule>
    <cfRule type="cellIs" dxfId="128" priority="56" operator="lessThan">
      <formula>0</formula>
    </cfRule>
  </conditionalFormatting>
  <conditionalFormatting sqref="R62:S67">
    <cfRule type="cellIs" dxfId="127" priority="36" operator="greaterThan">
      <formula>0</formula>
    </cfRule>
    <cfRule type="cellIs" dxfId="126" priority="35" operator="lessThan">
      <formula>0</formula>
    </cfRule>
  </conditionalFormatting>
  <conditionalFormatting sqref="R76:S81">
    <cfRule type="cellIs" dxfId="125" priority="15" operator="greaterThan">
      <formula>0</formula>
    </cfRule>
    <cfRule type="cellIs" dxfId="124" priority="14" operator="lessThan">
      <formula>0</formula>
    </cfRule>
  </conditionalFormatting>
  <conditionalFormatting sqref="U5:U9">
    <cfRule type="cellIs" dxfId="123" priority="95" operator="lessThan">
      <formula>0</formula>
    </cfRule>
  </conditionalFormatting>
  <conditionalFormatting sqref="U5:V9">
    <cfRule type="cellIs" dxfId="122" priority="97" operator="greaterThan">
      <formula>0</formula>
    </cfRule>
  </conditionalFormatting>
  <conditionalFormatting sqref="V5:V11">
    <cfRule type="cellIs" dxfId="121" priority="96" operator="lessThan">
      <formula>0</formula>
    </cfRule>
  </conditionalFormatting>
  <conditionalFormatting sqref="V10:V11">
    <cfRule type="cellIs" dxfId="120" priority="90" operator="greaterThan">
      <formula>0</formula>
    </cfRule>
  </conditionalFormatting>
  <conditionalFormatting sqref="V33:V40">
    <cfRule type="cellIs" dxfId="119" priority="44" operator="lessThan">
      <formula>0</formula>
    </cfRule>
  </conditionalFormatting>
  <conditionalFormatting sqref="V39:V40">
    <cfRule type="cellIs" dxfId="118" priority="42" operator="greaterThan">
      <formula>0</formula>
    </cfRule>
  </conditionalFormatting>
  <conditionalFormatting sqref="V33:W38">
    <cfRule type="cellIs" dxfId="117" priority="45" operator="greaterThan">
      <formula>0</formula>
    </cfRule>
  </conditionalFormatting>
  <conditionalFormatting sqref="W33:W38">
    <cfRule type="cellIs" dxfId="116" priority="43" operator="lessThan">
      <formula>0</formula>
    </cfRule>
  </conditionalFormatting>
  <conditionalFormatting sqref="Y5:Z9">
    <cfRule type="cellIs" dxfId="115" priority="93" operator="lessThan">
      <formula>0</formula>
    </cfRule>
    <cfRule type="cellIs" dxfId="114" priority="94" operator="greaterThan">
      <formula>0</formula>
    </cfRule>
  </conditionalFormatting>
  <conditionalFormatting sqref="Y19:Z25">
    <cfRule type="cellIs" dxfId="113" priority="62" operator="lessThan">
      <formula>0</formula>
    </cfRule>
    <cfRule type="cellIs" dxfId="112" priority="61" operator="greaterThan">
      <formula>0</formula>
    </cfRule>
  </conditionalFormatting>
  <conditionalFormatting sqref="Y48:Z55">
    <cfRule type="cellIs" dxfId="111" priority="41" operator="greaterThan">
      <formula>0</formula>
    </cfRule>
    <cfRule type="cellIs" dxfId="110" priority="40" operator="lessThan">
      <formula>0</formula>
    </cfRule>
  </conditionalFormatting>
  <conditionalFormatting sqref="Y62:Z69">
    <cfRule type="cellIs" dxfId="109" priority="28" operator="greaterThan">
      <formula>0</formula>
    </cfRule>
    <cfRule type="cellIs" dxfId="108" priority="27" operator="lessThan">
      <formula>0</formula>
    </cfRule>
  </conditionalFormatting>
  <conditionalFormatting sqref="Y76:Z83">
    <cfRule type="cellIs" dxfId="107" priority="2" operator="lessThan">
      <formula>0</formula>
    </cfRule>
    <cfRule type="cellIs" dxfId="106" priority="3" operator="greaterThan">
      <formula>0</formula>
    </cfRule>
  </conditionalFormatting>
  <conditionalFormatting sqref="AC33:AC40">
    <cfRule type="cellIs" dxfId="105" priority="48" operator="lessThan">
      <formula>0</formula>
    </cfRule>
  </conditionalFormatting>
  <conditionalFormatting sqref="AC39:AC40">
    <cfRule type="cellIs" dxfId="104" priority="46" operator="greaterThan">
      <formula>0</formula>
    </cfRule>
  </conditionalFormatting>
  <conditionalFormatting sqref="AC5:AD9">
    <cfRule type="cellIs" dxfId="103" priority="91" operator="lessThan">
      <formula>0</formula>
    </cfRule>
    <cfRule type="cellIs" dxfId="102" priority="92" operator="greaterThan">
      <formula>0</formula>
    </cfRule>
  </conditionalFormatting>
  <conditionalFormatting sqref="AC33:AD38">
    <cfRule type="cellIs" dxfId="101" priority="49" operator="greaterThan">
      <formula>0</formula>
    </cfRule>
  </conditionalFormatting>
  <conditionalFormatting sqref="AD33:AD38">
    <cfRule type="cellIs" dxfId="100" priority="47" operator="lessThan">
      <formula>0</formula>
    </cfRule>
  </conditionalFormatting>
  <conditionalFormatting sqref="AD19:AE23">
    <cfRule type="cellIs" dxfId="99" priority="67" operator="lessThan">
      <formula>0</formula>
    </cfRule>
    <cfRule type="cellIs" dxfId="98" priority="68" operator="greaterThan">
      <formula>0</formula>
    </cfRule>
  </conditionalFormatting>
  <conditionalFormatting sqref="AD48:AE53">
    <cfRule type="cellIs" dxfId="97" priority="51" operator="greaterThan">
      <formula>0</formula>
    </cfRule>
    <cfRule type="cellIs" dxfId="96" priority="50" operator="lessThan">
      <formula>0</formula>
    </cfRule>
  </conditionalFormatting>
  <conditionalFormatting sqref="AD62:AE67">
    <cfRule type="cellIs" dxfId="95" priority="30" operator="greaterThan">
      <formula>0</formula>
    </cfRule>
    <cfRule type="cellIs" dxfId="94" priority="29" operator="lessThan">
      <formula>0</formula>
    </cfRule>
  </conditionalFormatting>
  <conditionalFormatting sqref="AD76:AE81">
    <cfRule type="cellIs" dxfId="93" priority="9" operator="greaterThan">
      <formula>0</formula>
    </cfRule>
    <cfRule type="cellIs" dxfId="92" priority="8" operator="lessThan">
      <formula>0</formula>
    </cfRule>
  </conditionalFormatting>
  <conditionalFormatting sqref="AI19:AJ23">
    <cfRule type="cellIs" dxfId="91" priority="69" operator="lessThan">
      <formula>0</formula>
    </cfRule>
    <cfRule type="cellIs" dxfId="90" priority="70" operator="greaterThan">
      <formula>0</formula>
    </cfRule>
  </conditionalFormatting>
  <conditionalFormatting sqref="AI48:AJ53">
    <cfRule type="cellIs" dxfId="89" priority="52" operator="lessThan">
      <formula>0</formula>
    </cfRule>
    <cfRule type="cellIs" dxfId="88" priority="53" operator="greaterThan">
      <formula>0</formula>
    </cfRule>
  </conditionalFormatting>
  <conditionalFormatting sqref="AI62:AJ67">
    <cfRule type="cellIs" dxfId="87" priority="32" operator="greaterThan">
      <formula>0</formula>
    </cfRule>
    <cfRule type="cellIs" dxfId="86" priority="31" operator="lessThan">
      <formula>0</formula>
    </cfRule>
  </conditionalFormatting>
  <conditionalFormatting sqref="AI76:AJ81">
    <cfRule type="cellIs" dxfId="85" priority="11" operator="greaterThan">
      <formula>0</formula>
    </cfRule>
    <cfRule type="cellIs" dxfId="84" priority="10" operator="lessThan">
      <formula>0</formula>
    </cfRule>
  </conditionalFormatting>
  <conditionalFormatting sqref="AJ33:AJ40">
    <cfRule type="cellIs" dxfId="83" priority="21" operator="lessThan">
      <formula>0</formula>
    </cfRule>
  </conditionalFormatting>
  <conditionalFormatting sqref="AJ39:AJ40">
    <cfRule type="cellIs" dxfId="82" priority="19" operator="greaterThan">
      <formula>0</formula>
    </cfRule>
  </conditionalFormatting>
  <conditionalFormatting sqref="AJ33:AK38">
    <cfRule type="cellIs" dxfId="81" priority="22" operator="greaterThan">
      <formula>0</formula>
    </cfRule>
  </conditionalFormatting>
  <conditionalFormatting sqref="AK33:AK38">
    <cfRule type="cellIs" dxfId="80" priority="20" operator="lessThan">
      <formula>0</formula>
    </cfRule>
  </conditionalFormatting>
  <conditionalFormatting sqref="AN83">
    <cfRule type="cellIs" dxfId="79" priority="5" operator="greaterThan">
      <formula>0</formula>
    </cfRule>
    <cfRule type="cellIs" dxfId="78" priority="4" operator="lessThan">
      <formula>0</formula>
    </cfRule>
  </conditionalFormatting>
  <conditionalFormatting sqref="AN76:AO82">
    <cfRule type="cellIs" dxfId="77" priority="7" operator="greaterThan">
      <formula>0</formula>
    </cfRule>
    <cfRule type="cellIs" dxfId="76" priority="6" operator="lessThan">
      <formula>0</formula>
    </cfRule>
  </conditionalFormatting>
  <conditionalFormatting sqref="AQ33:AQ40">
    <cfRule type="cellIs" dxfId="75" priority="25" operator="lessThan">
      <formula>0</formula>
    </cfRule>
  </conditionalFormatting>
  <conditionalFormatting sqref="AQ39:AQ40">
    <cfRule type="cellIs" dxfId="74" priority="23" operator="greaterThan">
      <formula>0</formula>
    </cfRule>
  </conditionalFormatting>
  <conditionalFormatting sqref="AQ33:AR38">
    <cfRule type="cellIs" dxfId="73" priority="26" operator="greaterThan">
      <formula>0</formula>
    </cfRule>
  </conditionalFormatting>
  <conditionalFormatting sqref="AR33:AR38">
    <cfRule type="cellIs" dxfId="72" priority="24" operator="lessThan">
      <formula>0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/>
  <dimension ref="A2:AF149"/>
  <sheetViews>
    <sheetView topLeftCell="B22" zoomScale="70" zoomScaleNormal="70" workbookViewId="0">
      <selection activeCell="M45" sqref="M45"/>
    </sheetView>
  </sheetViews>
  <sheetFormatPr baseColWidth="10" defaultColWidth="11.453125" defaultRowHeight="14.5" x14ac:dyDescent="0.35"/>
  <cols>
    <col min="2" max="2" width="12.453125" customWidth="1"/>
    <col min="3" max="4" width="16.453125" customWidth="1"/>
    <col min="5" max="5" width="15.453125" customWidth="1"/>
    <col min="6" max="15" width="16.453125" customWidth="1"/>
    <col min="16" max="16" width="17.453125" customWidth="1"/>
    <col min="18" max="18" width="15" customWidth="1"/>
    <col min="19" max="19" width="14.54296875" bestFit="1" customWidth="1"/>
  </cols>
  <sheetData>
    <row r="2" spans="2:32" ht="14.25" customHeight="1" x14ac:dyDescent="0.35">
      <c r="C2" t="s">
        <v>341</v>
      </c>
      <c r="D2" t="s">
        <v>342</v>
      </c>
      <c r="E2" t="s">
        <v>343</v>
      </c>
      <c r="F2" t="s">
        <v>344</v>
      </c>
      <c r="G2" t="s">
        <v>345</v>
      </c>
      <c r="H2" t="s">
        <v>302</v>
      </c>
      <c r="I2" t="s">
        <v>346</v>
      </c>
      <c r="J2" t="s">
        <v>347</v>
      </c>
      <c r="K2" t="s">
        <v>348</v>
      </c>
      <c r="L2" t="s">
        <v>349</v>
      </c>
      <c r="M2" t="s">
        <v>350</v>
      </c>
      <c r="N2" t="s">
        <v>351</v>
      </c>
      <c r="O2" t="s">
        <v>352</v>
      </c>
    </row>
    <row r="3" spans="2:32" ht="14.25" customHeight="1" x14ac:dyDescent="0.35">
      <c r="C3" t="s">
        <v>353</v>
      </c>
      <c r="D3" s="6">
        <v>76542384</v>
      </c>
      <c r="E3" s="6">
        <v>76555335</v>
      </c>
      <c r="F3" s="6">
        <v>94203579.963066697</v>
      </c>
      <c r="G3" s="6">
        <v>85451247.625192001</v>
      </c>
      <c r="H3" s="6">
        <v>103696576.160097</v>
      </c>
      <c r="I3" s="6">
        <v>108286652.58976699</v>
      </c>
      <c r="J3" s="6">
        <v>113564325.48241299</v>
      </c>
      <c r="K3" s="6">
        <v>142877108.36054599</v>
      </c>
      <c r="L3" s="6">
        <v>115742126.65528201</v>
      </c>
      <c r="M3" s="6">
        <v>136668981.97096699</v>
      </c>
      <c r="N3" s="6">
        <v>160585319.92501101</v>
      </c>
      <c r="O3" s="6">
        <v>160602417.931445</v>
      </c>
    </row>
    <row r="4" spans="2:32" ht="14.25" customHeight="1" x14ac:dyDescent="0.35">
      <c r="C4" t="s">
        <v>354</v>
      </c>
      <c r="D4" s="6">
        <v>76678</v>
      </c>
      <c r="E4" s="6">
        <v>72848</v>
      </c>
      <c r="F4" s="6">
        <v>250609.611179698</v>
      </c>
      <c r="G4" s="6">
        <v>543289.16116364696</v>
      </c>
      <c r="H4" s="6">
        <v>460698.01598698902</v>
      </c>
      <c r="I4" s="6">
        <v>532987.24006410199</v>
      </c>
      <c r="J4" s="6">
        <v>434740.12025818502</v>
      </c>
      <c r="K4" s="6">
        <v>407615.92449251801</v>
      </c>
      <c r="L4" s="6">
        <v>283821.84563066298</v>
      </c>
      <c r="M4" s="6">
        <v>245607.110410586</v>
      </c>
      <c r="N4" s="6">
        <v>275092.41052786697</v>
      </c>
      <c r="O4" s="6">
        <v>257766.560285746</v>
      </c>
    </row>
    <row r="5" spans="2:32" ht="14.25" customHeight="1" x14ac:dyDescent="0.35">
      <c r="C5" t="s">
        <v>355</v>
      </c>
      <c r="D5" s="6">
        <v>1755081</v>
      </c>
      <c r="E5" s="6">
        <v>2159418</v>
      </c>
      <c r="F5" s="6">
        <v>2448823.65771006</v>
      </c>
      <c r="G5" s="6">
        <v>2573658.9184749802</v>
      </c>
      <c r="H5" s="6">
        <v>3628049.4795010602</v>
      </c>
      <c r="I5" s="6">
        <v>4151500.5808941</v>
      </c>
      <c r="J5" s="6">
        <v>4222672.9355347101</v>
      </c>
      <c r="K5" s="6">
        <v>6078558.1793413898</v>
      </c>
      <c r="L5" s="6">
        <v>3862223.81604143</v>
      </c>
      <c r="M5" s="6">
        <v>6083380.7078921497</v>
      </c>
      <c r="N5" s="6">
        <v>6058947.5970031498</v>
      </c>
      <c r="O5" s="6">
        <v>5853487.46381927</v>
      </c>
    </row>
    <row r="6" spans="2:32" ht="14.25" customHeight="1" x14ac:dyDescent="0.35">
      <c r="C6" t="s">
        <v>356</v>
      </c>
      <c r="D6" s="6">
        <v>824755</v>
      </c>
      <c r="E6" s="6">
        <v>660651</v>
      </c>
      <c r="F6" s="6">
        <v>1434517.1131347399</v>
      </c>
      <c r="G6" s="6">
        <v>1323303.62149078</v>
      </c>
      <c r="H6" s="6">
        <v>1190624.8676432599</v>
      </c>
      <c r="I6" s="6">
        <v>1078989.0526332001</v>
      </c>
      <c r="J6" s="6">
        <v>996358.12552639004</v>
      </c>
      <c r="K6" s="6">
        <v>1185310.21397682</v>
      </c>
      <c r="L6" s="6">
        <v>971404.93376484595</v>
      </c>
      <c r="M6" s="6">
        <v>1266940.0039830101</v>
      </c>
      <c r="N6" s="6">
        <v>1427099.8709283201</v>
      </c>
      <c r="O6" s="6">
        <v>1368165.1969186401</v>
      </c>
    </row>
    <row r="7" spans="2:32" ht="14.25" customHeight="1" x14ac:dyDescent="0.35">
      <c r="C7" t="s">
        <v>357</v>
      </c>
      <c r="D7" s="6">
        <v>18259010</v>
      </c>
      <c r="E7" s="6">
        <v>13077512</v>
      </c>
      <c r="F7" s="6">
        <v>18700000</v>
      </c>
      <c r="G7" s="6">
        <v>17000000</v>
      </c>
      <c r="H7" s="6">
        <v>28000000</v>
      </c>
      <c r="I7" s="6">
        <v>34000000</v>
      </c>
      <c r="J7" s="6">
        <v>28000000</v>
      </c>
      <c r="K7" s="6">
        <v>37000000</v>
      </c>
      <c r="L7" s="6">
        <v>28000000</v>
      </c>
      <c r="M7" s="6">
        <v>30000000</v>
      </c>
      <c r="N7" s="6">
        <v>48000000</v>
      </c>
      <c r="O7" s="6">
        <v>68800000</v>
      </c>
    </row>
    <row r="8" spans="2:32" ht="14.25" customHeight="1" x14ac:dyDescent="0.35">
      <c r="C8" t="s">
        <v>336</v>
      </c>
      <c r="D8" s="6">
        <v>1341293</v>
      </c>
      <c r="E8" s="6">
        <v>721811</v>
      </c>
      <c r="F8" s="6">
        <v>1000000</v>
      </c>
      <c r="G8" s="6">
        <v>1000000</v>
      </c>
      <c r="H8" s="6">
        <v>1300000</v>
      </c>
      <c r="I8" s="6">
        <v>1650000</v>
      </c>
      <c r="J8" s="6">
        <v>1600000</v>
      </c>
      <c r="K8" s="6">
        <v>2000000</v>
      </c>
      <c r="L8" s="6">
        <v>1700000</v>
      </c>
      <c r="M8" s="6">
        <v>1750000</v>
      </c>
      <c r="N8" s="6">
        <v>3200000</v>
      </c>
      <c r="O8" s="6">
        <v>4000000</v>
      </c>
    </row>
    <row r="9" spans="2:32" ht="14.25" customHeight="1" x14ac:dyDescent="0.35">
      <c r="C9" t="s">
        <v>338</v>
      </c>
      <c r="D9" s="6">
        <v>215859</v>
      </c>
      <c r="E9" s="6">
        <v>47048</v>
      </c>
      <c r="F9" s="6">
        <v>500000</v>
      </c>
      <c r="G9" s="6">
        <v>500000</v>
      </c>
      <c r="H9" s="6">
        <v>1000000</v>
      </c>
      <c r="I9" s="6">
        <v>1000000</v>
      </c>
      <c r="J9" s="6">
        <v>1900000</v>
      </c>
      <c r="K9" s="6">
        <v>2500000</v>
      </c>
      <c r="L9" s="6">
        <v>2000000</v>
      </c>
      <c r="M9" s="6">
        <v>1900000</v>
      </c>
      <c r="N9" s="6">
        <v>3500000</v>
      </c>
      <c r="O9" s="6">
        <v>4200000</v>
      </c>
    </row>
    <row r="10" spans="2:32" ht="14.25" customHeight="1" x14ac:dyDescent="0.35">
      <c r="D10" s="6">
        <v>99015060</v>
      </c>
      <c r="E10" s="6">
        <v>93294623</v>
      </c>
      <c r="F10" s="6">
        <v>118537530.345091</v>
      </c>
      <c r="G10" s="6">
        <v>108391499.32632101</v>
      </c>
      <c r="H10" s="6">
        <v>139275948.523229</v>
      </c>
      <c r="I10" s="6">
        <v>150700129.463359</v>
      </c>
      <c r="J10" s="6">
        <v>150718096.66373199</v>
      </c>
      <c r="K10" s="6">
        <v>192048592.67835701</v>
      </c>
      <c r="L10" s="6">
        <v>152559577.25071901</v>
      </c>
      <c r="M10" s="6">
        <v>177914909.793253</v>
      </c>
      <c r="N10" s="6">
        <v>223046459.80346999</v>
      </c>
      <c r="O10" s="6">
        <v>245081837.152468</v>
      </c>
    </row>
    <row r="15" spans="2:32" ht="14.25" customHeight="1" x14ac:dyDescent="0.35">
      <c r="J15" s="284"/>
      <c r="AF15" t="s">
        <v>338</v>
      </c>
    </row>
    <row r="16" spans="2:32" ht="14.25" customHeight="1" x14ac:dyDescent="0.35">
      <c r="B16" s="284"/>
      <c r="C16" s="317" t="s">
        <v>358</v>
      </c>
      <c r="D16" s="317" t="s">
        <v>359</v>
      </c>
      <c r="E16" s="317" t="s">
        <v>360</v>
      </c>
      <c r="F16" s="317" t="s">
        <v>361</v>
      </c>
      <c r="G16" s="317" t="s">
        <v>362</v>
      </c>
      <c r="H16" s="317" t="s">
        <v>363</v>
      </c>
      <c r="I16" s="317" t="s">
        <v>364</v>
      </c>
      <c r="J16" s="317" t="s">
        <v>365</v>
      </c>
      <c r="K16" s="317" t="s">
        <v>366</v>
      </c>
      <c r="L16" s="317" t="s">
        <v>367</v>
      </c>
      <c r="M16" s="317" t="s">
        <v>368</v>
      </c>
      <c r="N16" s="317" t="s">
        <v>369</v>
      </c>
      <c r="O16" s="317" t="s">
        <v>370</v>
      </c>
      <c r="P16" s="317" t="s">
        <v>258</v>
      </c>
      <c r="Q16" s="317" t="s">
        <v>371</v>
      </c>
      <c r="AE16" t="s">
        <v>359</v>
      </c>
      <c r="AF16" s="50">
        <v>500000</v>
      </c>
    </row>
    <row r="17" spans="3:32" ht="14.25" customHeight="1" x14ac:dyDescent="0.35">
      <c r="C17" s="317" t="s">
        <v>372</v>
      </c>
      <c r="D17" s="318">
        <v>83262186</v>
      </c>
      <c r="E17" s="318">
        <v>76042303</v>
      </c>
      <c r="F17" s="318">
        <v>94203579.963066697</v>
      </c>
      <c r="G17" s="318">
        <v>85451247.625192001</v>
      </c>
      <c r="H17" s="318">
        <v>103696576.160097</v>
      </c>
      <c r="I17" s="318">
        <v>108286652.58976699</v>
      </c>
      <c r="J17" s="318">
        <v>113564325.48241299</v>
      </c>
      <c r="K17" s="318">
        <v>142877108.36054599</v>
      </c>
      <c r="L17" s="318">
        <v>115742126.65528201</v>
      </c>
      <c r="M17" s="318">
        <v>136668981.97096699</v>
      </c>
      <c r="N17" s="318">
        <v>160585319.92501101</v>
      </c>
      <c r="O17" s="318">
        <v>160602417.931445</v>
      </c>
      <c r="P17" s="318">
        <v>1380982825.66379</v>
      </c>
      <c r="Q17" s="317">
        <v>0.74166639401921997</v>
      </c>
      <c r="R17" s="6">
        <f>+P17+P18+P19+P20</f>
        <v>1450000000.0000024</v>
      </c>
      <c r="AE17" t="s">
        <v>360</v>
      </c>
      <c r="AF17" s="50">
        <v>500000</v>
      </c>
    </row>
    <row r="18" spans="3:32" ht="14.25" customHeight="1" x14ac:dyDescent="0.35">
      <c r="C18" s="317" t="s">
        <v>354</v>
      </c>
      <c r="D18" s="318">
        <v>175474</v>
      </c>
      <c r="E18" s="318">
        <v>132298</v>
      </c>
      <c r="F18" s="318">
        <v>250609.611179698</v>
      </c>
      <c r="G18" s="318">
        <v>543289.16116364696</v>
      </c>
      <c r="H18" s="318">
        <v>460698.01598698902</v>
      </c>
      <c r="I18" s="318">
        <v>532987.24006410199</v>
      </c>
      <c r="J18" s="318">
        <v>434740.12025818502</v>
      </c>
      <c r="K18" s="318">
        <v>407615.92449251801</v>
      </c>
      <c r="L18" s="318">
        <v>283821.84563066298</v>
      </c>
      <c r="M18" s="318">
        <v>245607.110410586</v>
      </c>
      <c r="N18" s="318">
        <v>275092.41052786697</v>
      </c>
      <c r="O18" s="318">
        <v>257766.560285746</v>
      </c>
      <c r="P18" s="318">
        <v>4000000</v>
      </c>
      <c r="Q18" s="317">
        <v>2.14822771213749E-3</v>
      </c>
      <c r="AE18" t="s">
        <v>361</v>
      </c>
      <c r="AF18" s="50">
        <v>500000</v>
      </c>
    </row>
    <row r="19" spans="3:32" ht="14.25" customHeight="1" x14ac:dyDescent="0.35">
      <c r="C19" s="317" t="s">
        <v>355</v>
      </c>
      <c r="D19" s="318">
        <v>2983050</v>
      </c>
      <c r="E19" s="318">
        <v>2072821</v>
      </c>
      <c r="F19" s="318">
        <v>2448823.65771006</v>
      </c>
      <c r="G19" s="318">
        <v>2573658.9184749802</v>
      </c>
      <c r="H19" s="318">
        <v>3628049.4795010602</v>
      </c>
      <c r="I19" s="318">
        <v>4151500.5808941</v>
      </c>
      <c r="J19" s="318">
        <v>4222672.9355347101</v>
      </c>
      <c r="K19" s="318">
        <v>6078558.1793413898</v>
      </c>
      <c r="L19" s="318">
        <v>3862223.81604143</v>
      </c>
      <c r="M19" s="318">
        <v>6083380.7078921497</v>
      </c>
      <c r="N19" s="318">
        <v>6058947.5970031498</v>
      </c>
      <c r="O19" s="318">
        <v>5853487.46381927</v>
      </c>
      <c r="P19" s="318">
        <v>50017174.3362123</v>
      </c>
      <c r="Q19" s="317">
        <v>2.6862069997965799E-2</v>
      </c>
      <c r="AE19" t="s">
        <v>362</v>
      </c>
      <c r="AF19" s="50">
        <v>500000</v>
      </c>
    </row>
    <row r="20" spans="3:32" ht="14.25" customHeight="1" x14ac:dyDescent="0.35">
      <c r="C20" s="317" t="s">
        <v>356</v>
      </c>
      <c r="D20" s="318">
        <v>1316051</v>
      </c>
      <c r="E20" s="318">
        <v>1441236</v>
      </c>
      <c r="F20" s="318">
        <v>1434517.1131347399</v>
      </c>
      <c r="G20" s="318">
        <v>1323303.62149078</v>
      </c>
      <c r="H20" s="318">
        <v>1190624.8676432599</v>
      </c>
      <c r="I20" s="318">
        <v>1078989.0526332001</v>
      </c>
      <c r="J20" s="318">
        <v>996358.12552639004</v>
      </c>
      <c r="K20" s="318">
        <v>1185310.21397682</v>
      </c>
      <c r="L20" s="318">
        <v>971404.93376484595</v>
      </c>
      <c r="M20" s="318">
        <v>1266940.0039830101</v>
      </c>
      <c r="N20" s="318">
        <v>1427099.8709283201</v>
      </c>
      <c r="O20" s="318">
        <v>1368165.1969186401</v>
      </c>
      <c r="P20" s="318">
        <v>15000000</v>
      </c>
      <c r="Q20" s="317">
        <v>8.05585392051557E-3</v>
      </c>
      <c r="AE20" t="s">
        <v>363</v>
      </c>
      <c r="AF20" s="50">
        <v>1000000</v>
      </c>
    </row>
    <row r="21" spans="3:32" ht="14.25" customHeight="1" x14ac:dyDescent="0.35">
      <c r="C21" s="317" t="s">
        <v>357</v>
      </c>
      <c r="D21" s="318">
        <v>20000000</v>
      </c>
      <c r="E21" s="318">
        <v>12500000</v>
      </c>
      <c r="F21" s="318">
        <v>18700000</v>
      </c>
      <c r="G21" s="318">
        <v>17000000</v>
      </c>
      <c r="H21" s="318">
        <v>28000000</v>
      </c>
      <c r="I21" s="318">
        <v>34000000</v>
      </c>
      <c r="J21" s="318">
        <v>28000000</v>
      </c>
      <c r="K21" s="318">
        <v>37000000</v>
      </c>
      <c r="L21" s="318">
        <v>28000000</v>
      </c>
      <c r="M21" s="318">
        <v>30000000</v>
      </c>
      <c r="N21" s="318">
        <v>48000000</v>
      </c>
      <c r="O21" s="318">
        <v>68800000</v>
      </c>
      <c r="P21" s="318">
        <v>370000000</v>
      </c>
      <c r="Q21" s="317">
        <v>0.19871106337271799</v>
      </c>
      <c r="AE21" t="s">
        <v>364</v>
      </c>
      <c r="AF21" s="50">
        <v>1000000</v>
      </c>
    </row>
    <row r="22" spans="3:32" ht="14.25" customHeight="1" x14ac:dyDescent="0.35">
      <c r="C22" s="317" t="s">
        <v>336</v>
      </c>
      <c r="D22" s="318">
        <v>1800000</v>
      </c>
      <c r="E22" s="318">
        <v>1000000</v>
      </c>
      <c r="F22" s="318">
        <v>1000000</v>
      </c>
      <c r="G22" s="318">
        <v>1000000</v>
      </c>
      <c r="H22" s="318">
        <v>1300000</v>
      </c>
      <c r="I22" s="318">
        <v>1650000</v>
      </c>
      <c r="J22" s="318">
        <v>1600000</v>
      </c>
      <c r="K22" s="318">
        <v>2000000</v>
      </c>
      <c r="L22" s="318">
        <v>1700000</v>
      </c>
      <c r="M22" s="318">
        <v>1750000</v>
      </c>
      <c r="N22" s="318">
        <v>3200000</v>
      </c>
      <c r="O22" s="318">
        <v>4000000</v>
      </c>
      <c r="P22" s="318">
        <v>22000000</v>
      </c>
      <c r="Q22" s="317">
        <v>1.1815252416756201E-2</v>
      </c>
      <c r="AE22" t="s">
        <v>365</v>
      </c>
      <c r="AF22" s="50">
        <v>1900000</v>
      </c>
    </row>
    <row r="23" spans="3:32" ht="14.25" customHeight="1" x14ac:dyDescent="0.35">
      <c r="C23" s="317" t="s">
        <v>338</v>
      </c>
      <c r="D23" s="318">
        <v>500000</v>
      </c>
      <c r="E23" s="318">
        <v>500000</v>
      </c>
      <c r="F23" s="318">
        <v>500000</v>
      </c>
      <c r="G23" s="318">
        <v>500000</v>
      </c>
      <c r="H23" s="318">
        <v>1000000</v>
      </c>
      <c r="I23" s="318">
        <v>1000000</v>
      </c>
      <c r="J23" s="318">
        <v>1900000</v>
      </c>
      <c r="K23" s="318">
        <v>2500000</v>
      </c>
      <c r="L23" s="318">
        <v>2000000</v>
      </c>
      <c r="M23" s="318">
        <v>1900000</v>
      </c>
      <c r="N23" s="318">
        <v>3500000</v>
      </c>
      <c r="O23" s="318">
        <v>4200000</v>
      </c>
      <c r="P23" s="318">
        <v>20000000</v>
      </c>
      <c r="Q23" s="317">
        <v>1.07411385606874E-2</v>
      </c>
      <c r="S23" s="318">
        <v>760500000</v>
      </c>
      <c r="T23" t="s">
        <v>373</v>
      </c>
      <c r="AE23" t="s">
        <v>366</v>
      </c>
      <c r="AF23" s="50">
        <v>2500000</v>
      </c>
    </row>
    <row r="24" spans="3:32" ht="14.25" customHeight="1" x14ac:dyDescent="0.35">
      <c r="C24" s="317" t="s">
        <v>374</v>
      </c>
      <c r="D24" s="318">
        <f t="shared" ref="D24:P24" si="0">+SUM(D17:D23)</f>
        <v>110036761</v>
      </c>
      <c r="E24" s="318">
        <f t="shared" si="0"/>
        <v>93688658</v>
      </c>
      <c r="F24" s="318">
        <f t="shared" si="0"/>
        <v>118537530.34509119</v>
      </c>
      <c r="G24" s="318">
        <f t="shared" si="0"/>
        <v>108391499.32632141</v>
      </c>
      <c r="H24" s="318">
        <f t="shared" si="0"/>
        <v>139275948.52322832</v>
      </c>
      <c r="I24" s="318">
        <f t="shared" si="0"/>
        <v>150700129.4633584</v>
      </c>
      <c r="J24" s="318">
        <f t="shared" si="0"/>
        <v>150718096.66373229</v>
      </c>
      <c r="K24" s="318">
        <f t="shared" si="0"/>
        <v>192048592.67835671</v>
      </c>
      <c r="L24" s="318">
        <f t="shared" si="0"/>
        <v>152559577.25071895</v>
      </c>
      <c r="M24" s="318">
        <f t="shared" si="0"/>
        <v>177914909.79325274</v>
      </c>
      <c r="N24" s="318">
        <f t="shared" si="0"/>
        <v>223046459.80347034</v>
      </c>
      <c r="O24" s="318">
        <f t="shared" si="0"/>
        <v>245081837.15246865</v>
      </c>
      <c r="P24" s="318">
        <f t="shared" si="0"/>
        <v>1862000000.0000024</v>
      </c>
      <c r="Q24" s="317">
        <v>1</v>
      </c>
      <c r="S24" s="318">
        <v>157100000</v>
      </c>
      <c r="T24" t="s">
        <v>375</v>
      </c>
      <c r="AE24" t="s">
        <v>367</v>
      </c>
      <c r="AF24" s="50">
        <v>2000000</v>
      </c>
    </row>
    <row r="25" spans="3:32" ht="14.25" customHeight="1" x14ac:dyDescent="0.35">
      <c r="C25" s="317" t="s">
        <v>376</v>
      </c>
      <c r="D25" s="317"/>
      <c r="E25" s="319">
        <f t="shared" ref="E25:O25" si="1">+E24/D24-1</f>
        <v>-0.14856946761637235</v>
      </c>
      <c r="F25" s="319">
        <f t="shared" si="1"/>
        <v>0.26522818103650492</v>
      </c>
      <c r="G25" s="319">
        <f t="shared" si="1"/>
        <v>-8.5593406486808465E-2</v>
      </c>
      <c r="H25" s="319">
        <f t="shared" si="1"/>
        <v>0.2849342373605035</v>
      </c>
      <c r="I25" s="319">
        <f t="shared" si="1"/>
        <v>8.2025511664167716E-2</v>
      </c>
      <c r="J25" s="319">
        <f t="shared" si="1"/>
        <v>1.1922485028947882E-4</v>
      </c>
      <c r="K25" s="319">
        <f t="shared" si="1"/>
        <v>0.27422384524160393</v>
      </c>
      <c r="L25" s="319">
        <f t="shared" si="1"/>
        <v>-0.20561991565214965</v>
      </c>
      <c r="M25" s="319">
        <f t="shared" si="1"/>
        <v>0.16619954642942147</v>
      </c>
      <c r="N25" s="319">
        <f t="shared" si="1"/>
        <v>0.25366929653429859</v>
      </c>
      <c r="O25" s="319">
        <f t="shared" si="1"/>
        <v>9.8792768862657754E-2</v>
      </c>
      <c r="P25" s="317"/>
      <c r="Q25" s="317"/>
      <c r="S25" s="6">
        <f>S24+S23</f>
        <v>917600000</v>
      </c>
      <c r="AE25" t="s">
        <v>368</v>
      </c>
      <c r="AF25" s="50">
        <v>1900000</v>
      </c>
    </row>
    <row r="26" spans="3:32" ht="14.25" customHeight="1" x14ac:dyDescent="0.35">
      <c r="D26" s="6"/>
      <c r="R26" t="s">
        <v>377</v>
      </c>
      <c r="S26" s="6">
        <f>S25+L24+M24+N24+O24</f>
        <v>1716202783.9999108</v>
      </c>
      <c r="AE26" t="s">
        <v>369</v>
      </c>
      <c r="AF26" s="50">
        <v>3500000</v>
      </c>
    </row>
    <row r="27" spans="3:32" x14ac:dyDescent="0.35">
      <c r="AE27" t="s">
        <v>370</v>
      </c>
      <c r="AF27" s="50">
        <v>4200000</v>
      </c>
    </row>
    <row r="28" spans="3:32" ht="14.25" customHeight="1" x14ac:dyDescent="0.35">
      <c r="D28" t="s">
        <v>342</v>
      </c>
      <c r="E28" t="s">
        <v>343</v>
      </c>
      <c r="F28" t="s">
        <v>344</v>
      </c>
      <c r="G28" t="s">
        <v>345</v>
      </c>
      <c r="H28" t="s">
        <v>363</v>
      </c>
      <c r="I28" t="s">
        <v>364</v>
      </c>
      <c r="J28" t="s">
        <v>365</v>
      </c>
      <c r="K28" t="s">
        <v>366</v>
      </c>
      <c r="L28" t="s">
        <v>367</v>
      </c>
      <c r="M28" t="s">
        <v>368</v>
      </c>
      <c r="N28" t="s">
        <v>369</v>
      </c>
      <c r="O28" t="s">
        <v>370</v>
      </c>
      <c r="AE28" t="s">
        <v>258</v>
      </c>
      <c r="AF28" s="50">
        <v>20000000</v>
      </c>
    </row>
    <row r="29" spans="3:32" ht="14.25" customHeight="1" x14ac:dyDescent="0.35">
      <c r="C29" t="s">
        <v>372</v>
      </c>
      <c r="D29" s="27">
        <f t="shared" ref="D29:F32" si="2">+D17/(SUM($F$17:$F$20))</f>
        <v>0.84669795659716074</v>
      </c>
      <c r="E29" s="27">
        <f t="shared" si="2"/>
        <v>0.77327855126266021</v>
      </c>
      <c r="F29" s="27">
        <f t="shared" si="2"/>
        <v>0.95796162088352821</v>
      </c>
      <c r="G29" s="27">
        <f t="shared" ref="G29:O29" si="3">+G17/(G$17+G$18+G$19+G$20)</f>
        <v>0.95060432038172438</v>
      </c>
      <c r="H29" s="27">
        <f t="shared" si="3"/>
        <v>0.95155470143023335</v>
      </c>
      <c r="I29" s="27">
        <f t="shared" si="3"/>
        <v>0.94946540700382931</v>
      </c>
      <c r="J29" s="27">
        <f t="shared" si="3"/>
        <v>0.95257623347849307</v>
      </c>
      <c r="K29" s="27">
        <f t="shared" si="3"/>
        <v>0.94904313496838433</v>
      </c>
      <c r="L29" s="27">
        <f t="shared" si="3"/>
        <v>0.95765788105628602</v>
      </c>
      <c r="M29" s="27">
        <f t="shared" si="3"/>
        <v>0.94734736372710782</v>
      </c>
      <c r="N29" s="27">
        <f t="shared" si="3"/>
        <v>0.95389781354761016</v>
      </c>
      <c r="O29" s="27">
        <f t="shared" si="3"/>
        <v>0.9555013239518616</v>
      </c>
      <c r="R29" t="s">
        <v>378</v>
      </c>
      <c r="S29" s="6">
        <f>S25+((L24+M24+N24+O24)*0.87)</f>
        <v>1612384422.0799222</v>
      </c>
      <c r="T29" s="472">
        <f>S29/S31-1</f>
        <v>0.12983282326390744</v>
      </c>
    </row>
    <row r="30" spans="3:32" ht="14.25" customHeight="1" x14ac:dyDescent="0.35">
      <c r="C30" t="s">
        <v>354</v>
      </c>
      <c r="D30" s="5">
        <f t="shared" si="2"/>
        <v>1.7844051948855892E-3</v>
      </c>
      <c r="E30" s="5">
        <f t="shared" si="2"/>
        <v>1.345345968479511E-3</v>
      </c>
      <c r="F30" s="5">
        <f t="shared" si="2"/>
        <v>2.5484635448973108E-3</v>
      </c>
      <c r="G30" s="5">
        <f t="shared" ref="G30:O30" si="4">+G18/(G$17+G$18+G$19+G$20)</f>
        <v>6.043832456186041E-3</v>
      </c>
      <c r="H30" s="5">
        <f t="shared" si="4"/>
        <v>4.2275201292585295E-3</v>
      </c>
      <c r="I30" s="5">
        <f t="shared" si="4"/>
        <v>4.6732716794972004E-3</v>
      </c>
      <c r="J30" s="5">
        <f t="shared" si="4"/>
        <v>3.6465950423987831E-3</v>
      </c>
      <c r="K30" s="5">
        <f t="shared" si="4"/>
        <v>2.7075372624929097E-3</v>
      </c>
      <c r="L30" s="5">
        <f t="shared" si="4"/>
        <v>2.348360403759187E-3</v>
      </c>
      <c r="M30" s="5">
        <f t="shared" si="4"/>
        <v>1.7024729767104671E-3</v>
      </c>
      <c r="N30" s="5">
        <f t="shared" si="4"/>
        <v>1.6340849154120208E-3</v>
      </c>
      <c r="O30" s="5">
        <f t="shared" si="4"/>
        <v>1.5335777181678678E-3</v>
      </c>
    </row>
    <row r="31" spans="3:32" ht="14.25" customHeight="1" x14ac:dyDescent="0.35">
      <c r="C31" t="s">
        <v>355</v>
      </c>
      <c r="D31" s="27">
        <f t="shared" si="2"/>
        <v>3.0334806960595057E-2</v>
      </c>
      <c r="E31" s="27">
        <f t="shared" si="2"/>
        <v>2.1078635925937415E-2</v>
      </c>
      <c r="F31" s="27">
        <f t="shared" si="2"/>
        <v>2.4902228570480876E-2</v>
      </c>
      <c r="G31" s="27">
        <f t="shared" ref="G31:O31" si="5">+G19/(G$17+G$18+G$19+G$20)</f>
        <v>2.8630726350799437E-2</v>
      </c>
      <c r="H31" s="27">
        <f t="shared" si="5"/>
        <v>3.3292203726290472E-2</v>
      </c>
      <c r="I31" s="27">
        <f t="shared" si="5"/>
        <v>3.6400665220006428E-2</v>
      </c>
      <c r="J31" s="27">
        <f t="shared" si="5"/>
        <v>3.5419731179279122E-2</v>
      </c>
      <c r="K31" s="27">
        <f t="shared" si="5"/>
        <v>4.0376054476497676E-2</v>
      </c>
      <c r="L31" s="27">
        <f t="shared" si="5"/>
        <v>3.1956290960950352E-2</v>
      </c>
      <c r="M31" s="27">
        <f t="shared" si="5"/>
        <v>4.2168124713142609E-2</v>
      </c>
      <c r="N31" s="27">
        <f t="shared" si="5"/>
        <v>3.5990941562278396E-2</v>
      </c>
      <c r="O31" s="27">
        <f t="shared" si="5"/>
        <v>3.4825223016271029E-2</v>
      </c>
      <c r="R31">
        <v>2025</v>
      </c>
      <c r="S31" s="6">
        <v>1427100000</v>
      </c>
    </row>
    <row r="32" spans="3:32" ht="14.25" customHeight="1" x14ac:dyDescent="0.35">
      <c r="C32" t="s">
        <v>356</v>
      </c>
      <c r="D32" s="27">
        <f t="shared" si="2"/>
        <v>1.3382998285411939E-2</v>
      </c>
      <c r="E32" s="27">
        <f t="shared" si="2"/>
        <v>1.4656011747929193E-2</v>
      </c>
      <c r="F32" s="27">
        <f t="shared" si="2"/>
        <v>1.4587687001093658E-2</v>
      </c>
      <c r="G32" s="27">
        <f t="shared" ref="G32:O32" si="6">+G20/(G$17+G$18+G$19+G$20)</f>
        <v>1.47211208112901E-2</v>
      </c>
      <c r="H32" s="27">
        <f t="shared" si="6"/>
        <v>1.092557471421758E-2</v>
      </c>
      <c r="I32" s="27">
        <f t="shared" si="6"/>
        <v>9.4606560966671565E-3</v>
      </c>
      <c r="J32" s="27">
        <f t="shared" si="6"/>
        <v>8.357440299829039E-3</v>
      </c>
      <c r="K32" s="27">
        <f t="shared" si="6"/>
        <v>7.8732732926252297E-3</v>
      </c>
      <c r="L32" s="27">
        <f t="shared" si="6"/>
        <v>8.0374675790045227E-3</v>
      </c>
      <c r="M32" s="27">
        <f t="shared" si="6"/>
        <v>8.7820385830391645E-3</v>
      </c>
      <c r="N32" s="27">
        <f t="shared" si="6"/>
        <v>8.4771599746993991E-3</v>
      </c>
      <c r="O32" s="27">
        <f t="shared" si="6"/>
        <v>8.1398753136995069E-3</v>
      </c>
    </row>
    <row r="34" spans="3:15" ht="14.25" customHeight="1" x14ac:dyDescent="0.35">
      <c r="C34" t="s">
        <v>268</v>
      </c>
      <c r="D34" s="27">
        <f t="shared" ref="D34:O34" si="7">+D30+D32</f>
        <v>1.5167403480297529E-2</v>
      </c>
      <c r="E34" s="27">
        <f t="shared" si="7"/>
        <v>1.6001357716408704E-2</v>
      </c>
      <c r="F34" s="27">
        <f t="shared" si="7"/>
        <v>1.713615054599097E-2</v>
      </c>
      <c r="G34" s="27">
        <f t="shared" si="7"/>
        <v>2.0764953267476141E-2</v>
      </c>
      <c r="H34" s="27">
        <f t="shared" si="7"/>
        <v>1.5153094843476109E-2</v>
      </c>
      <c r="I34" s="27">
        <f t="shared" si="7"/>
        <v>1.4133927776164356E-2</v>
      </c>
      <c r="J34" s="27">
        <f t="shared" si="7"/>
        <v>1.2004035342227822E-2</v>
      </c>
      <c r="K34" s="27">
        <f t="shared" si="7"/>
        <v>1.0580810555118138E-2</v>
      </c>
      <c r="L34" s="27">
        <f t="shared" si="7"/>
        <v>1.0385827982763709E-2</v>
      </c>
      <c r="M34" s="27">
        <f t="shared" si="7"/>
        <v>1.0484511559749632E-2</v>
      </c>
      <c r="N34" s="27">
        <f t="shared" si="7"/>
        <v>1.011124489011142E-2</v>
      </c>
      <c r="O34" s="27">
        <f t="shared" si="7"/>
        <v>9.6734530318673753E-3</v>
      </c>
    </row>
    <row r="36" spans="3:15" ht="14.25" customHeight="1" x14ac:dyDescent="0.35">
      <c r="G36" s="6">
        <f>+H38+I38</f>
        <v>223026077.98658669</v>
      </c>
      <c r="H36" s="113">
        <f>+'Hot Sale'!N30</f>
        <v>40975787.742224678</v>
      </c>
      <c r="I36" s="6">
        <f>+H36/G36</f>
        <v>0.18372644182304573</v>
      </c>
    </row>
    <row r="37" spans="3:15" ht="14.25" customHeight="1" x14ac:dyDescent="0.35">
      <c r="C37">
        <v>2026</v>
      </c>
      <c r="D37" t="s">
        <v>359</v>
      </c>
      <c r="E37" t="s">
        <v>360</v>
      </c>
      <c r="F37" t="s">
        <v>361</v>
      </c>
      <c r="G37" t="s">
        <v>362</v>
      </c>
      <c r="H37" t="s">
        <v>363</v>
      </c>
      <c r="I37" t="s">
        <v>364</v>
      </c>
      <c r="J37" t="s">
        <v>365</v>
      </c>
      <c r="K37" t="s">
        <v>366</v>
      </c>
      <c r="L37" t="s">
        <v>367</v>
      </c>
      <c r="M37" t="s">
        <v>368</v>
      </c>
      <c r="N37" t="s">
        <v>369</v>
      </c>
      <c r="O37" t="s">
        <v>370</v>
      </c>
    </row>
    <row r="38" spans="3:15" ht="14.25" customHeight="1" x14ac:dyDescent="0.35">
      <c r="C38" t="s">
        <v>379</v>
      </c>
      <c r="D38" s="6">
        <f t="shared" ref="D38:O38" si="8">+D17+D18+D19+D20</f>
        <v>87736761</v>
      </c>
      <c r="E38" s="6">
        <f t="shared" si="8"/>
        <v>79688658</v>
      </c>
      <c r="F38" s="6">
        <f t="shared" si="8"/>
        <v>98337530.345091194</v>
      </c>
      <c r="G38" s="6">
        <f t="shared" si="8"/>
        <v>89891499.326321408</v>
      </c>
      <c r="H38" s="6">
        <f t="shared" si="8"/>
        <v>108975948.52322832</v>
      </c>
      <c r="I38" s="6">
        <f t="shared" si="8"/>
        <v>114050129.46335839</v>
      </c>
      <c r="J38" s="6">
        <f t="shared" si="8"/>
        <v>119218096.66373228</v>
      </c>
      <c r="K38" s="6">
        <f t="shared" si="8"/>
        <v>150548592.67835671</v>
      </c>
      <c r="L38" s="6">
        <f t="shared" si="8"/>
        <v>120859577.25071894</v>
      </c>
      <c r="M38" s="6">
        <f t="shared" si="8"/>
        <v>144264909.79325274</v>
      </c>
      <c r="N38" s="6">
        <f t="shared" si="8"/>
        <v>168346459.80347034</v>
      </c>
      <c r="O38" s="6">
        <f t="shared" si="8"/>
        <v>168081837.15246865</v>
      </c>
    </row>
    <row r="39" spans="3:15" ht="14.25" customHeight="1" x14ac:dyDescent="0.35">
      <c r="C39" t="s">
        <v>380</v>
      </c>
      <c r="D39" s="6">
        <f t="shared" ref="D39:O39" si="9">+D21+D22+D23</f>
        <v>22300000</v>
      </c>
      <c r="E39" s="6">
        <f t="shared" si="9"/>
        <v>14000000</v>
      </c>
      <c r="F39" s="6">
        <f t="shared" si="9"/>
        <v>20200000</v>
      </c>
      <c r="G39" s="6">
        <f t="shared" si="9"/>
        <v>18500000</v>
      </c>
      <c r="H39" s="6">
        <f t="shared" si="9"/>
        <v>30300000</v>
      </c>
      <c r="I39" s="6">
        <f t="shared" si="9"/>
        <v>36650000</v>
      </c>
      <c r="J39" s="6">
        <f t="shared" si="9"/>
        <v>31500000</v>
      </c>
      <c r="K39" s="6">
        <f t="shared" si="9"/>
        <v>41500000</v>
      </c>
      <c r="L39" s="6">
        <f t="shared" si="9"/>
        <v>31700000</v>
      </c>
      <c r="M39" s="6">
        <f t="shared" si="9"/>
        <v>33650000</v>
      </c>
      <c r="N39" s="6">
        <f t="shared" si="9"/>
        <v>54700000</v>
      </c>
      <c r="O39" s="6">
        <f t="shared" si="9"/>
        <v>77000000</v>
      </c>
    </row>
    <row r="40" spans="3:15" ht="14.25" customHeight="1" x14ac:dyDescent="0.35">
      <c r="D40" s="6">
        <f t="shared" ref="D40:O40" si="10">+D39+D38</f>
        <v>110036761</v>
      </c>
      <c r="E40" s="6">
        <f t="shared" si="10"/>
        <v>93688658</v>
      </c>
      <c r="F40" s="6">
        <f t="shared" si="10"/>
        <v>118537530.34509119</v>
      </c>
      <c r="G40" s="6">
        <f t="shared" si="10"/>
        <v>108391499.32632141</v>
      </c>
      <c r="H40" s="6">
        <f t="shared" si="10"/>
        <v>139275948.52322832</v>
      </c>
      <c r="I40" s="6">
        <f t="shared" si="10"/>
        <v>150700129.4633584</v>
      </c>
      <c r="J40" s="6">
        <f t="shared" si="10"/>
        <v>150718096.66373229</v>
      </c>
      <c r="K40" s="6">
        <f t="shared" si="10"/>
        <v>192048592.67835671</v>
      </c>
      <c r="L40" s="6">
        <f t="shared" si="10"/>
        <v>152559577.25071895</v>
      </c>
      <c r="M40" s="6">
        <f t="shared" si="10"/>
        <v>177914909.79325274</v>
      </c>
      <c r="N40" s="6">
        <f t="shared" si="10"/>
        <v>223046459.80347034</v>
      </c>
      <c r="O40" s="6">
        <f t="shared" si="10"/>
        <v>245081837.15246865</v>
      </c>
    </row>
    <row r="41" spans="3:15" ht="14.25" customHeight="1" x14ac:dyDescent="0.35">
      <c r="D41" s="113">
        <f>+D38+E38+F38</f>
        <v>265762949.34509119</v>
      </c>
      <c r="G41" s="113">
        <f>+G38+H38+I38</f>
        <v>312917577.31290811</v>
      </c>
      <c r="H41" s="113"/>
      <c r="J41" s="113">
        <f>+J38+K38+L38</f>
        <v>390626266.59280795</v>
      </c>
      <c r="M41" s="113">
        <f>+M38+N38+O38</f>
        <v>480693206.74919176</v>
      </c>
    </row>
    <row r="43" spans="3:15" ht="14.25" customHeight="1" x14ac:dyDescent="0.35">
      <c r="C43">
        <v>2025</v>
      </c>
      <c r="D43" t="s">
        <v>359</v>
      </c>
      <c r="E43" t="s">
        <v>360</v>
      </c>
      <c r="F43" t="s">
        <v>361</v>
      </c>
      <c r="G43" t="s">
        <v>362</v>
      </c>
      <c r="H43" t="s">
        <v>363</v>
      </c>
      <c r="I43" t="s">
        <v>364</v>
      </c>
      <c r="J43" t="s">
        <v>365</v>
      </c>
      <c r="K43" t="s">
        <v>366</v>
      </c>
      <c r="L43" t="s">
        <v>367</v>
      </c>
      <c r="M43" t="s">
        <v>368</v>
      </c>
      <c r="N43" t="s">
        <v>369</v>
      </c>
      <c r="O43" t="s">
        <v>370</v>
      </c>
    </row>
    <row r="44" spans="3:15" ht="14.25" customHeight="1" x14ac:dyDescent="0.35">
      <c r="C44" t="s">
        <v>379</v>
      </c>
      <c r="D44" s="6">
        <v>68807754</v>
      </c>
      <c r="E44" s="6">
        <v>66647421</v>
      </c>
      <c r="F44" s="6">
        <v>74956560</v>
      </c>
      <c r="G44" s="6">
        <v>68411919</v>
      </c>
      <c r="H44" s="6">
        <v>82916714</v>
      </c>
      <c r="I44" s="6">
        <v>86724420</v>
      </c>
      <c r="J44" s="6">
        <v>90666836</v>
      </c>
      <c r="K44" s="6">
        <v>114536191</v>
      </c>
      <c r="L44" s="6">
        <v>91955259</v>
      </c>
      <c r="M44" s="6">
        <v>109845832</v>
      </c>
      <c r="N44" s="6">
        <v>128149831</v>
      </c>
      <c r="O44" s="6">
        <v>127940905</v>
      </c>
    </row>
    <row r="45" spans="3:15" ht="14.25" customHeight="1" x14ac:dyDescent="0.35">
      <c r="C45" t="s">
        <v>380</v>
      </c>
      <c r="D45" s="6">
        <v>16981168</v>
      </c>
      <c r="E45" s="6">
        <v>10405870</v>
      </c>
      <c r="F45" s="6">
        <v>16790250</v>
      </c>
      <c r="G45" s="6">
        <v>14105872</v>
      </c>
      <c r="H45" s="6">
        <v>23142382</v>
      </c>
      <c r="I45" s="6">
        <v>28014559</v>
      </c>
      <c r="J45" s="6">
        <v>23568511</v>
      </c>
      <c r="K45" s="6">
        <v>29398248</v>
      </c>
      <c r="L45" s="6">
        <v>22388561</v>
      </c>
      <c r="M45" s="6">
        <v>23824538</v>
      </c>
      <c r="N45" s="6">
        <v>38493097</v>
      </c>
      <c r="O45" s="6">
        <v>54351220</v>
      </c>
    </row>
    <row r="46" spans="3:15" ht="14.25" customHeight="1" x14ac:dyDescent="0.35">
      <c r="D46" s="6">
        <f t="shared" ref="D46:O46" si="11">+D45+D44</f>
        <v>85788922</v>
      </c>
      <c r="E46" s="6">
        <f t="shared" si="11"/>
        <v>77053291</v>
      </c>
      <c r="F46" s="6">
        <f t="shared" si="11"/>
        <v>91746810</v>
      </c>
      <c r="G46" s="6">
        <f t="shared" si="11"/>
        <v>82517791</v>
      </c>
      <c r="H46" s="6">
        <f t="shared" si="11"/>
        <v>106059096</v>
      </c>
      <c r="I46" s="6">
        <f t="shared" si="11"/>
        <v>114738979</v>
      </c>
      <c r="J46" s="6">
        <f t="shared" si="11"/>
        <v>114235347</v>
      </c>
      <c r="K46" s="6">
        <f t="shared" si="11"/>
        <v>143934439</v>
      </c>
      <c r="L46" s="6">
        <f t="shared" si="11"/>
        <v>114343820</v>
      </c>
      <c r="M46" s="6">
        <f t="shared" si="11"/>
        <v>133670370</v>
      </c>
      <c r="N46" s="6">
        <f t="shared" si="11"/>
        <v>166642928</v>
      </c>
      <c r="O46" s="6">
        <f t="shared" si="11"/>
        <v>182292125</v>
      </c>
    </row>
    <row r="47" spans="3:15" ht="14.25" customHeight="1" x14ac:dyDescent="0.35">
      <c r="D47" s="320">
        <f t="shared" ref="D47:O47" si="12">+D40/D46-1</f>
        <v>0.2826453396861659</v>
      </c>
      <c r="E47" s="320">
        <f t="shared" si="12"/>
        <v>0.21589430878429328</v>
      </c>
      <c r="F47" s="320">
        <f t="shared" si="12"/>
        <v>0.29200710460768264</v>
      </c>
      <c r="G47" s="320">
        <f t="shared" si="12"/>
        <v>0.3135530897369927</v>
      </c>
      <c r="H47" s="320">
        <f t="shared" si="12"/>
        <v>0.31319192578473709</v>
      </c>
      <c r="I47" s="320">
        <f t="shared" si="12"/>
        <v>0.31341703383432051</v>
      </c>
      <c r="J47" s="320">
        <f t="shared" si="12"/>
        <v>0.31936480801981793</v>
      </c>
      <c r="K47" s="320">
        <f t="shared" si="12"/>
        <v>0.33427825899510188</v>
      </c>
      <c r="L47" s="320">
        <f t="shared" si="12"/>
        <v>0.33421795118196118</v>
      </c>
      <c r="M47" s="320">
        <f>+M40/M46-1</f>
        <v>0.33099736159369297</v>
      </c>
      <c r="N47" s="320">
        <f t="shared" si="12"/>
        <v>0.3384693996943593</v>
      </c>
      <c r="O47" s="320">
        <f t="shared" si="12"/>
        <v>0.34444555491614715</v>
      </c>
    </row>
    <row r="49" spans="1:16" ht="14.25" customHeight="1" x14ac:dyDescent="0.35">
      <c r="D49" s="27">
        <f t="shared" ref="D49:O49" si="13">+D38/D$40</f>
        <v>0.79734045425055722</v>
      </c>
      <c r="E49" s="27">
        <f t="shared" si="13"/>
        <v>0.85056889170085026</v>
      </c>
      <c r="F49" s="27">
        <f t="shared" si="13"/>
        <v>0.82958983588410395</v>
      </c>
      <c r="G49" s="27">
        <f t="shared" si="13"/>
        <v>0.82932240890677</v>
      </c>
      <c r="H49" s="27">
        <f t="shared" si="13"/>
        <v>0.78244628508168734</v>
      </c>
      <c r="I49" s="27">
        <f t="shared" si="13"/>
        <v>0.75680180149472809</v>
      </c>
      <c r="J49" s="27">
        <f t="shared" si="13"/>
        <v>0.79100054540710008</v>
      </c>
      <c r="K49" s="27">
        <f t="shared" si="13"/>
        <v>0.78390885649704156</v>
      </c>
      <c r="L49" s="27">
        <f t="shared" si="13"/>
        <v>0.792212324055515</v>
      </c>
      <c r="M49" s="27">
        <f t="shared" si="13"/>
        <v>0.8108646428840437</v>
      </c>
      <c r="N49" s="27">
        <f t="shared" si="13"/>
        <v>0.75475961354330834</v>
      </c>
      <c r="O49" s="27">
        <f t="shared" si="13"/>
        <v>0.68581923126315847</v>
      </c>
    </row>
    <row r="50" spans="1:16" ht="14.25" customHeight="1" x14ac:dyDescent="0.35">
      <c r="D50" s="27">
        <f t="shared" ref="D50:O50" si="14">+D39/D$40</f>
        <v>0.20265954574944278</v>
      </c>
      <c r="E50" s="27">
        <f t="shared" si="14"/>
        <v>0.14943110829914971</v>
      </c>
      <c r="F50" s="27">
        <f t="shared" si="14"/>
        <v>0.17041016411589607</v>
      </c>
      <c r="G50" s="27">
        <f t="shared" si="14"/>
        <v>0.17067759109323</v>
      </c>
      <c r="H50" s="27">
        <f t="shared" si="14"/>
        <v>0.21755371491831263</v>
      </c>
      <c r="I50" s="27">
        <f t="shared" si="14"/>
        <v>0.24319819850527183</v>
      </c>
      <c r="J50" s="27">
        <f t="shared" si="14"/>
        <v>0.20899945459289981</v>
      </c>
      <c r="K50" s="27">
        <f t="shared" si="14"/>
        <v>0.21609114350295847</v>
      </c>
      <c r="L50" s="27">
        <f t="shared" si="14"/>
        <v>0.20778767594448491</v>
      </c>
      <c r="M50" s="27">
        <f t="shared" si="14"/>
        <v>0.18913535711595625</v>
      </c>
      <c r="N50" s="27">
        <f t="shared" si="14"/>
        <v>0.24524038645669161</v>
      </c>
      <c r="O50" s="27">
        <f t="shared" si="14"/>
        <v>0.31418076873684148</v>
      </c>
    </row>
    <row r="52" spans="1:16" ht="14.25" customHeight="1" x14ac:dyDescent="0.35">
      <c r="H52">
        <f>+SUM('BD MF'!I148:I154)</f>
        <v>13667430.60980162</v>
      </c>
    </row>
    <row r="53" spans="1:16" ht="14.25" customHeight="1" x14ac:dyDescent="0.35">
      <c r="H53" s="6">
        <f>+H39-H52</f>
        <v>16632569.39019838</v>
      </c>
    </row>
    <row r="59" spans="1:16" ht="14.25" customHeight="1" x14ac:dyDescent="0.35">
      <c r="C59" t="s">
        <v>381</v>
      </c>
      <c r="D59" s="321" t="s">
        <v>342</v>
      </c>
      <c r="E59" s="321" t="s">
        <v>343</v>
      </c>
      <c r="F59" s="321" t="s">
        <v>344</v>
      </c>
      <c r="G59" t="s">
        <v>362</v>
      </c>
      <c r="H59" t="s">
        <v>363</v>
      </c>
      <c r="I59" t="s">
        <v>364</v>
      </c>
      <c r="J59" t="s">
        <v>365</v>
      </c>
      <c r="K59" t="s">
        <v>366</v>
      </c>
      <c r="L59" t="s">
        <v>367</v>
      </c>
      <c r="M59" t="s">
        <v>368</v>
      </c>
      <c r="N59" t="s">
        <v>369</v>
      </c>
      <c r="O59" t="s">
        <v>370</v>
      </c>
      <c r="P59" t="s">
        <v>258</v>
      </c>
    </row>
    <row r="60" spans="1:16" ht="14.25" customHeight="1" x14ac:dyDescent="0.35">
      <c r="A60">
        <f>+B60*0.91</f>
        <v>228027383.22</v>
      </c>
      <c r="B60" s="113">
        <f>+D60+E60+F60</f>
        <v>250579542</v>
      </c>
      <c r="C60" s="322" t="s">
        <v>353</v>
      </c>
      <c r="D60" s="113">
        <f>+SUM('BD MF'!K4:K34)</f>
        <v>76507428</v>
      </c>
      <c r="E60" s="113">
        <f>+SUM('BD MF'!K35:K62)</f>
        <v>76555335</v>
      </c>
      <c r="F60" s="113">
        <f>+SUM('BD MF'!K63:K93)</f>
        <v>97516779</v>
      </c>
      <c r="G60" s="6">
        <v>85451247.625192001</v>
      </c>
      <c r="H60" s="6">
        <v>103696576.160097</v>
      </c>
      <c r="I60" s="6">
        <v>108286652.58976699</v>
      </c>
      <c r="J60" s="6">
        <v>113564325.48241299</v>
      </c>
      <c r="K60" s="6">
        <v>142877108.36054599</v>
      </c>
      <c r="L60" s="6">
        <v>115742126.65528201</v>
      </c>
      <c r="M60" s="6">
        <v>136668981.97096699</v>
      </c>
      <c r="N60" s="6">
        <v>160585319.92501101</v>
      </c>
      <c r="O60" s="6">
        <v>160602417.931445</v>
      </c>
      <c r="P60" s="113">
        <f t="shared" ref="P60:P69" si="15">+SUM(D60:O60)</f>
        <v>1378054298.7007198</v>
      </c>
    </row>
    <row r="61" spans="1:16" ht="14.25" customHeight="1" x14ac:dyDescent="0.35">
      <c r="A61" s="205">
        <f>+A60/SUM(D69:F69)</f>
        <v>0.72747779552167335</v>
      </c>
      <c r="C61" s="322" t="s">
        <v>354</v>
      </c>
      <c r="D61" s="113">
        <f>+SUM('BD MF'!Q$4:Q$34)</f>
        <v>76679</v>
      </c>
      <c r="E61" s="113">
        <f>+SUM('BD MF'!Q$35:Q$62)</f>
        <v>72850</v>
      </c>
      <c r="F61" s="113">
        <f>+SUM('BD MF'!Q$63:Q$93)</f>
        <v>73259</v>
      </c>
      <c r="G61" s="6">
        <v>543289.16116364696</v>
      </c>
      <c r="H61" s="6">
        <v>460698.01598698902</v>
      </c>
      <c r="I61" s="6">
        <v>532987.24006410199</v>
      </c>
      <c r="J61" s="6">
        <v>434740.12025818502</v>
      </c>
      <c r="K61" s="6">
        <v>407615.92449251801</v>
      </c>
      <c r="L61" s="6">
        <v>283821.84563066298</v>
      </c>
      <c r="M61" s="6">
        <v>245607.110410586</v>
      </c>
      <c r="N61" s="6">
        <v>275092.41052786697</v>
      </c>
      <c r="O61" s="6">
        <v>257766.560285746</v>
      </c>
      <c r="P61" s="113">
        <f t="shared" si="15"/>
        <v>3664406.3888203027</v>
      </c>
    </row>
    <row r="62" spans="1:16" ht="14.25" customHeight="1" x14ac:dyDescent="0.35">
      <c r="C62" s="322" t="s">
        <v>355</v>
      </c>
      <c r="D62" s="113">
        <f>+SUM('BD MF'!S$4:S$34)</f>
        <v>1755083</v>
      </c>
      <c r="E62" s="113">
        <f>+SUM('BD MF'!S$35:S$62)</f>
        <v>2159419</v>
      </c>
      <c r="F62" s="113">
        <f>+SUM('BD MF'!S$63:S$93)</f>
        <v>2871257</v>
      </c>
      <c r="G62" s="6">
        <v>2573658.9184749802</v>
      </c>
      <c r="H62" s="6">
        <v>3628049.4795010602</v>
      </c>
      <c r="I62" s="6">
        <v>4151500.5808941</v>
      </c>
      <c r="J62" s="6">
        <v>4222672.9355347101</v>
      </c>
      <c r="K62" s="6">
        <v>6078558.1793413898</v>
      </c>
      <c r="L62" s="6">
        <v>3862223.81604143</v>
      </c>
      <c r="M62" s="6">
        <v>6083380.7078921497</v>
      </c>
      <c r="N62" s="6">
        <v>6058947.5970031498</v>
      </c>
      <c r="O62" s="6">
        <v>5853487.46381927</v>
      </c>
      <c r="P62" s="113">
        <f t="shared" si="15"/>
        <v>49298238.678502239</v>
      </c>
    </row>
    <row r="63" spans="1:16" ht="14.25" customHeight="1" x14ac:dyDescent="0.35">
      <c r="C63" s="322" t="s">
        <v>356</v>
      </c>
      <c r="D63" s="113">
        <f>+SUM('BD MF'!O$4:O$34)</f>
        <v>824753</v>
      </c>
      <c r="E63" s="113">
        <f>+SUM('BD MF'!O$35:O$62)</f>
        <v>660652</v>
      </c>
      <c r="F63" s="113">
        <f>+SUM('BD MF'!O$63:O$93)</f>
        <v>908500</v>
      </c>
      <c r="G63" s="6">
        <v>1323303.62149078</v>
      </c>
      <c r="H63" s="6">
        <v>1190624.8676432599</v>
      </c>
      <c r="I63" s="6">
        <v>1078989.0526332001</v>
      </c>
      <c r="J63" s="6">
        <v>996358.12552639004</v>
      </c>
      <c r="K63" s="6">
        <v>1185310.21397682</v>
      </c>
      <c r="L63" s="6">
        <v>971404.93376484595</v>
      </c>
      <c r="M63" s="6">
        <v>1266940.0039830101</v>
      </c>
      <c r="N63" s="6">
        <v>1427099.8709283201</v>
      </c>
      <c r="O63" s="6">
        <v>1368165.1969186401</v>
      </c>
      <c r="P63" s="113">
        <f t="shared" si="15"/>
        <v>13202100.886865266</v>
      </c>
    </row>
    <row r="64" spans="1:16" ht="14.25" customHeight="1" x14ac:dyDescent="0.35">
      <c r="C64" s="322" t="s">
        <v>266</v>
      </c>
      <c r="D64" s="113">
        <f>+SUM('BD MF'!M$4:M$34)</f>
        <v>859456</v>
      </c>
      <c r="E64" s="113">
        <f>+SUM('BD MF'!M$35:M$62)</f>
        <v>687494</v>
      </c>
      <c r="F64" s="113">
        <f>+SUM('BD MF'!M$63:M$93)</f>
        <v>768946</v>
      </c>
      <c r="P64" s="113">
        <f t="shared" si="15"/>
        <v>2315896</v>
      </c>
    </row>
    <row r="65" spans="3:16" ht="14.25" customHeight="1" x14ac:dyDescent="0.35">
      <c r="C65" s="322" t="s">
        <v>357</v>
      </c>
      <c r="D65" s="113">
        <f>+SUM('BD MF'!U$4:U$34)+SUM('BD MF'!W4:W34)</f>
        <v>18259012</v>
      </c>
      <c r="E65" s="113">
        <f>+SUM('BD MF'!U$35:U$62)+SUM('BD MF'!W35:W62)</f>
        <v>13077512</v>
      </c>
      <c r="F65" s="113">
        <f>+SUM('BD MF'!U$63:U$93)+SUM('BD MF'!W63:W93)</f>
        <v>16780327</v>
      </c>
      <c r="G65" s="318">
        <v>17000000</v>
      </c>
      <c r="H65" s="318">
        <v>28000000</v>
      </c>
      <c r="I65" s="318">
        <v>34000000</v>
      </c>
      <c r="J65" s="6">
        <v>28000000</v>
      </c>
      <c r="K65" s="6">
        <v>37000000</v>
      </c>
      <c r="L65" s="6">
        <v>28000000</v>
      </c>
      <c r="M65" s="6">
        <v>30000000</v>
      </c>
      <c r="N65" s="6">
        <v>48000000</v>
      </c>
      <c r="O65" s="6">
        <v>68800000</v>
      </c>
      <c r="P65" s="113">
        <f t="shared" si="15"/>
        <v>366916851</v>
      </c>
    </row>
    <row r="66" spans="3:16" ht="14.25" customHeight="1" x14ac:dyDescent="0.35">
      <c r="C66" s="322" t="s">
        <v>336</v>
      </c>
      <c r="D66" s="113">
        <f>+SUM('BD MF'!Y4:Y34)+SUM('BD MF'!AA4:AA34)</f>
        <v>1341295</v>
      </c>
      <c r="E66" s="113">
        <f>+SUM('BD MF'!Y35:Y62)+SUM('BD MF'!AA35:AA62)</f>
        <v>721812</v>
      </c>
      <c r="F66" s="113">
        <f>+SUM('BD MF'!Y63:Y93)+SUM('BD MF'!AA63:AA93)</f>
        <v>678829</v>
      </c>
      <c r="G66" s="318">
        <v>1000000</v>
      </c>
      <c r="H66" s="318">
        <v>1300000</v>
      </c>
      <c r="I66" s="6">
        <v>1650000</v>
      </c>
      <c r="J66" s="6">
        <v>1600000</v>
      </c>
      <c r="K66" s="6">
        <v>2000000</v>
      </c>
      <c r="L66" s="6">
        <v>1700000</v>
      </c>
      <c r="M66" s="6">
        <v>1750000</v>
      </c>
      <c r="N66" s="6">
        <v>3200000</v>
      </c>
      <c r="O66" s="6">
        <v>4000000</v>
      </c>
      <c r="P66" s="113">
        <f t="shared" si="15"/>
        <v>20941936</v>
      </c>
    </row>
    <row r="67" spans="3:16" ht="14.25" customHeight="1" x14ac:dyDescent="0.35">
      <c r="C67" s="322" t="s">
        <v>338</v>
      </c>
      <c r="D67" s="113">
        <f>+SUM('BD MF'!AC4:AC34)</f>
        <v>209323</v>
      </c>
      <c r="E67" s="113">
        <f>+SUM('BD MF'!AC35:AC62)</f>
        <v>46537</v>
      </c>
      <c r="F67" s="113">
        <f>+SUM('BD MF'!AC63:AC93)</f>
        <v>11330</v>
      </c>
      <c r="G67" s="318">
        <v>500000</v>
      </c>
      <c r="H67" s="6">
        <v>1000000</v>
      </c>
      <c r="I67" s="6">
        <v>1000000</v>
      </c>
      <c r="J67" s="6">
        <v>1900000</v>
      </c>
      <c r="K67" s="6">
        <v>2500000</v>
      </c>
      <c r="L67" s="6">
        <v>2000000</v>
      </c>
      <c r="M67" s="6">
        <v>1900000</v>
      </c>
      <c r="N67" s="6">
        <v>3500000</v>
      </c>
      <c r="O67" s="6">
        <v>4200000</v>
      </c>
      <c r="P67" s="113">
        <f t="shared" si="15"/>
        <v>18767190</v>
      </c>
    </row>
    <row r="68" spans="3:16" ht="14.25" customHeight="1" x14ac:dyDescent="0.35">
      <c r="C68" s="322" t="s">
        <v>339</v>
      </c>
      <c r="D68" s="113">
        <f>+SUM('BD MF'!AE4:AE34)</f>
        <v>9472</v>
      </c>
      <c r="E68" s="113">
        <f>+SUM('BD MF'!AE35:AE62)</f>
        <v>5081</v>
      </c>
      <c r="F68" s="113">
        <f>+SUM('BD MF'!AE63:AE93)</f>
        <v>10849</v>
      </c>
      <c r="P68" s="113">
        <f t="shared" si="15"/>
        <v>25402</v>
      </c>
    </row>
    <row r="69" spans="3:16" ht="14.25" customHeight="1" x14ac:dyDescent="0.35">
      <c r="D69" s="113">
        <f t="shared" ref="D69:O69" si="16">+SUM(D60:D68)</f>
        <v>99842501</v>
      </c>
      <c r="E69" s="113">
        <f t="shared" si="16"/>
        <v>93986692</v>
      </c>
      <c r="F69" s="113">
        <f t="shared" si="16"/>
        <v>119620076</v>
      </c>
      <c r="G69" s="113">
        <f t="shared" si="16"/>
        <v>108391499.32632141</v>
      </c>
      <c r="H69" s="113">
        <f t="shared" si="16"/>
        <v>139275948.52322832</v>
      </c>
      <c r="I69" s="113">
        <f t="shared" si="16"/>
        <v>150700129.4633584</v>
      </c>
      <c r="J69" s="113">
        <f t="shared" si="16"/>
        <v>150718096.66373229</v>
      </c>
      <c r="K69" s="113">
        <f t="shared" si="16"/>
        <v>192048592.67835671</v>
      </c>
      <c r="L69" s="113">
        <f t="shared" si="16"/>
        <v>152559577.25071895</v>
      </c>
      <c r="M69" s="113">
        <f t="shared" si="16"/>
        <v>177914909.79325274</v>
      </c>
      <c r="N69" s="113">
        <f t="shared" si="16"/>
        <v>223046459.80347034</v>
      </c>
      <c r="O69" s="113">
        <f t="shared" si="16"/>
        <v>245081837.15246865</v>
      </c>
      <c r="P69" s="113">
        <f t="shared" si="15"/>
        <v>1853186319.6549077</v>
      </c>
    </row>
    <row r="72" spans="3:16" ht="14.25" customHeight="1" x14ac:dyDescent="0.35">
      <c r="D72" s="113"/>
    </row>
    <row r="73" spans="3:16" ht="14.25" customHeight="1" x14ac:dyDescent="0.35">
      <c r="C73" t="s">
        <v>382</v>
      </c>
      <c r="D73" s="321" t="s">
        <v>342</v>
      </c>
      <c r="E73" s="321" t="s">
        <v>343</v>
      </c>
      <c r="F73" s="321" t="s">
        <v>344</v>
      </c>
      <c r="G73" s="321" t="s">
        <v>383</v>
      </c>
    </row>
    <row r="74" spans="3:16" ht="14.25" customHeight="1" x14ac:dyDescent="0.35">
      <c r="C74" t="s">
        <v>384</v>
      </c>
      <c r="D74" s="27">
        <f>+SUM(D60:D64)/SUM(D17:D20)</f>
        <v>0.91208517487897689</v>
      </c>
      <c r="E74" s="27">
        <f>+SUM(E60:E64)/SUM(E17:E20)</f>
        <v>1.0056104847442655</v>
      </c>
      <c r="F74" s="27">
        <f>+SUM(F60:F64)/SUM(F17:F20)</f>
        <v>1.0386547297005466</v>
      </c>
      <c r="G74" s="27">
        <f>+SUM(D60:F64)/SUM(D17:F20)</f>
        <v>0.98696184192104275</v>
      </c>
      <c r="P74" s="27"/>
    </row>
    <row r="75" spans="3:16" ht="14.25" customHeight="1" x14ac:dyDescent="0.35">
      <c r="C75" t="s">
        <v>267</v>
      </c>
      <c r="D75" s="27">
        <f>+SUM(D65:D68)/SUM(D21:D23)</f>
        <v>0.88874896860986552</v>
      </c>
      <c r="E75" s="27">
        <f>+SUM(E65:E68)/SUM(E21:E23)</f>
        <v>0.98935300000000004</v>
      </c>
      <c r="F75" s="27">
        <f>+SUM(F65:F68)/SUM(F21:F23)</f>
        <v>0.86541262376237627</v>
      </c>
      <c r="G75" s="27">
        <f>+SUM(D65:F68)/SUM(D21:F23)</f>
        <v>0.90533414159292036</v>
      </c>
      <c r="P75" s="27"/>
    </row>
    <row r="76" spans="3:16" ht="14.25" customHeight="1" x14ac:dyDescent="0.35">
      <c r="C76" s="322" t="s">
        <v>357</v>
      </c>
      <c r="D76" s="27">
        <f t="shared" ref="D76:F78" si="17">+D65/D21</f>
        <v>0.91295059999999995</v>
      </c>
      <c r="E76" s="27">
        <f t="shared" si="17"/>
        <v>1.04620096</v>
      </c>
      <c r="F76" s="27">
        <f t="shared" si="17"/>
        <v>0.89734368983957224</v>
      </c>
      <c r="G76" s="27">
        <f>+SUM(D65:F65)/SUM(D21:F21)</f>
        <v>0.93978224609375005</v>
      </c>
      <c r="P76" s="27"/>
    </row>
    <row r="77" spans="3:16" ht="14.25" customHeight="1" x14ac:dyDescent="0.35">
      <c r="C77" s="322" t="s">
        <v>336</v>
      </c>
      <c r="D77" s="27">
        <f t="shared" si="17"/>
        <v>0.74516388888888885</v>
      </c>
      <c r="E77" s="27">
        <f t="shared" si="17"/>
        <v>0.72181200000000001</v>
      </c>
      <c r="F77" s="27">
        <f t="shared" si="17"/>
        <v>0.67882900000000002</v>
      </c>
      <c r="G77" s="27">
        <f>+SUM(D66:F66)/SUM(D22:F22)</f>
        <v>0.72156210526315789</v>
      </c>
      <c r="P77" s="27"/>
    </row>
    <row r="78" spans="3:16" ht="14.25" customHeight="1" x14ac:dyDescent="0.35">
      <c r="C78" s="322" t="s">
        <v>338</v>
      </c>
      <c r="D78" s="27">
        <f t="shared" si="17"/>
        <v>0.41864600000000002</v>
      </c>
      <c r="E78" s="27">
        <f t="shared" si="17"/>
        <v>9.3074000000000004E-2</v>
      </c>
      <c r="F78" s="27">
        <f t="shared" si="17"/>
        <v>2.266E-2</v>
      </c>
      <c r="G78" s="27">
        <f>+SUM(D67:F67)/SUM(D23:F23)</f>
        <v>0.17812666666666666</v>
      </c>
      <c r="P78" s="27"/>
    </row>
    <row r="84" spans="3:16" ht="14.25" customHeight="1" x14ac:dyDescent="0.35">
      <c r="C84" t="s">
        <v>385</v>
      </c>
      <c r="D84" s="321" t="s">
        <v>342</v>
      </c>
      <c r="E84" s="321" t="s">
        <v>343</v>
      </c>
      <c r="F84" s="321" t="s">
        <v>344</v>
      </c>
      <c r="G84" s="321" t="s">
        <v>362</v>
      </c>
      <c r="H84" t="s">
        <v>363</v>
      </c>
      <c r="I84" t="s">
        <v>364</v>
      </c>
      <c r="J84" t="s">
        <v>365</v>
      </c>
      <c r="K84" t="s">
        <v>366</v>
      </c>
      <c r="L84" t="s">
        <v>367</v>
      </c>
      <c r="M84" t="s">
        <v>368</v>
      </c>
      <c r="N84" t="s">
        <v>369</v>
      </c>
      <c r="O84" t="s">
        <v>370</v>
      </c>
      <c r="P84" t="s">
        <v>258</v>
      </c>
    </row>
    <row r="85" spans="3:16" ht="14.25" customHeight="1" x14ac:dyDescent="0.35">
      <c r="C85" t="s">
        <v>353</v>
      </c>
      <c r="D85" s="113">
        <v>76507428</v>
      </c>
      <c r="E85" s="113">
        <v>76555335</v>
      </c>
      <c r="F85" s="113">
        <v>97516779</v>
      </c>
      <c r="G85" s="113">
        <v>84946793</v>
      </c>
      <c r="H85" s="113">
        <v>103696576.160097</v>
      </c>
      <c r="I85" s="113">
        <v>108286652.58976699</v>
      </c>
      <c r="J85" s="113">
        <v>113564325.48241299</v>
      </c>
      <c r="K85" s="113">
        <v>142877108.36054599</v>
      </c>
      <c r="L85" s="113">
        <v>115742126.65528201</v>
      </c>
      <c r="M85" s="113">
        <v>136668981.97096699</v>
      </c>
      <c r="N85" s="113">
        <v>160585319.92501101</v>
      </c>
      <c r="O85" s="113">
        <v>160602417.931445</v>
      </c>
      <c r="P85" s="113">
        <v>1378054298.7007201</v>
      </c>
    </row>
    <row r="86" spans="3:16" ht="14.25" customHeight="1" x14ac:dyDescent="0.35">
      <c r="C86" t="s">
        <v>354</v>
      </c>
      <c r="D86" s="113">
        <v>76679</v>
      </c>
      <c r="E86" s="113">
        <v>72850</v>
      </c>
      <c r="F86" s="113">
        <v>73259</v>
      </c>
      <c r="G86" s="113">
        <v>60436</v>
      </c>
      <c r="H86" s="113">
        <v>460698.01598698902</v>
      </c>
      <c r="I86" s="113">
        <v>532987.24006410199</v>
      </c>
      <c r="J86" s="113">
        <v>434740.12025818502</v>
      </c>
      <c r="K86" s="113">
        <v>407615.92449251801</v>
      </c>
      <c r="L86" s="113">
        <v>283821.84563066298</v>
      </c>
      <c r="M86" s="113">
        <v>245607.110410586</v>
      </c>
      <c r="N86" s="113">
        <v>275092.41052786697</v>
      </c>
      <c r="O86" s="113">
        <v>257766.560285746</v>
      </c>
      <c r="P86" s="113">
        <v>3664406.3888202999</v>
      </c>
    </row>
    <row r="87" spans="3:16" ht="14.25" customHeight="1" x14ac:dyDescent="0.35">
      <c r="C87" t="s">
        <v>355</v>
      </c>
      <c r="D87" s="113">
        <v>1755083</v>
      </c>
      <c r="E87" s="113">
        <v>2159419</v>
      </c>
      <c r="F87" s="113">
        <v>2871257</v>
      </c>
      <c r="G87" s="113">
        <v>2278366</v>
      </c>
      <c r="H87" s="113">
        <v>3628049.4795010602</v>
      </c>
      <c r="I87" s="113">
        <v>4151500.5808941</v>
      </c>
      <c r="J87" s="113">
        <v>4222672.9355347101</v>
      </c>
      <c r="K87" s="113">
        <v>6078558.1793413898</v>
      </c>
      <c r="L87" s="113">
        <v>3862223.81604143</v>
      </c>
      <c r="M87" s="113">
        <v>6083380.7078921497</v>
      </c>
      <c r="N87" s="113">
        <v>6058947.5970031498</v>
      </c>
      <c r="O87" s="113">
        <v>5853487.46381927</v>
      </c>
      <c r="P87" s="113">
        <v>49298238.678502202</v>
      </c>
    </row>
    <row r="88" spans="3:16" ht="14.25" customHeight="1" x14ac:dyDescent="0.35">
      <c r="C88" t="s">
        <v>356</v>
      </c>
      <c r="D88" s="113">
        <v>824753</v>
      </c>
      <c r="E88" s="113">
        <v>660652</v>
      </c>
      <c r="F88" s="113">
        <v>908500</v>
      </c>
      <c r="G88" s="113">
        <v>799584</v>
      </c>
      <c r="H88" s="113">
        <v>1190624.8676432599</v>
      </c>
      <c r="I88" s="113">
        <v>1078989.0526332001</v>
      </c>
      <c r="J88" s="113">
        <v>996358.12552639004</v>
      </c>
      <c r="K88" s="113">
        <v>1185310.21397682</v>
      </c>
      <c r="L88" s="113">
        <v>971404.93376484595</v>
      </c>
      <c r="M88" s="113">
        <v>1266940.0039830101</v>
      </c>
      <c r="N88" s="113">
        <v>1427099.8709283201</v>
      </c>
      <c r="O88" s="113">
        <v>1368165.1969186401</v>
      </c>
      <c r="P88" s="113">
        <v>13202100.886865299</v>
      </c>
    </row>
    <row r="89" spans="3:16" ht="14.25" customHeight="1" x14ac:dyDescent="0.35">
      <c r="C89" t="s">
        <v>266</v>
      </c>
      <c r="D89" s="113">
        <v>859456</v>
      </c>
      <c r="E89" s="113">
        <v>687494</v>
      </c>
      <c r="F89" s="113">
        <v>768946</v>
      </c>
      <c r="G89" s="113">
        <v>653598</v>
      </c>
      <c r="H89" s="113"/>
      <c r="I89" s="113"/>
      <c r="J89" s="113"/>
      <c r="K89" s="113"/>
      <c r="L89" s="113"/>
      <c r="M89" s="113"/>
      <c r="N89" s="113"/>
      <c r="O89" s="113"/>
      <c r="P89" s="113">
        <v>2315896</v>
      </c>
    </row>
    <row r="90" spans="3:16" ht="14.25" customHeight="1" x14ac:dyDescent="0.35">
      <c r="C90" t="s">
        <v>357</v>
      </c>
      <c r="D90" s="113">
        <v>18259012</v>
      </c>
      <c r="E90" s="113">
        <v>13077512</v>
      </c>
      <c r="F90" s="113">
        <v>16780327</v>
      </c>
      <c r="G90" s="113">
        <v>12709659</v>
      </c>
      <c r="H90" s="113">
        <v>28000000</v>
      </c>
      <c r="I90" s="113">
        <v>34000000</v>
      </c>
      <c r="J90" s="113">
        <v>28000000</v>
      </c>
      <c r="K90" s="113">
        <v>37000000</v>
      </c>
      <c r="L90" s="113">
        <v>28000000</v>
      </c>
      <c r="M90" s="113">
        <v>30000000</v>
      </c>
      <c r="N90" s="113">
        <v>48000000</v>
      </c>
      <c r="O90" s="113">
        <v>68800000</v>
      </c>
      <c r="P90" s="113">
        <v>366916851</v>
      </c>
    </row>
    <row r="91" spans="3:16" ht="14.25" customHeight="1" x14ac:dyDescent="0.35">
      <c r="C91" t="s">
        <v>336</v>
      </c>
      <c r="D91" s="113">
        <v>1341295</v>
      </c>
      <c r="E91" s="113">
        <v>721812</v>
      </c>
      <c r="F91" s="113">
        <v>678829</v>
      </c>
      <c r="G91" s="113">
        <v>748850</v>
      </c>
      <c r="H91" s="113">
        <v>1300000</v>
      </c>
      <c r="I91" s="113">
        <v>1650000</v>
      </c>
      <c r="J91" s="113">
        <v>1600000</v>
      </c>
      <c r="K91" s="113">
        <v>2000000</v>
      </c>
      <c r="L91" s="113">
        <v>1700000</v>
      </c>
      <c r="M91" s="113">
        <v>1750000</v>
      </c>
      <c r="N91" s="113">
        <v>3200000</v>
      </c>
      <c r="O91" s="113">
        <v>4000000</v>
      </c>
      <c r="P91" s="113">
        <v>20941936</v>
      </c>
    </row>
    <row r="92" spans="3:16" ht="14.25" customHeight="1" x14ac:dyDescent="0.35">
      <c r="C92" t="s">
        <v>338</v>
      </c>
      <c r="D92" s="113">
        <v>209323</v>
      </c>
      <c r="E92" s="113">
        <v>46537</v>
      </c>
      <c r="F92" s="113">
        <v>11330</v>
      </c>
      <c r="G92" s="113">
        <v>71884</v>
      </c>
      <c r="H92" s="113">
        <v>1000000</v>
      </c>
      <c r="I92" s="113">
        <v>1000000</v>
      </c>
      <c r="J92" s="113">
        <v>1900000</v>
      </c>
      <c r="K92" s="113">
        <v>2500000</v>
      </c>
      <c r="L92" s="113">
        <v>2000000</v>
      </c>
      <c r="M92" s="113">
        <v>1900000</v>
      </c>
      <c r="N92" s="113">
        <v>3500000</v>
      </c>
      <c r="O92" s="113">
        <v>4200000</v>
      </c>
      <c r="P92" s="113">
        <v>18667190</v>
      </c>
    </row>
    <row r="93" spans="3:16" ht="14.25" customHeight="1" x14ac:dyDescent="0.35">
      <c r="C93" t="s">
        <v>339</v>
      </c>
      <c r="D93" s="113">
        <v>9472</v>
      </c>
      <c r="E93" s="113">
        <v>5081</v>
      </c>
      <c r="F93" s="113">
        <v>10849</v>
      </c>
      <c r="G93" s="113">
        <v>58923</v>
      </c>
      <c r="H93" s="113"/>
      <c r="I93" s="113"/>
      <c r="J93" s="113"/>
      <c r="K93" s="113"/>
      <c r="L93" s="113"/>
      <c r="M93" s="113"/>
      <c r="N93" s="113"/>
      <c r="O93" s="113"/>
      <c r="P93" s="113">
        <v>25402</v>
      </c>
    </row>
    <row r="94" spans="3:16" ht="14.25" customHeight="1" x14ac:dyDescent="0.35">
      <c r="D94" s="113">
        <f t="shared" ref="D94:P94" si="18">+SUM(D85:D93)</f>
        <v>99842501</v>
      </c>
      <c r="E94" s="113">
        <f t="shared" si="18"/>
        <v>93986692</v>
      </c>
      <c r="F94" s="113">
        <f t="shared" si="18"/>
        <v>119620076</v>
      </c>
      <c r="G94" s="113">
        <f t="shared" si="18"/>
        <v>102328093</v>
      </c>
      <c r="H94" s="113">
        <f t="shared" si="18"/>
        <v>139275948.52322832</v>
      </c>
      <c r="I94" s="113">
        <f t="shared" si="18"/>
        <v>150700129.4633584</v>
      </c>
      <c r="J94" s="113">
        <f t="shared" si="18"/>
        <v>150718096.66373229</v>
      </c>
      <c r="K94" s="113">
        <f t="shared" si="18"/>
        <v>192048592.67835671</v>
      </c>
      <c r="L94" s="113">
        <f t="shared" si="18"/>
        <v>152559577.25071895</v>
      </c>
      <c r="M94" s="113">
        <f t="shared" si="18"/>
        <v>177914909.79325274</v>
      </c>
      <c r="N94" s="113">
        <f t="shared" si="18"/>
        <v>223046459.80347034</v>
      </c>
      <c r="O94" s="113">
        <f t="shared" si="18"/>
        <v>245081837.15246865</v>
      </c>
      <c r="P94" s="113">
        <f t="shared" si="18"/>
        <v>1853086319.6549079</v>
      </c>
    </row>
    <row r="95" spans="3:16" ht="14.25" customHeight="1" x14ac:dyDescent="0.35">
      <c r="E95" s="282">
        <f t="shared" ref="E95:P95" si="19">+E94/D94-1</f>
        <v>-5.8650463894128646E-2</v>
      </c>
      <c r="F95" s="282">
        <f t="shared" si="19"/>
        <v>0.27273418666549087</v>
      </c>
      <c r="G95" s="282">
        <f t="shared" si="19"/>
        <v>-0.14455753229917689</v>
      </c>
      <c r="H95" s="282">
        <f t="shared" si="19"/>
        <v>0.36107245273522603</v>
      </c>
      <c r="I95" s="282">
        <f t="shared" si="19"/>
        <v>8.2025511664167716E-2</v>
      </c>
      <c r="J95" s="282">
        <f t="shared" si="19"/>
        <v>1.1922485028947882E-4</v>
      </c>
      <c r="K95" s="282">
        <f t="shared" si="19"/>
        <v>0.27422384524160393</v>
      </c>
      <c r="L95" s="282">
        <f t="shared" si="19"/>
        <v>-0.20561991565214965</v>
      </c>
      <c r="M95" s="282">
        <f t="shared" si="19"/>
        <v>0.16619954642942147</v>
      </c>
      <c r="N95" s="282">
        <f t="shared" si="19"/>
        <v>0.25366929653429859</v>
      </c>
      <c r="O95" s="282">
        <f t="shared" si="19"/>
        <v>9.8792768862657754E-2</v>
      </c>
      <c r="P95" s="282">
        <f t="shared" si="19"/>
        <v>6.561092005777966</v>
      </c>
    </row>
    <row r="97" spans="2:16" ht="15" customHeight="1" x14ac:dyDescent="0.35">
      <c r="B97" t="s">
        <v>386</v>
      </c>
      <c r="C97" s="323" t="s">
        <v>382</v>
      </c>
      <c r="D97" s="324" t="s">
        <v>342</v>
      </c>
      <c r="E97" s="324" t="s">
        <v>343</v>
      </c>
      <c r="F97" s="324" t="s">
        <v>344</v>
      </c>
      <c r="G97" s="324" t="s">
        <v>362</v>
      </c>
      <c r="H97" s="324" t="s">
        <v>383</v>
      </c>
    </row>
    <row r="98" spans="2:16" ht="14.25" customHeight="1" x14ac:dyDescent="0.35">
      <c r="C98" s="325" t="s">
        <v>384</v>
      </c>
      <c r="D98" s="326">
        <f>+SUM(D85:D89)/SUM(D17:D20)</f>
        <v>0.91208517487897689</v>
      </c>
      <c r="E98" s="326">
        <f>+SUM(E85:E89)/SUM(E17:E20)</f>
        <v>1.0056104847442655</v>
      </c>
      <c r="F98" s="326">
        <f>+SUM(F85:F89)/SUM(F17:F20)</f>
        <v>1.0386547297005466</v>
      </c>
      <c r="G98" s="326">
        <f>+SUM(G85:G89)/SUM(G17:G20)</f>
        <v>0.98717651463196943</v>
      </c>
      <c r="H98" s="327">
        <f>+SUM(D85:G89)/SUM(D17:G20)</f>
        <v>0.98701610035059917</v>
      </c>
    </row>
    <row r="99" spans="2:16" ht="15" customHeight="1" x14ac:dyDescent="0.35">
      <c r="C99" s="328" t="s">
        <v>267</v>
      </c>
      <c r="D99" s="329">
        <f>+SUM(D90:D93)/SUM(D21:D23)</f>
        <v>0.88874896860986552</v>
      </c>
      <c r="E99" s="329">
        <f>+SUM(E90:E93)/SUM(E21:E23)</f>
        <v>0.98935300000000004</v>
      </c>
      <c r="F99" s="329">
        <f>+SUM(F90:F93)/SUM(F21:F23)</f>
        <v>0.86541262376237627</v>
      </c>
      <c r="G99" s="329">
        <f>+SUM(G90:G93)/SUM(G21:G23)</f>
        <v>0.73455762162162164</v>
      </c>
      <c r="H99" s="330">
        <f>+SUM(D90:G93)/SUM(D21:G23)</f>
        <v>0.86320926666666664</v>
      </c>
    </row>
    <row r="100" spans="2:16" ht="14.25" customHeight="1" x14ac:dyDescent="0.35">
      <c r="C100" s="331" t="s">
        <v>357</v>
      </c>
      <c r="D100" s="326">
        <f t="shared" ref="D100:G102" si="20">+D90/D21</f>
        <v>0.91295059999999995</v>
      </c>
      <c r="E100" s="326">
        <f t="shared" si="20"/>
        <v>1.04620096</v>
      </c>
      <c r="F100" s="326">
        <f t="shared" si="20"/>
        <v>0.89734368983957224</v>
      </c>
      <c r="G100" s="326">
        <f t="shared" si="20"/>
        <v>0.74762700000000004</v>
      </c>
      <c r="H100" s="327">
        <f>+SUM(D90:G90)/SUM(D21:G21)</f>
        <v>0.89188431085043984</v>
      </c>
    </row>
    <row r="101" spans="2:16" ht="14.25" customHeight="1" x14ac:dyDescent="0.35">
      <c r="C101" s="332" t="s">
        <v>336</v>
      </c>
      <c r="D101" s="1">
        <f t="shared" si="20"/>
        <v>0.74516388888888885</v>
      </c>
      <c r="E101" s="1">
        <f t="shared" si="20"/>
        <v>0.72181200000000001</v>
      </c>
      <c r="F101" s="1">
        <f t="shared" si="20"/>
        <v>0.67882900000000002</v>
      </c>
      <c r="G101" s="1">
        <f t="shared" si="20"/>
        <v>0.74885000000000002</v>
      </c>
      <c r="H101" s="333">
        <f>+SUM(D91:G91)/SUM(D22:G22)</f>
        <v>0.72724708333333332</v>
      </c>
    </row>
    <row r="102" spans="2:16" ht="15" customHeight="1" x14ac:dyDescent="0.35">
      <c r="C102" s="334" t="s">
        <v>338</v>
      </c>
      <c r="D102" s="329">
        <f t="shared" si="20"/>
        <v>0.41864600000000002</v>
      </c>
      <c r="E102" s="329">
        <f t="shared" si="20"/>
        <v>9.3074000000000004E-2</v>
      </c>
      <c r="F102" s="329">
        <f t="shared" si="20"/>
        <v>2.266E-2</v>
      </c>
      <c r="G102" s="329">
        <f t="shared" si="20"/>
        <v>0.14376800000000001</v>
      </c>
      <c r="H102" s="330">
        <f>+SUM(D92:G92)/SUM(D23:G23)</f>
        <v>0.16953699999999999</v>
      </c>
    </row>
    <row r="103" spans="2:16" ht="15" customHeight="1" x14ac:dyDescent="0.35">
      <c r="C103" s="335" t="s">
        <v>258</v>
      </c>
      <c r="D103" s="336">
        <f>+D94/D24</f>
        <v>0.90735586991696349</v>
      </c>
      <c r="E103" s="336">
        <f>+E94/E24</f>
        <v>1.0031811107807735</v>
      </c>
      <c r="F103" s="336">
        <f>+F94/F24</f>
        <v>1.0091325139958396</v>
      </c>
      <c r="G103" s="336">
        <f>+G94/G24</f>
        <v>0.94406013050832494</v>
      </c>
      <c r="H103" s="337">
        <f>+SUM(D94:G94)/SUM(D24:G24)</f>
        <v>0.9654547010548501</v>
      </c>
    </row>
    <row r="108" spans="2:16" ht="14.25" customHeight="1" x14ac:dyDescent="0.35">
      <c r="C108" t="s">
        <v>387</v>
      </c>
      <c r="D108" t="s">
        <v>342</v>
      </c>
      <c r="E108" t="s">
        <v>343</v>
      </c>
      <c r="F108" t="s">
        <v>344</v>
      </c>
      <c r="G108" t="s">
        <v>345</v>
      </c>
      <c r="H108" t="s">
        <v>302</v>
      </c>
      <c r="I108" t="s">
        <v>346</v>
      </c>
      <c r="J108" t="s">
        <v>347</v>
      </c>
      <c r="K108" t="s">
        <v>348</v>
      </c>
      <c r="L108" t="s">
        <v>349</v>
      </c>
      <c r="M108" t="s">
        <v>350</v>
      </c>
      <c r="N108" t="s">
        <v>351</v>
      </c>
      <c r="O108" t="s">
        <v>352</v>
      </c>
      <c r="P108" t="s">
        <v>258</v>
      </c>
    </row>
    <row r="109" spans="2:16" ht="14.25" customHeight="1" x14ac:dyDescent="0.35">
      <c r="C109" t="s">
        <v>353</v>
      </c>
      <c r="D109" s="113">
        <v>76507428</v>
      </c>
      <c r="E109" s="113">
        <v>76555335</v>
      </c>
      <c r="F109" s="113">
        <v>97516779</v>
      </c>
      <c r="G109" s="113">
        <v>84946793</v>
      </c>
      <c r="H109" s="113">
        <f>+SUM('BD MF'!K124:K154)</f>
        <v>94288932</v>
      </c>
      <c r="I109" s="113">
        <f t="shared" ref="I109:O112" si="21">+I85</f>
        <v>108286652.58976699</v>
      </c>
      <c r="J109" s="113">
        <f t="shared" si="21"/>
        <v>113564325.48241299</v>
      </c>
      <c r="K109" s="113">
        <f t="shared" si="21"/>
        <v>142877108.36054599</v>
      </c>
      <c r="L109" s="113">
        <f t="shared" si="21"/>
        <v>115742126.65528201</v>
      </c>
      <c r="M109" s="113">
        <f t="shared" si="21"/>
        <v>136668981.97096699</v>
      </c>
      <c r="N109" s="113">
        <f t="shared" si="21"/>
        <v>160585319.92501101</v>
      </c>
      <c r="O109" s="113">
        <f t="shared" si="21"/>
        <v>160602417.931445</v>
      </c>
      <c r="P109" s="113">
        <f t="shared" ref="P109:P117" si="22">+SUM(D109:O109)</f>
        <v>1368142199.915431</v>
      </c>
    </row>
    <row r="110" spans="2:16" ht="14.25" customHeight="1" x14ac:dyDescent="0.35">
      <c r="C110" t="s">
        <v>354</v>
      </c>
      <c r="D110" s="113">
        <v>76679</v>
      </c>
      <c r="E110" s="113">
        <v>72850</v>
      </c>
      <c r="F110" s="113">
        <v>73259</v>
      </c>
      <c r="G110" s="113">
        <v>60436</v>
      </c>
      <c r="H110" s="113">
        <f>+SUM('BD MF'!Q124:Q154)</f>
        <v>86712</v>
      </c>
      <c r="I110" s="113">
        <f t="shared" si="21"/>
        <v>532987.24006410199</v>
      </c>
      <c r="J110" s="113">
        <f t="shared" si="21"/>
        <v>434740.12025818502</v>
      </c>
      <c r="K110" s="113">
        <f t="shared" si="21"/>
        <v>407615.92449251801</v>
      </c>
      <c r="L110" s="113">
        <f t="shared" si="21"/>
        <v>283821.84563066298</v>
      </c>
      <c r="M110" s="113">
        <f t="shared" si="21"/>
        <v>245607.110410586</v>
      </c>
      <c r="N110" s="113">
        <f t="shared" si="21"/>
        <v>275092.41052786697</v>
      </c>
      <c r="O110" s="113">
        <f t="shared" si="21"/>
        <v>257766.560285746</v>
      </c>
      <c r="P110" s="113">
        <f t="shared" si="22"/>
        <v>2807567.2116696672</v>
      </c>
    </row>
    <row r="111" spans="2:16" ht="14.25" customHeight="1" x14ac:dyDescent="0.35">
      <c r="C111" t="s">
        <v>355</v>
      </c>
      <c r="D111" s="113">
        <v>1755083</v>
      </c>
      <c r="E111" s="113">
        <v>2159419</v>
      </c>
      <c r="F111" s="113">
        <v>2871257</v>
      </c>
      <c r="G111" s="113">
        <v>2278366</v>
      </c>
      <c r="H111" s="113">
        <f>+SUM('BD MF'!S124:S154)</f>
        <v>2472615</v>
      </c>
      <c r="I111" s="113">
        <f t="shared" si="21"/>
        <v>4151500.5808941</v>
      </c>
      <c r="J111" s="113">
        <f t="shared" si="21"/>
        <v>4222672.9355347101</v>
      </c>
      <c r="K111" s="113">
        <f t="shared" si="21"/>
        <v>6078558.1793413898</v>
      </c>
      <c r="L111" s="113">
        <f t="shared" si="21"/>
        <v>3862223.81604143</v>
      </c>
      <c r="M111" s="113">
        <f t="shared" si="21"/>
        <v>6083380.7078921497</v>
      </c>
      <c r="N111" s="113">
        <f t="shared" si="21"/>
        <v>6058947.5970031498</v>
      </c>
      <c r="O111" s="113">
        <f t="shared" si="21"/>
        <v>5853487.46381927</v>
      </c>
      <c r="P111" s="113">
        <f t="shared" si="22"/>
        <v>47847511.280526198</v>
      </c>
    </row>
    <row r="112" spans="2:16" ht="14.25" customHeight="1" x14ac:dyDescent="0.35">
      <c r="C112" t="s">
        <v>356</v>
      </c>
      <c r="D112" s="113">
        <v>824753</v>
      </c>
      <c r="E112" s="113">
        <v>660652</v>
      </c>
      <c r="F112" s="113">
        <v>908500</v>
      </c>
      <c r="G112" s="113">
        <v>799584</v>
      </c>
      <c r="H112" s="113">
        <f>+SUM('BD MF'!O124:O154)</f>
        <v>632168</v>
      </c>
      <c r="I112" s="113">
        <f t="shared" si="21"/>
        <v>1078989.0526332001</v>
      </c>
      <c r="J112" s="113">
        <f t="shared" si="21"/>
        <v>996358.12552639004</v>
      </c>
      <c r="K112" s="113">
        <f t="shared" si="21"/>
        <v>1185310.21397682</v>
      </c>
      <c r="L112" s="113">
        <f t="shared" si="21"/>
        <v>971404.93376484595</v>
      </c>
      <c r="M112" s="113">
        <f t="shared" si="21"/>
        <v>1266940.0039830101</v>
      </c>
      <c r="N112" s="113">
        <f t="shared" si="21"/>
        <v>1427099.8709283201</v>
      </c>
      <c r="O112" s="113">
        <f t="shared" si="21"/>
        <v>1368165.1969186401</v>
      </c>
      <c r="P112" s="113">
        <f t="shared" si="22"/>
        <v>12119924.397731226</v>
      </c>
    </row>
    <row r="113" spans="3:16" ht="14.25" customHeight="1" x14ac:dyDescent="0.35">
      <c r="C113" t="s">
        <v>266</v>
      </c>
      <c r="D113" s="113">
        <v>859456</v>
      </c>
      <c r="E113" s="113">
        <v>687494</v>
      </c>
      <c r="F113" s="113">
        <v>768946</v>
      </c>
      <c r="G113" s="113">
        <v>653598</v>
      </c>
      <c r="H113" s="113">
        <f>+SUM('BD MF'!M124:M154)</f>
        <v>756439</v>
      </c>
      <c r="I113" s="338">
        <f t="shared" ref="I113:O113" si="23">+H113*I119+H113</f>
        <v>958767.89066930162</v>
      </c>
      <c r="J113" s="338">
        <f t="shared" si="23"/>
        <v>958882.19962752901</v>
      </c>
      <c r="K113" s="338">
        <f t="shared" si="23"/>
        <v>1221830.5635431174</v>
      </c>
      <c r="L113" s="338">
        <f t="shared" si="23"/>
        <v>970597.86612616316</v>
      </c>
      <c r="M113" s="338">
        <f t="shared" si="23"/>
        <v>1131910.7912416959</v>
      </c>
      <c r="N113" s="338">
        <f t="shared" si="23"/>
        <v>1419041.8053955582</v>
      </c>
      <c r="O113" s="338">
        <f t="shared" si="23"/>
        <v>1559232.8744824501</v>
      </c>
      <c r="P113" s="113">
        <f t="shared" si="22"/>
        <v>11946196.991085816</v>
      </c>
    </row>
    <row r="114" spans="3:16" ht="14.25" customHeight="1" x14ac:dyDescent="0.35">
      <c r="C114" t="s">
        <v>357</v>
      </c>
      <c r="D114" s="113">
        <v>18259012</v>
      </c>
      <c r="E114" s="113">
        <v>13077512</v>
      </c>
      <c r="F114" s="113">
        <v>16780327</v>
      </c>
      <c r="G114" s="113">
        <v>12709659</v>
      </c>
      <c r="H114" s="113">
        <f>+SUM('BD MF'!U124:U154)+SUM('BD MF'!W124:W154)</f>
        <v>19547253</v>
      </c>
      <c r="I114" s="113">
        <f t="shared" ref="I114:O118" si="24">+I90</f>
        <v>34000000</v>
      </c>
      <c r="J114" s="113">
        <f t="shared" si="24"/>
        <v>28000000</v>
      </c>
      <c r="K114" s="113">
        <f t="shared" si="24"/>
        <v>37000000</v>
      </c>
      <c r="L114" s="113">
        <f t="shared" si="24"/>
        <v>28000000</v>
      </c>
      <c r="M114" s="113">
        <f t="shared" si="24"/>
        <v>30000000</v>
      </c>
      <c r="N114" s="113">
        <f t="shared" si="24"/>
        <v>48000000</v>
      </c>
      <c r="O114" s="113">
        <f t="shared" si="24"/>
        <v>68800000</v>
      </c>
      <c r="P114" s="113">
        <f t="shared" si="22"/>
        <v>354173763</v>
      </c>
    </row>
    <row r="115" spans="3:16" ht="14.25" customHeight="1" x14ac:dyDescent="0.35">
      <c r="C115" t="s">
        <v>336</v>
      </c>
      <c r="D115" s="113">
        <v>1341295</v>
      </c>
      <c r="E115" s="113">
        <v>721812</v>
      </c>
      <c r="F115" s="113">
        <v>678829</v>
      </c>
      <c r="G115" s="113">
        <v>748850</v>
      </c>
      <c r="H115" s="113">
        <f>+SUM('BD MF'!Y124:Y154)+SUM('BD MF'!AA124:AA154)</f>
        <v>929627</v>
      </c>
      <c r="I115" s="113">
        <f t="shared" si="24"/>
        <v>1650000</v>
      </c>
      <c r="J115" s="113">
        <f t="shared" si="24"/>
        <v>1600000</v>
      </c>
      <c r="K115" s="113">
        <f t="shared" si="24"/>
        <v>2000000</v>
      </c>
      <c r="L115" s="113">
        <f t="shared" si="24"/>
        <v>1700000</v>
      </c>
      <c r="M115" s="113">
        <f t="shared" si="24"/>
        <v>1750000</v>
      </c>
      <c r="N115" s="113">
        <f t="shared" si="24"/>
        <v>3200000</v>
      </c>
      <c r="O115" s="113">
        <f t="shared" si="24"/>
        <v>4000000</v>
      </c>
      <c r="P115" s="113">
        <f t="shared" si="22"/>
        <v>20320413</v>
      </c>
    </row>
    <row r="116" spans="3:16" ht="14.25" customHeight="1" x14ac:dyDescent="0.35">
      <c r="C116" t="s">
        <v>338</v>
      </c>
      <c r="D116" s="113">
        <v>209323</v>
      </c>
      <c r="E116" s="113">
        <v>46537</v>
      </c>
      <c r="F116" s="113">
        <v>11330</v>
      </c>
      <c r="G116" s="113">
        <v>71884</v>
      </c>
      <c r="H116" s="113">
        <f>+SUM('BD MF'!AC124:AC154)</f>
        <v>78948</v>
      </c>
      <c r="I116" s="113">
        <f t="shared" si="24"/>
        <v>1000000</v>
      </c>
      <c r="J116" s="113">
        <f t="shared" si="24"/>
        <v>1900000</v>
      </c>
      <c r="K116" s="113">
        <f t="shared" si="24"/>
        <v>2500000</v>
      </c>
      <c r="L116" s="113">
        <f t="shared" si="24"/>
        <v>2000000</v>
      </c>
      <c r="M116" s="113">
        <f t="shared" si="24"/>
        <v>1900000</v>
      </c>
      <c r="N116" s="113">
        <f t="shared" si="24"/>
        <v>3500000</v>
      </c>
      <c r="O116" s="113">
        <f t="shared" si="24"/>
        <v>4200000</v>
      </c>
      <c r="P116" s="113">
        <f t="shared" si="22"/>
        <v>17418022</v>
      </c>
    </row>
    <row r="117" spans="3:16" ht="14.25" customHeight="1" x14ac:dyDescent="0.35">
      <c r="C117" t="s">
        <v>339</v>
      </c>
      <c r="D117" s="113">
        <v>9472</v>
      </c>
      <c r="E117" s="113">
        <v>5081</v>
      </c>
      <c r="F117" s="113">
        <v>10849</v>
      </c>
      <c r="G117" s="113">
        <v>58923</v>
      </c>
      <c r="H117" s="113">
        <f>+SUM('BD MF'!AE124:AE154)</f>
        <v>105171</v>
      </c>
      <c r="I117" s="113">
        <f t="shared" si="24"/>
        <v>0</v>
      </c>
      <c r="J117" s="113">
        <f t="shared" si="24"/>
        <v>0</v>
      </c>
      <c r="K117" s="113">
        <f t="shared" si="24"/>
        <v>0</v>
      </c>
      <c r="L117" s="113">
        <f t="shared" si="24"/>
        <v>0</v>
      </c>
      <c r="M117" s="113">
        <f t="shared" si="24"/>
        <v>0</v>
      </c>
      <c r="N117" s="113">
        <f t="shared" si="24"/>
        <v>0</v>
      </c>
      <c r="O117" s="113">
        <f t="shared" si="24"/>
        <v>0</v>
      </c>
      <c r="P117" s="113">
        <f t="shared" si="22"/>
        <v>189496</v>
      </c>
    </row>
    <row r="118" spans="3:16" ht="14.25" customHeight="1" x14ac:dyDescent="0.35">
      <c r="D118" s="113">
        <f>+SUM(D109:D117)</f>
        <v>99842501</v>
      </c>
      <c r="E118" s="113">
        <f>+SUM(E109:E117)</f>
        <v>93986692</v>
      </c>
      <c r="F118" s="113">
        <f>+SUM(F109:F117)</f>
        <v>119620076</v>
      </c>
      <c r="G118" s="113">
        <f>+SUM(G109:G117)</f>
        <v>102328093</v>
      </c>
      <c r="H118" s="113">
        <f>+SUM(H109:H117)</f>
        <v>118897865</v>
      </c>
      <c r="I118" s="113">
        <f t="shared" si="24"/>
        <v>150700129.4633584</v>
      </c>
      <c r="J118" s="113">
        <f t="shared" si="24"/>
        <v>150718096.66373229</v>
      </c>
      <c r="K118" s="113">
        <f t="shared" si="24"/>
        <v>192048592.67835671</v>
      </c>
      <c r="L118" s="113">
        <f t="shared" si="24"/>
        <v>152559577.25071895</v>
      </c>
      <c r="M118" s="113">
        <f t="shared" si="24"/>
        <v>177914909.79325274</v>
      </c>
      <c r="N118" s="113">
        <f t="shared" si="24"/>
        <v>223046459.80347034</v>
      </c>
      <c r="O118" s="113">
        <f t="shared" si="24"/>
        <v>245081837.15246865</v>
      </c>
    </row>
    <row r="119" spans="3:16" ht="14.25" customHeight="1" x14ac:dyDescent="0.35">
      <c r="C119" t="s">
        <v>388</v>
      </c>
      <c r="E119" s="27">
        <v>-5.8650463894128702E-2</v>
      </c>
      <c r="F119" s="27">
        <v>0.27273418666549099</v>
      </c>
      <c r="G119" s="27">
        <v>-0.14455753229917701</v>
      </c>
      <c r="H119" s="27">
        <f t="shared" ref="H119:O119" si="25">+H118/G118-1</f>
        <v>0.16192788817045578</v>
      </c>
      <c r="I119" s="27">
        <f t="shared" si="25"/>
        <v>0.26747548800273591</v>
      </c>
      <c r="J119" s="27">
        <f t="shared" si="25"/>
        <v>1.1922485028947882E-4</v>
      </c>
      <c r="K119" s="27">
        <f t="shared" si="25"/>
        <v>0.27422384524160393</v>
      </c>
      <c r="L119" s="27">
        <f t="shared" si="25"/>
        <v>-0.20561991565214965</v>
      </c>
      <c r="M119" s="27">
        <f t="shared" si="25"/>
        <v>0.16619954642942147</v>
      </c>
      <c r="N119" s="27">
        <f t="shared" si="25"/>
        <v>0.25366929653429859</v>
      </c>
      <c r="O119" s="27">
        <f t="shared" si="25"/>
        <v>9.8792768862657754E-2</v>
      </c>
    </row>
    <row r="120" spans="3:16" ht="14.25" customHeight="1" x14ac:dyDescent="0.35">
      <c r="C120" t="s">
        <v>389</v>
      </c>
      <c r="D120" s="27">
        <f>+D118/D24-1</f>
        <v>-9.2644130083036513E-2</v>
      </c>
      <c r="E120" s="27">
        <f>+E118/E24-1</f>
        <v>3.1811107807735439E-3</v>
      </c>
      <c r="F120" s="27">
        <f>+F118/F24-1</f>
        <v>9.1325139958395862E-3</v>
      </c>
      <c r="G120" s="27">
        <f>+G118/G24-1</f>
        <v>-5.5939869491675065E-2</v>
      </c>
      <c r="H120" s="27">
        <f>+H118/H24-1</f>
        <v>-0.14631444796679793</v>
      </c>
    </row>
    <row r="121" spans="3:16" ht="14.25" customHeight="1" x14ac:dyDescent="0.35">
      <c r="E121" s="282"/>
      <c r="F121" s="282"/>
      <c r="G121" s="282"/>
      <c r="H121" s="282"/>
    </row>
    <row r="122" spans="3:16" ht="15" customHeight="1" x14ac:dyDescent="0.35"/>
    <row r="123" spans="3:16" ht="15" customHeight="1" x14ac:dyDescent="0.35">
      <c r="C123" s="331" t="s">
        <v>382</v>
      </c>
      <c r="D123" s="339" t="s">
        <v>342</v>
      </c>
      <c r="E123" s="339" t="s">
        <v>343</v>
      </c>
      <c r="F123" s="339" t="s">
        <v>344</v>
      </c>
      <c r="G123" s="339" t="s">
        <v>362</v>
      </c>
      <c r="H123" s="339" t="s">
        <v>302</v>
      </c>
      <c r="I123" s="340" t="s">
        <v>383</v>
      </c>
    </row>
    <row r="124" spans="3:16" ht="14.25" customHeight="1" x14ac:dyDescent="0.35">
      <c r="C124" s="325" t="s">
        <v>384</v>
      </c>
      <c r="D124" s="326">
        <f>+SUM(D109:D113)/SUM(D$17:D$20)</f>
        <v>0.91208517487897689</v>
      </c>
      <c r="E124" s="326">
        <f>+SUM(E109:E113)/SUM(E$17:E$20)</f>
        <v>1.0056104847442655</v>
      </c>
      <c r="F124" s="326">
        <f>+SUM(F109:F113)/SUM(F$17:F$20)</f>
        <v>1.0386547297005466</v>
      </c>
      <c r="G124" s="326">
        <f>+SUM(G109:G113)/SUM(G$17:G$20)</f>
        <v>0.98717651463196943</v>
      </c>
      <c r="H124" s="326">
        <f>+SUM(H109:H113)/SUM(H$17:H$20)</f>
        <v>0.90145456250890743</v>
      </c>
      <c r="I124" s="341">
        <f>+SUM(D109:H113)/SUM(D17:H20)</f>
        <v>0.96694821456503277</v>
      </c>
    </row>
    <row r="125" spans="3:16" ht="15" customHeight="1" x14ac:dyDescent="0.35">
      <c r="C125" s="328" t="s">
        <v>267</v>
      </c>
      <c r="D125" s="329">
        <f>+SUM(D114:D117)/SUM(D$21:D$23)</f>
        <v>0.88874896860986552</v>
      </c>
      <c r="E125" s="329">
        <f>+SUM(E114:E117)/SUM(E$21:E$23)</f>
        <v>0.98935300000000004</v>
      </c>
      <c r="F125" s="329">
        <f>+SUM(F114:F117)/SUM(F$21:F$23)</f>
        <v>0.86541262376237627</v>
      </c>
      <c r="G125" s="329">
        <f>+SUM(G114:G117)/SUM(G$21:G$23)</f>
        <v>0.73455762162162164</v>
      </c>
      <c r="H125" s="329">
        <f>+SUM(H114:H117)/SUM(H$21:H$23)</f>
        <v>0.68188115511551151</v>
      </c>
      <c r="I125" s="342">
        <f>+SUM(D114:H117)/SUM(D21:H23)</f>
        <v>0.81103223171889838</v>
      </c>
    </row>
    <row r="126" spans="3:16" ht="15" customHeight="1" x14ac:dyDescent="0.35">
      <c r="C126" s="335" t="s">
        <v>258</v>
      </c>
      <c r="D126" s="336">
        <f>+D118/D$24</f>
        <v>0.90735586991696349</v>
      </c>
      <c r="E126" s="336">
        <f>+E118/E$24</f>
        <v>1.0031811107807735</v>
      </c>
      <c r="F126" s="336">
        <f>+F118/F$24</f>
        <v>1.0091325139958396</v>
      </c>
      <c r="G126" s="336">
        <f>+G118/G$24</f>
        <v>0.94406013050832494</v>
      </c>
      <c r="H126" s="336">
        <f>+H118/H$24</f>
        <v>0.85368555203320207</v>
      </c>
      <c r="I126" s="343">
        <f>+SUM(D118:H118)/SUM(D24:H24)</f>
        <v>0.93814127063905184</v>
      </c>
    </row>
    <row r="130" spans="2:16" ht="14.25" customHeight="1" x14ac:dyDescent="0.35">
      <c r="B130" s="284"/>
    </row>
    <row r="131" spans="2:16" ht="14.25" customHeight="1" x14ac:dyDescent="0.35">
      <c r="C131" t="s">
        <v>390</v>
      </c>
      <c r="D131" t="s">
        <v>342</v>
      </c>
      <c r="E131" t="s">
        <v>343</v>
      </c>
      <c r="F131" t="s">
        <v>344</v>
      </c>
      <c r="G131" t="s">
        <v>345</v>
      </c>
      <c r="H131" t="s">
        <v>302</v>
      </c>
      <c r="I131" t="s">
        <v>346</v>
      </c>
      <c r="J131" t="s">
        <v>347</v>
      </c>
      <c r="K131" t="s">
        <v>348</v>
      </c>
      <c r="L131" t="s">
        <v>349</v>
      </c>
      <c r="M131" t="s">
        <v>350</v>
      </c>
      <c r="N131" t="s">
        <v>351</v>
      </c>
      <c r="O131" t="s">
        <v>352</v>
      </c>
      <c r="P131" t="s">
        <v>258</v>
      </c>
    </row>
    <row r="132" spans="2:16" ht="14.25" customHeight="1" x14ac:dyDescent="0.35">
      <c r="C132" t="s">
        <v>353</v>
      </c>
      <c r="D132" s="113">
        <v>76507428</v>
      </c>
      <c r="E132" s="113">
        <v>76555335</v>
      </c>
      <c r="F132" s="113">
        <v>97516779</v>
      </c>
      <c r="G132" s="113">
        <v>84946793</v>
      </c>
      <c r="H132" s="113">
        <v>94288932</v>
      </c>
      <c r="I132" s="113">
        <f>+SUM('BD MF'!K$155:K$184)</f>
        <v>97249818</v>
      </c>
      <c r="J132" s="113">
        <f t="shared" ref="J132:O135" si="26">+J109</f>
        <v>113564325.48241299</v>
      </c>
      <c r="K132" s="113">
        <f t="shared" si="26"/>
        <v>142877108.36054599</v>
      </c>
      <c r="L132" s="113">
        <f t="shared" si="26"/>
        <v>115742126.65528201</v>
      </c>
      <c r="M132" s="113">
        <f t="shared" si="26"/>
        <v>136668981.97096699</v>
      </c>
      <c r="N132" s="113">
        <f t="shared" si="26"/>
        <v>160585319.92501101</v>
      </c>
      <c r="O132" s="113">
        <f t="shared" si="26"/>
        <v>160602417.931445</v>
      </c>
      <c r="P132" s="113">
        <f t="shared" ref="P132:P140" si="27">+SUM(D132:O132)</f>
        <v>1357105365.325664</v>
      </c>
    </row>
    <row r="133" spans="2:16" ht="14.25" customHeight="1" x14ac:dyDescent="0.35">
      <c r="C133" t="s">
        <v>354</v>
      </c>
      <c r="D133" s="113">
        <v>76679</v>
      </c>
      <c r="E133" s="113">
        <v>72850</v>
      </c>
      <c r="F133" s="113">
        <v>73259</v>
      </c>
      <c r="G133" s="113">
        <v>60436</v>
      </c>
      <c r="H133" s="113">
        <v>86712</v>
      </c>
      <c r="I133" s="113">
        <f>+SUM('BD MF'!Q$155:Q$184)</f>
        <v>104106</v>
      </c>
      <c r="J133" s="113">
        <f t="shared" si="26"/>
        <v>434740.12025818502</v>
      </c>
      <c r="K133" s="113">
        <f t="shared" si="26"/>
        <v>407615.92449251801</v>
      </c>
      <c r="L133" s="113">
        <f t="shared" si="26"/>
        <v>283821.84563066298</v>
      </c>
      <c r="M133" s="113">
        <f t="shared" si="26"/>
        <v>245607.110410586</v>
      </c>
      <c r="N133" s="113">
        <f t="shared" si="26"/>
        <v>275092.41052786697</v>
      </c>
      <c r="O133" s="113">
        <f t="shared" si="26"/>
        <v>257766.560285746</v>
      </c>
      <c r="P133" s="113">
        <f t="shared" si="27"/>
        <v>2378685.9716055649</v>
      </c>
    </row>
    <row r="134" spans="2:16" ht="14.25" customHeight="1" x14ac:dyDescent="0.35">
      <c r="C134" t="s">
        <v>355</v>
      </c>
      <c r="D134" s="113">
        <v>1755083</v>
      </c>
      <c r="E134" s="113">
        <v>2159419</v>
      </c>
      <c r="F134" s="113">
        <v>2871257</v>
      </c>
      <c r="G134" s="113">
        <v>2278366</v>
      </c>
      <c r="H134" s="113">
        <v>2472615</v>
      </c>
      <c r="I134" s="113">
        <f>+SUM('BD MF'!S$155:S$184)</f>
        <v>2740552</v>
      </c>
      <c r="J134" s="113">
        <f t="shared" si="26"/>
        <v>4222672.9355347101</v>
      </c>
      <c r="K134" s="113">
        <f t="shared" si="26"/>
        <v>6078558.1793413898</v>
      </c>
      <c r="L134" s="113">
        <f t="shared" si="26"/>
        <v>3862223.81604143</v>
      </c>
      <c r="M134" s="113">
        <f t="shared" si="26"/>
        <v>6083380.7078921497</v>
      </c>
      <c r="N134" s="113">
        <f t="shared" si="26"/>
        <v>6058947.5970031498</v>
      </c>
      <c r="O134" s="113">
        <f t="shared" si="26"/>
        <v>5853487.46381927</v>
      </c>
      <c r="P134" s="113">
        <f t="shared" si="27"/>
        <v>46436562.699632101</v>
      </c>
    </row>
    <row r="135" spans="2:16" ht="14.25" customHeight="1" x14ac:dyDescent="0.35">
      <c r="C135" t="s">
        <v>356</v>
      </c>
      <c r="D135" s="113">
        <v>824753</v>
      </c>
      <c r="E135" s="113">
        <v>660652</v>
      </c>
      <c r="F135" s="113">
        <v>908500</v>
      </c>
      <c r="G135" s="113">
        <v>799584</v>
      </c>
      <c r="H135" s="113">
        <v>632168</v>
      </c>
      <c r="I135" s="113">
        <f>+SUM('BD MF'!O$155:O$184)</f>
        <v>754232</v>
      </c>
      <c r="J135" s="113">
        <f t="shared" si="26"/>
        <v>996358.12552639004</v>
      </c>
      <c r="K135" s="113">
        <f t="shared" si="26"/>
        <v>1185310.21397682</v>
      </c>
      <c r="L135" s="113">
        <f t="shared" si="26"/>
        <v>971404.93376484595</v>
      </c>
      <c r="M135" s="113">
        <f t="shared" si="26"/>
        <v>1266940.0039830101</v>
      </c>
      <c r="N135" s="113">
        <f t="shared" si="26"/>
        <v>1427099.8709283201</v>
      </c>
      <c r="O135" s="113">
        <f t="shared" si="26"/>
        <v>1368165.1969186401</v>
      </c>
      <c r="P135" s="113">
        <f t="shared" si="27"/>
        <v>11795167.345098026</v>
      </c>
    </row>
    <row r="136" spans="2:16" ht="14.25" customHeight="1" x14ac:dyDescent="0.35">
      <c r="C136" t="s">
        <v>266</v>
      </c>
      <c r="D136" s="113">
        <v>859456</v>
      </c>
      <c r="E136" s="113">
        <v>687494</v>
      </c>
      <c r="F136" s="113">
        <v>768946</v>
      </c>
      <c r="G136" s="113">
        <v>653598</v>
      </c>
      <c r="H136" s="113">
        <v>756439</v>
      </c>
      <c r="I136" s="113">
        <f>+SUM('BD MF'!M$155:M$184)</f>
        <v>930194</v>
      </c>
      <c r="J136" s="338">
        <f t="shared" ref="J136:O136" si="28">+I136*J142+I136</f>
        <v>1127550.5328770755</v>
      </c>
      <c r="K136" s="338">
        <f t="shared" si="28"/>
        <v>1436751.7757068467</v>
      </c>
      <c r="L136" s="338">
        <f t="shared" si="28"/>
        <v>1141326.9967729286</v>
      </c>
      <c r="M136" s="338">
        <f t="shared" si="28"/>
        <v>1331015.0259642431</v>
      </c>
      <c r="N136" s="338">
        <f t="shared" si="28"/>
        <v>1668652.6712771738</v>
      </c>
      <c r="O136" s="338">
        <f t="shared" si="28"/>
        <v>1833503.488942716</v>
      </c>
      <c r="P136" s="113">
        <f t="shared" si="27"/>
        <v>13194927.491540983</v>
      </c>
    </row>
    <row r="137" spans="2:16" ht="14.25" customHeight="1" x14ac:dyDescent="0.35">
      <c r="C137" t="s">
        <v>357</v>
      </c>
      <c r="D137" s="113">
        <v>18259012</v>
      </c>
      <c r="E137" s="113">
        <v>13077512</v>
      </c>
      <c r="F137" s="113">
        <v>16780327</v>
      </c>
      <c r="G137" s="113">
        <v>12709659</v>
      </c>
      <c r="H137" s="113">
        <v>19547253</v>
      </c>
      <c r="I137" s="113">
        <f>+SUM('BD MF'!U155:U184)+SUM('BD MF'!W155:W184)</f>
        <v>21278896</v>
      </c>
      <c r="J137" s="113">
        <f t="shared" ref="J137:O141" si="29">+J114</f>
        <v>28000000</v>
      </c>
      <c r="K137" s="113">
        <f t="shared" si="29"/>
        <v>37000000</v>
      </c>
      <c r="L137" s="113">
        <f t="shared" si="29"/>
        <v>28000000</v>
      </c>
      <c r="M137" s="113">
        <f t="shared" si="29"/>
        <v>30000000</v>
      </c>
      <c r="N137" s="113">
        <f t="shared" si="29"/>
        <v>48000000</v>
      </c>
      <c r="O137" s="113">
        <f t="shared" si="29"/>
        <v>68800000</v>
      </c>
      <c r="P137" s="113">
        <f t="shared" si="27"/>
        <v>341452659</v>
      </c>
    </row>
    <row r="138" spans="2:16" ht="14.25" customHeight="1" x14ac:dyDescent="0.35">
      <c r="C138" t="s">
        <v>336</v>
      </c>
      <c r="D138" s="113">
        <v>1341295</v>
      </c>
      <c r="E138" s="113">
        <v>721812</v>
      </c>
      <c r="F138" s="113">
        <v>678829</v>
      </c>
      <c r="G138" s="113">
        <v>748850</v>
      </c>
      <c r="H138" s="113">
        <v>929627</v>
      </c>
      <c r="I138" s="113">
        <f>+SUM('BD MF'!Y155:Y184)+SUM('BD MF'!AA155:AA184)</f>
        <v>993008</v>
      </c>
      <c r="J138" s="113">
        <f t="shared" si="29"/>
        <v>1600000</v>
      </c>
      <c r="K138" s="113">
        <f t="shared" si="29"/>
        <v>2000000</v>
      </c>
      <c r="L138" s="113">
        <f t="shared" si="29"/>
        <v>1700000</v>
      </c>
      <c r="M138" s="113">
        <f t="shared" si="29"/>
        <v>1750000</v>
      </c>
      <c r="N138" s="113">
        <f t="shared" si="29"/>
        <v>3200000</v>
      </c>
      <c r="O138" s="113">
        <f t="shared" si="29"/>
        <v>4000000</v>
      </c>
      <c r="P138" s="113">
        <f t="shared" si="27"/>
        <v>19663421</v>
      </c>
    </row>
    <row r="139" spans="2:16" ht="14.25" customHeight="1" x14ac:dyDescent="0.35">
      <c r="C139" t="s">
        <v>338</v>
      </c>
      <c r="D139" s="113">
        <v>209323</v>
      </c>
      <c r="E139" s="113">
        <v>46537</v>
      </c>
      <c r="F139" s="113">
        <v>11330</v>
      </c>
      <c r="G139" s="113">
        <v>71884</v>
      </c>
      <c r="H139" s="113">
        <v>78948</v>
      </c>
      <c r="I139" s="113">
        <f>+SUM('BD MF'!AC$155:AC$184)</f>
        <v>196887</v>
      </c>
      <c r="J139" s="113">
        <f t="shared" si="29"/>
        <v>1900000</v>
      </c>
      <c r="K139" s="113">
        <f t="shared" si="29"/>
        <v>2500000</v>
      </c>
      <c r="L139" s="113">
        <f t="shared" si="29"/>
        <v>2000000</v>
      </c>
      <c r="M139" s="113">
        <f t="shared" si="29"/>
        <v>1900000</v>
      </c>
      <c r="N139" s="113">
        <f t="shared" si="29"/>
        <v>3500000</v>
      </c>
      <c r="O139" s="113">
        <f t="shared" si="29"/>
        <v>4200000</v>
      </c>
      <c r="P139" s="113">
        <f t="shared" si="27"/>
        <v>16614909</v>
      </c>
    </row>
    <row r="140" spans="2:16" ht="14.25" customHeight="1" x14ac:dyDescent="0.35">
      <c r="C140" t="s">
        <v>339</v>
      </c>
      <c r="D140" s="113">
        <v>9472</v>
      </c>
      <c r="E140" s="113">
        <v>5081</v>
      </c>
      <c r="F140" s="113">
        <v>10849</v>
      </c>
      <c r="G140" s="113">
        <v>58923</v>
      </c>
      <c r="H140" s="113">
        <v>105171</v>
      </c>
      <c r="I140" s="113">
        <f>+SUM('BD MF'!AE$155:AE$184)</f>
        <v>90033</v>
      </c>
      <c r="J140" s="113">
        <f t="shared" si="29"/>
        <v>0</v>
      </c>
      <c r="K140" s="113">
        <f t="shared" si="29"/>
        <v>0</v>
      </c>
      <c r="L140" s="113">
        <f t="shared" si="29"/>
        <v>0</v>
      </c>
      <c r="M140" s="113">
        <f t="shared" si="29"/>
        <v>0</v>
      </c>
      <c r="N140" s="113">
        <f t="shared" si="29"/>
        <v>0</v>
      </c>
      <c r="O140" s="113">
        <f t="shared" si="29"/>
        <v>0</v>
      </c>
      <c r="P140" s="113">
        <f t="shared" si="27"/>
        <v>279529</v>
      </c>
    </row>
    <row r="141" spans="2:16" ht="14.25" customHeight="1" x14ac:dyDescent="0.35">
      <c r="D141" s="113">
        <f t="shared" ref="D141:I141" si="30">+SUM(D132:D140)</f>
        <v>99842501</v>
      </c>
      <c r="E141" s="113">
        <f t="shared" si="30"/>
        <v>93986692</v>
      </c>
      <c r="F141" s="113">
        <f t="shared" si="30"/>
        <v>119620076</v>
      </c>
      <c r="G141" s="113">
        <f t="shared" si="30"/>
        <v>102328093</v>
      </c>
      <c r="H141" s="113">
        <f t="shared" si="30"/>
        <v>118897865</v>
      </c>
      <c r="I141" s="113">
        <f t="shared" si="30"/>
        <v>124337726</v>
      </c>
      <c r="J141" s="113">
        <f t="shared" si="29"/>
        <v>150718096.66373229</v>
      </c>
      <c r="K141" s="113">
        <f t="shared" si="29"/>
        <v>192048592.67835671</v>
      </c>
      <c r="L141" s="113">
        <f t="shared" si="29"/>
        <v>152559577.25071895</v>
      </c>
      <c r="M141" s="113">
        <f t="shared" si="29"/>
        <v>177914909.79325274</v>
      </c>
      <c r="N141" s="113">
        <f t="shared" si="29"/>
        <v>223046459.80347034</v>
      </c>
      <c r="O141" s="113">
        <f t="shared" si="29"/>
        <v>245081837.15246865</v>
      </c>
    </row>
    <row r="142" spans="2:16" ht="14.25" customHeight="1" x14ac:dyDescent="0.35">
      <c r="C142" t="s">
        <v>388</v>
      </c>
      <c r="E142" s="27">
        <v>-5.8650463894128702E-2</v>
      </c>
      <c r="F142" s="27">
        <v>0.27273418666549099</v>
      </c>
      <c r="G142" s="27">
        <v>-0.14455753229917701</v>
      </c>
      <c r="H142" s="27">
        <f t="shared" ref="H142:O142" si="31">+H141/G141-1</f>
        <v>0.16192788817045578</v>
      </c>
      <c r="I142" s="27">
        <f t="shared" si="31"/>
        <v>4.5752385881781876E-2</v>
      </c>
      <c r="J142" s="27">
        <f t="shared" si="31"/>
        <v>0.21216706716779021</v>
      </c>
      <c r="K142" s="27">
        <f t="shared" si="31"/>
        <v>0.27422384524160393</v>
      </c>
      <c r="L142" s="27">
        <f t="shared" si="31"/>
        <v>-0.20561991565214965</v>
      </c>
      <c r="M142" s="27">
        <f t="shared" si="31"/>
        <v>0.16619954642942147</v>
      </c>
      <c r="N142" s="27">
        <f t="shared" si="31"/>
        <v>0.25366929653429859</v>
      </c>
      <c r="O142" s="27">
        <f t="shared" si="31"/>
        <v>9.8792768862657754E-2</v>
      </c>
    </row>
    <row r="143" spans="2:16" ht="14.25" customHeight="1" x14ac:dyDescent="0.35">
      <c r="C143" t="s">
        <v>389</v>
      </c>
      <c r="D143" s="27">
        <f t="shared" ref="D143:I143" si="32">+D141/D24-1</f>
        <v>-9.2644130083036513E-2</v>
      </c>
      <c r="E143" s="27">
        <f t="shared" si="32"/>
        <v>3.1811107807735439E-3</v>
      </c>
      <c r="F143" s="27">
        <f t="shared" si="32"/>
        <v>9.1325139958395862E-3</v>
      </c>
      <c r="G143" s="27">
        <f t="shared" si="32"/>
        <v>-5.5939869491675065E-2</v>
      </c>
      <c r="H143" s="27">
        <f t="shared" si="32"/>
        <v>-0.14631444796679793</v>
      </c>
      <c r="I143" s="27">
        <f t="shared" si="32"/>
        <v>-0.17493285212982002</v>
      </c>
    </row>
    <row r="144" spans="2:16" ht="14.25" customHeight="1" x14ac:dyDescent="0.35">
      <c r="E144" s="282"/>
      <c r="F144" s="282"/>
      <c r="G144" s="282"/>
      <c r="H144" s="282"/>
    </row>
    <row r="145" spans="3:10" ht="15" customHeight="1" x14ac:dyDescent="0.35"/>
    <row r="146" spans="3:10" ht="15" customHeight="1" x14ac:dyDescent="0.35">
      <c r="C146" s="331" t="s">
        <v>382</v>
      </c>
      <c r="D146" s="339" t="s">
        <v>342</v>
      </c>
      <c r="E146" s="339" t="s">
        <v>343</v>
      </c>
      <c r="F146" s="339" t="s">
        <v>344</v>
      </c>
      <c r="G146" s="339" t="s">
        <v>362</v>
      </c>
      <c r="H146" s="339" t="s">
        <v>302</v>
      </c>
      <c r="I146" s="339" t="s">
        <v>346</v>
      </c>
      <c r="J146" s="340" t="s">
        <v>383</v>
      </c>
    </row>
    <row r="147" spans="3:10" ht="14.25" customHeight="1" x14ac:dyDescent="0.35">
      <c r="C147" s="325" t="s">
        <v>384</v>
      </c>
      <c r="D147" s="326">
        <f t="shared" ref="D147:I147" si="33">+SUM(D132:D136)/SUM(D$17:D$20)</f>
        <v>0.91208517487897689</v>
      </c>
      <c r="E147" s="326">
        <f t="shared" si="33"/>
        <v>1.0056104847442655</v>
      </c>
      <c r="F147" s="326">
        <f t="shared" si="33"/>
        <v>1.0386547297005466</v>
      </c>
      <c r="G147" s="326">
        <f t="shared" si="33"/>
        <v>0.98717651463196943</v>
      </c>
      <c r="H147" s="326">
        <f t="shared" si="33"/>
        <v>0.90145456250890743</v>
      </c>
      <c r="I147" s="326">
        <f t="shared" si="33"/>
        <v>0.89240496682381376</v>
      </c>
      <c r="J147" s="341">
        <f>+SUM(D132:I136)/SUM(D$17:I$20)</f>
        <v>0.95225674550073858</v>
      </c>
    </row>
    <row r="148" spans="3:10" ht="15" customHeight="1" x14ac:dyDescent="0.35">
      <c r="C148" s="328" t="s">
        <v>267</v>
      </c>
      <c r="D148" s="329">
        <f t="shared" ref="D148:I148" si="34">+SUM(D137:D140)/SUM(D$21:D$23)</f>
        <v>0.88874896860986552</v>
      </c>
      <c r="E148" s="329">
        <f t="shared" si="34"/>
        <v>0.98935300000000004</v>
      </c>
      <c r="F148" s="329">
        <f t="shared" si="34"/>
        <v>0.86541262376237627</v>
      </c>
      <c r="G148" s="329">
        <f t="shared" si="34"/>
        <v>0.73455762162162164</v>
      </c>
      <c r="H148" s="329">
        <f t="shared" si="34"/>
        <v>0.68188115511551151</v>
      </c>
      <c r="I148" s="329">
        <f t="shared" si="34"/>
        <v>0.61552043656207367</v>
      </c>
      <c r="J148" s="342">
        <f>+SUM(D137:I140)/SUM(D$21:I$23)</f>
        <v>0.76055313842902428</v>
      </c>
    </row>
    <row r="149" spans="3:10" ht="15" customHeight="1" x14ac:dyDescent="0.35">
      <c r="C149" s="335" t="s">
        <v>258</v>
      </c>
      <c r="D149" s="336">
        <f t="shared" ref="D149:I149" si="35">+D141/D$24</f>
        <v>0.90735586991696349</v>
      </c>
      <c r="E149" s="336">
        <f t="shared" si="35"/>
        <v>1.0031811107807735</v>
      </c>
      <c r="F149" s="336">
        <f t="shared" si="35"/>
        <v>1.0091325139958396</v>
      </c>
      <c r="G149" s="336">
        <f t="shared" si="35"/>
        <v>0.94406013050832494</v>
      </c>
      <c r="H149" s="336">
        <f t="shared" si="35"/>
        <v>0.85368555203320207</v>
      </c>
      <c r="I149" s="336">
        <f t="shared" si="35"/>
        <v>0.82506714787017998</v>
      </c>
      <c r="J149" s="343">
        <f>+SUM(D141:I141)/SUM(D$24:I$24)</f>
        <v>0.9144949160788991</v>
      </c>
    </row>
  </sheetData>
  <conditionalFormatting sqref="D120:H120">
    <cfRule type="cellIs" dxfId="71" priority="4" operator="greaterThan">
      <formula>0</formula>
    </cfRule>
    <cfRule type="cellIs" dxfId="70" priority="5" operator="lessThan">
      <formula>0</formula>
    </cfRule>
  </conditionalFormatting>
  <conditionalFormatting sqref="D143:I143">
    <cfRule type="cellIs" dxfId="69" priority="2" operator="greaterThan">
      <formula>0</formula>
    </cfRule>
    <cfRule type="cellIs" dxfId="68" priority="3" operator="lessThan">
      <formula>0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7"/>
  <dimension ref="B1:Y20"/>
  <sheetViews>
    <sheetView zoomScale="80" zoomScaleNormal="80" workbookViewId="0">
      <selection activeCell="Q14" sqref="Q14"/>
    </sheetView>
  </sheetViews>
  <sheetFormatPr baseColWidth="10" defaultColWidth="10.453125" defaultRowHeight="14.5" x14ac:dyDescent="0.35"/>
  <cols>
    <col min="2" max="2" width="13.81640625" customWidth="1"/>
    <col min="3" max="3" width="13.54296875" customWidth="1"/>
    <col min="4" max="4" width="12.54296875" customWidth="1"/>
    <col min="5" max="5" width="10.453125" customWidth="1"/>
    <col min="6" max="6" width="12.54296875" customWidth="1"/>
    <col min="7" max="7" width="15" customWidth="1"/>
    <col min="8" max="8" width="7.453125" customWidth="1"/>
    <col min="9" max="10" width="15" customWidth="1"/>
    <col min="11" max="11" width="7.453125" customWidth="1"/>
    <col min="12" max="12" width="15.453125" customWidth="1"/>
    <col min="13" max="14" width="7.453125" customWidth="1"/>
    <col min="17" max="17" width="15" customWidth="1"/>
    <col min="20" max="20" width="13.1796875" customWidth="1"/>
    <col min="25" max="25" width="13.1796875" customWidth="1"/>
  </cols>
  <sheetData>
    <row r="1" spans="2:25" ht="15" customHeight="1" x14ac:dyDescent="0.35">
      <c r="C1" s="513" t="s">
        <v>391</v>
      </c>
      <c r="D1" s="513"/>
      <c r="E1" s="513"/>
      <c r="F1" s="513" t="s">
        <v>392</v>
      </c>
      <c r="G1" s="513"/>
      <c r="H1" s="513"/>
      <c r="I1" s="344" t="s">
        <v>393</v>
      </c>
      <c r="L1" s="345" t="s">
        <v>394</v>
      </c>
      <c r="U1" t="s">
        <v>395</v>
      </c>
    </row>
    <row r="2" spans="2:25" ht="14.25" customHeight="1" x14ac:dyDescent="0.35">
      <c r="B2" s="317" t="s">
        <v>358</v>
      </c>
      <c r="C2" s="346" t="s">
        <v>396</v>
      </c>
      <c r="D2" s="323" t="s">
        <v>397</v>
      </c>
      <c r="E2" s="347" t="s">
        <v>398</v>
      </c>
      <c r="F2" s="32" t="s">
        <v>399</v>
      </c>
      <c r="G2" s="32">
        <v>2026</v>
      </c>
      <c r="H2" s="347" t="s">
        <v>400</v>
      </c>
      <c r="I2" s="348" t="s">
        <v>401</v>
      </c>
      <c r="J2" s="349" t="s">
        <v>280</v>
      </c>
      <c r="K2" s="350" t="s">
        <v>402</v>
      </c>
      <c r="L2" s="351" t="s">
        <v>403</v>
      </c>
      <c r="M2" s="352" t="s">
        <v>280</v>
      </c>
      <c r="N2" s="350" t="s">
        <v>402</v>
      </c>
      <c r="P2" s="32" t="s">
        <v>404</v>
      </c>
      <c r="U2" s="32" t="s">
        <v>391</v>
      </c>
      <c r="V2" s="32">
        <v>135</v>
      </c>
    </row>
    <row r="3" spans="2:25" ht="14.25" customHeight="1" x14ac:dyDescent="0.35">
      <c r="B3" s="317" t="s">
        <v>353</v>
      </c>
      <c r="C3" s="353">
        <v>113564325.48241299</v>
      </c>
      <c r="D3" s="52">
        <v>86222788</v>
      </c>
      <c r="E3" s="354">
        <f t="shared" ref="E3:E8" si="0">C3/D3-1</f>
        <v>0.31710337970529312</v>
      </c>
      <c r="F3" s="52">
        <f>SUM(Y6:Y7)</f>
        <v>76359175</v>
      </c>
      <c r="G3" s="52">
        <f>SUM(T6:T7)</f>
        <v>90448372</v>
      </c>
      <c r="H3" s="355">
        <f t="shared" ref="H3:H8" si="1">G3/F3</f>
        <v>1.1845121689698717</v>
      </c>
      <c r="I3" s="356">
        <f t="shared" ref="I3:I8" si="2">D3*H3</f>
        <v>102131941.62850942</v>
      </c>
      <c r="J3" s="357">
        <f t="shared" ref="J3:J8" si="3">I3/D3-1</f>
        <v>0.18451216896987166</v>
      </c>
      <c r="K3" s="358">
        <f t="shared" ref="K3:K12" si="4">I3/C3-1</f>
        <v>-0.10066879546318475</v>
      </c>
      <c r="L3" s="356">
        <f>I3</f>
        <v>102131941.62850942</v>
      </c>
      <c r="M3" s="55">
        <f t="shared" ref="M3:M8" si="5">L3/D3-1</f>
        <v>0.18451216896987166</v>
      </c>
      <c r="N3" s="358">
        <f t="shared" ref="N3:N12" si="6">L3/C3-1</f>
        <v>-0.10066879546318475</v>
      </c>
      <c r="P3" s="205">
        <v>0.19900000000000001</v>
      </c>
      <c r="Q3" s="356">
        <f>D3*(1+P3)</f>
        <v>103381122.81200001</v>
      </c>
      <c r="R3" s="205"/>
      <c r="U3" s="32" t="s">
        <v>405</v>
      </c>
      <c r="V3" s="32">
        <v>172</v>
      </c>
    </row>
    <row r="4" spans="2:25" ht="14.25" customHeight="1" x14ac:dyDescent="0.35">
      <c r="B4" s="317" t="s">
        <v>354</v>
      </c>
      <c r="C4" s="353">
        <v>434740.12025818502</v>
      </c>
      <c r="D4" s="52">
        <v>183021</v>
      </c>
      <c r="E4" s="354">
        <f t="shared" si="0"/>
        <v>1.3753564905567397</v>
      </c>
      <c r="F4" s="6">
        <f>Y10</f>
        <v>207855</v>
      </c>
      <c r="G4" s="6">
        <f>T10</f>
        <v>98622</v>
      </c>
      <c r="H4" s="355">
        <f t="shared" si="1"/>
        <v>0.47447499458757308</v>
      </c>
      <c r="I4" s="356">
        <f t="shared" si="2"/>
        <v>86838.887984412213</v>
      </c>
      <c r="J4" s="357">
        <f t="shared" si="3"/>
        <v>-0.52552500541242697</v>
      </c>
      <c r="K4" s="358">
        <f t="shared" si="4"/>
        <v>-0.80025103748685533</v>
      </c>
      <c r="L4" s="356">
        <f>I4</f>
        <v>86838.887984412213</v>
      </c>
      <c r="M4" s="55">
        <f t="shared" si="5"/>
        <v>-0.52552500541242697</v>
      </c>
      <c r="N4" s="358">
        <f t="shared" si="6"/>
        <v>-0.80025103748685533</v>
      </c>
      <c r="P4" s="205">
        <v>-0.53200000000000003</v>
      </c>
      <c r="Q4" s="356">
        <f>D4*(1+P4)</f>
        <v>85653.827999999994</v>
      </c>
    </row>
    <row r="5" spans="2:25" ht="14.25" customHeight="1" x14ac:dyDescent="0.35">
      <c r="B5" s="317" t="s">
        <v>355</v>
      </c>
      <c r="C5" s="353">
        <v>4222672.9355347101</v>
      </c>
      <c r="D5" s="52">
        <v>3267791</v>
      </c>
      <c r="E5" s="354">
        <f t="shared" si="0"/>
        <v>0.29221022260441698</v>
      </c>
      <c r="F5" s="6">
        <f>Y8</f>
        <v>3025707</v>
      </c>
      <c r="G5" s="6">
        <f>T8</f>
        <v>2576078</v>
      </c>
      <c r="H5" s="355">
        <f t="shared" si="1"/>
        <v>0.85139704538476457</v>
      </c>
      <c r="I5" s="356">
        <f t="shared" si="2"/>
        <v>2782187.6023349254</v>
      </c>
      <c r="J5" s="357">
        <f t="shared" si="3"/>
        <v>-0.14860295461523532</v>
      </c>
      <c r="K5" s="358">
        <f t="shared" si="4"/>
        <v>-0.3411311638838489</v>
      </c>
      <c r="L5" s="356">
        <f>I5</f>
        <v>2782187.6023349254</v>
      </c>
      <c r="M5" s="55">
        <f t="shared" si="5"/>
        <v>-0.14860295461523532</v>
      </c>
      <c r="N5" s="358">
        <f t="shared" si="6"/>
        <v>-0.3411311638838489</v>
      </c>
      <c r="P5" s="205">
        <v>-0.152</v>
      </c>
      <c r="Q5" s="356">
        <f>D5*(1+P5)</f>
        <v>2771086.7679999997</v>
      </c>
      <c r="S5" s="359" t="s">
        <v>289</v>
      </c>
      <c r="T5" s="359" t="s">
        <v>346</v>
      </c>
      <c r="U5" s="359" t="s">
        <v>406</v>
      </c>
      <c r="V5" s="359" t="s">
        <v>407</v>
      </c>
      <c r="W5" s="360"/>
      <c r="X5" s="359" t="s">
        <v>408</v>
      </c>
      <c r="Y5" s="360"/>
    </row>
    <row r="6" spans="2:25" ht="14.25" customHeight="1" x14ac:dyDescent="0.35">
      <c r="B6" s="317" t="s">
        <v>356</v>
      </c>
      <c r="C6" s="353">
        <v>996358.12552639004</v>
      </c>
      <c r="D6" s="52">
        <v>993236</v>
      </c>
      <c r="E6" s="354">
        <f t="shared" si="0"/>
        <v>3.143387398755193E-3</v>
      </c>
      <c r="F6" s="6">
        <f>Y9</f>
        <v>1019069</v>
      </c>
      <c r="G6" s="6">
        <f>T9</f>
        <v>725470</v>
      </c>
      <c r="H6" s="355">
        <f t="shared" si="1"/>
        <v>0.71189487659814987</v>
      </c>
      <c r="I6" s="356">
        <f t="shared" si="2"/>
        <v>707079.61965283996</v>
      </c>
      <c r="J6" s="357">
        <f t="shared" si="3"/>
        <v>-0.28810512340185013</v>
      </c>
      <c r="K6" s="358">
        <f t="shared" si="4"/>
        <v>-0.29033587267702576</v>
      </c>
      <c r="L6" s="356">
        <f>I6</f>
        <v>707079.61965283996</v>
      </c>
      <c r="M6" s="55">
        <f t="shared" si="5"/>
        <v>-0.28810512340185013</v>
      </c>
      <c r="N6" s="358">
        <f t="shared" si="6"/>
        <v>-0.29033587267702576</v>
      </c>
      <c r="P6" s="205">
        <v>-0.27300000000000002</v>
      </c>
      <c r="Q6" s="356">
        <f>D6*(1+P6)</f>
        <v>722082.57199999993</v>
      </c>
      <c r="S6" t="s">
        <v>409</v>
      </c>
      <c r="T6" s="52">
        <v>863604</v>
      </c>
      <c r="U6" s="361">
        <f t="shared" ref="U6:U14" si="7">T6/Y6-1</f>
        <v>-8.9676370696906593E-2</v>
      </c>
      <c r="V6" s="362">
        <f t="shared" ref="V6:V16" si="8">T6-Y6</f>
        <v>-85074</v>
      </c>
      <c r="W6" s="360"/>
      <c r="X6" t="s">
        <v>409</v>
      </c>
      <c r="Y6" s="52">
        <v>948678</v>
      </c>
    </row>
    <row r="7" spans="2:25" ht="14.25" customHeight="1" x14ac:dyDescent="0.35">
      <c r="B7" s="317" t="s">
        <v>357</v>
      </c>
      <c r="C7" s="353">
        <v>28000000</v>
      </c>
      <c r="D7" s="52">
        <v>22198898</v>
      </c>
      <c r="E7" s="354">
        <f t="shared" si="0"/>
        <v>0.26132387292378212</v>
      </c>
      <c r="F7" s="6">
        <f>SUM(Y11:Y12)</f>
        <v>25153733</v>
      </c>
      <c r="G7" s="6">
        <f>SUM(T11:T12)</f>
        <v>19707092</v>
      </c>
      <c r="H7" s="355">
        <f t="shared" si="1"/>
        <v>0.78346589748726359</v>
      </c>
      <c r="I7" s="356">
        <f t="shared" si="2"/>
        <v>17392079.544798221</v>
      </c>
      <c r="J7" s="357">
        <f t="shared" si="3"/>
        <v>-0.21653410251273641</v>
      </c>
      <c r="K7" s="358">
        <f t="shared" si="4"/>
        <v>-0.37885430197149206</v>
      </c>
      <c r="L7" s="363">
        <f>D7</f>
        <v>22198898</v>
      </c>
      <c r="M7" s="55">
        <f t="shared" si="5"/>
        <v>0</v>
      </c>
      <c r="N7" s="358">
        <f t="shared" si="6"/>
        <v>-0.20718221428571426</v>
      </c>
      <c r="P7" s="205">
        <v>-0.20300000000000001</v>
      </c>
      <c r="Q7" s="356">
        <f>D7</f>
        <v>22198898</v>
      </c>
      <c r="S7" t="s">
        <v>353</v>
      </c>
      <c r="T7" s="6">
        <v>89584768</v>
      </c>
      <c r="U7" s="361">
        <f t="shared" si="7"/>
        <v>0.18796151151211737</v>
      </c>
      <c r="V7" s="362">
        <f t="shared" si="8"/>
        <v>14174271</v>
      </c>
      <c r="W7" s="360"/>
      <c r="X7" t="s">
        <v>353</v>
      </c>
      <c r="Y7" s="6">
        <v>75410497</v>
      </c>
    </row>
    <row r="8" spans="2:25" ht="14.25" customHeight="1" x14ac:dyDescent="0.35">
      <c r="B8" s="317" t="s">
        <v>336</v>
      </c>
      <c r="C8" s="353">
        <v>1600000</v>
      </c>
      <c r="D8" s="52">
        <v>1369617</v>
      </c>
      <c r="E8" s="354">
        <f t="shared" si="0"/>
        <v>0.16820979879776599</v>
      </c>
      <c r="F8" s="6">
        <f>SUM(Y13:Y14)</f>
        <v>1303399</v>
      </c>
      <c r="G8" s="6">
        <f>SUM(T13:T14)</f>
        <v>859787</v>
      </c>
      <c r="H8" s="355">
        <f t="shared" si="1"/>
        <v>0.65964988464775565</v>
      </c>
      <c r="I8" s="356">
        <f t="shared" si="2"/>
        <v>903467.69606160512</v>
      </c>
      <c r="J8" s="357">
        <f t="shared" si="3"/>
        <v>-0.34035011535224435</v>
      </c>
      <c r="K8" s="358">
        <f t="shared" si="4"/>
        <v>-0.43533268996149677</v>
      </c>
      <c r="L8" s="363">
        <f>D8</f>
        <v>1369617</v>
      </c>
      <c r="M8" s="55">
        <f t="shared" si="5"/>
        <v>0</v>
      </c>
      <c r="N8" s="358">
        <f t="shared" si="6"/>
        <v>-0.14398937499999998</v>
      </c>
      <c r="P8" s="205">
        <v>-0.315</v>
      </c>
      <c r="Q8" s="356">
        <f>D8</f>
        <v>1369617</v>
      </c>
      <c r="S8" t="s">
        <v>410</v>
      </c>
      <c r="T8" s="6">
        <v>2576078</v>
      </c>
      <c r="U8" s="361">
        <f t="shared" si="7"/>
        <v>-0.14860295461523543</v>
      </c>
      <c r="V8" s="362">
        <f t="shared" si="8"/>
        <v>-449629</v>
      </c>
      <c r="W8" s="360"/>
      <c r="X8" t="s">
        <v>410</v>
      </c>
      <c r="Y8" s="6">
        <v>3025707</v>
      </c>
    </row>
    <row r="9" spans="2:25" ht="15" customHeight="1" x14ac:dyDescent="0.35">
      <c r="B9" s="317" t="s">
        <v>338</v>
      </c>
      <c r="C9" s="353">
        <v>1900000</v>
      </c>
      <c r="D9" s="52">
        <v>0</v>
      </c>
      <c r="E9" s="354">
        <v>1</v>
      </c>
      <c r="G9" s="6">
        <f>SUM(T15:T16)</f>
        <v>272818</v>
      </c>
      <c r="H9" s="355"/>
      <c r="I9" s="356">
        <v>268850.115690518</v>
      </c>
      <c r="J9" s="357">
        <v>1</v>
      </c>
      <c r="K9" s="358">
        <f t="shared" si="4"/>
        <v>-0.85849993911025368</v>
      </c>
      <c r="L9" s="356">
        <f>I9</f>
        <v>268850.115690518</v>
      </c>
      <c r="M9" s="55">
        <v>1</v>
      </c>
      <c r="N9" s="358">
        <f t="shared" si="6"/>
        <v>-0.85849993911025368</v>
      </c>
      <c r="Q9" s="356">
        <f>I9</f>
        <v>268850.115690518</v>
      </c>
      <c r="S9" t="s">
        <v>411</v>
      </c>
      <c r="T9" s="6">
        <v>725470</v>
      </c>
      <c r="U9" s="361">
        <f t="shared" si="7"/>
        <v>-0.28810512340185013</v>
      </c>
      <c r="V9" s="362">
        <f t="shared" si="8"/>
        <v>-293599</v>
      </c>
      <c r="W9" s="360"/>
      <c r="X9" t="s">
        <v>411</v>
      </c>
      <c r="Y9" s="6">
        <v>1019069</v>
      </c>
    </row>
    <row r="10" spans="2:25" ht="15" customHeight="1" x14ac:dyDescent="0.35">
      <c r="B10" s="364" t="s">
        <v>374</v>
      </c>
      <c r="C10" s="365">
        <v>150718096.66373199</v>
      </c>
      <c r="D10" s="366">
        <f>SUM(D3:D9)</f>
        <v>114235351</v>
      </c>
      <c r="E10" s="367">
        <f>C10/D10-1</f>
        <v>0.3193647618216886</v>
      </c>
      <c r="F10" s="366">
        <f>SUM(F3:F9)</f>
        <v>107068938</v>
      </c>
      <c r="G10" s="366">
        <f>SUM(G3:G9)</f>
        <v>114688239</v>
      </c>
      <c r="H10" s="368">
        <f>G10/F10</f>
        <v>1.0711625719123132</v>
      </c>
      <c r="I10" s="369">
        <f>SUM(I3:I9)</f>
        <v>124272445.09503195</v>
      </c>
      <c r="J10" s="370">
        <f>I10/D10-1</f>
        <v>8.7863292817579319E-2</v>
      </c>
      <c r="K10" s="371">
        <f t="shared" si="4"/>
        <v>-0.17546434140356149</v>
      </c>
      <c r="L10" s="372">
        <f>SUM(L3:L9)</f>
        <v>129545412.85417211</v>
      </c>
      <c r="M10" s="370">
        <f>L10/D10-1</f>
        <v>0.13402210191635078</v>
      </c>
      <c r="N10" s="373">
        <f t="shared" si="6"/>
        <v>-0.14047871011002999</v>
      </c>
      <c r="Q10" s="374">
        <f>SUM(Q3:Q9)</f>
        <v>130797311.09569052</v>
      </c>
      <c r="S10" t="s">
        <v>412</v>
      </c>
      <c r="T10" s="6">
        <v>98622</v>
      </c>
      <c r="U10" s="361">
        <f t="shared" si="7"/>
        <v>-0.52552500541242697</v>
      </c>
      <c r="V10" s="362">
        <f t="shared" si="8"/>
        <v>-109233</v>
      </c>
      <c r="W10" s="360"/>
      <c r="X10" t="s">
        <v>412</v>
      </c>
      <c r="Y10" s="6">
        <v>207855</v>
      </c>
    </row>
    <row r="11" spans="2:25" ht="14.25" customHeight="1" x14ac:dyDescent="0.35">
      <c r="B11" s="375" t="s">
        <v>41</v>
      </c>
      <c r="C11" s="376">
        <f>SUM(C7:C9)</f>
        <v>31500000</v>
      </c>
      <c r="D11" s="377">
        <f>SUM(D7:D9)</f>
        <v>23568515</v>
      </c>
      <c r="E11" s="378">
        <f>C11/D11</f>
        <v>1.3365288394283645</v>
      </c>
      <c r="F11" s="377">
        <f>SUM(F7:F9)</f>
        <v>26457132</v>
      </c>
      <c r="G11" s="377">
        <f>SUM(G7:G9)</f>
        <v>20839697</v>
      </c>
      <c r="H11" s="378">
        <f>G11/F11</f>
        <v>0.78767785563454118</v>
      </c>
      <c r="I11" s="379">
        <f>D11*H11</f>
        <v>18564397.355690517</v>
      </c>
      <c r="J11" s="380">
        <f>I11/D11-1</f>
        <v>-0.21232214436545893</v>
      </c>
      <c r="K11" s="381">
        <f t="shared" si="4"/>
        <v>-0.41065405220030105</v>
      </c>
      <c r="L11" s="382">
        <f>SUM(L7:L9)</f>
        <v>23837365.115690518</v>
      </c>
      <c r="M11" s="380">
        <f>L11/D11-1</f>
        <v>1.1407172479493077E-2</v>
      </c>
      <c r="N11" s="381">
        <f t="shared" si="6"/>
        <v>-0.24325825029553916</v>
      </c>
      <c r="S11" t="s">
        <v>413</v>
      </c>
      <c r="T11" s="6">
        <v>14801219</v>
      </c>
      <c r="U11" s="361">
        <f t="shared" si="7"/>
        <v>-0.2781617483862513</v>
      </c>
      <c r="V11" s="362">
        <f t="shared" si="8"/>
        <v>-5703678</v>
      </c>
      <c r="W11" s="360"/>
      <c r="X11" t="s">
        <v>413</v>
      </c>
      <c r="Y11" s="6">
        <v>20504897</v>
      </c>
    </row>
    <row r="12" spans="2:25" ht="14.25" customHeight="1" x14ac:dyDescent="0.35">
      <c r="B12" s="383" t="s">
        <v>414</v>
      </c>
      <c r="C12" s="384">
        <f>SUM(C3:C6)</f>
        <v>119218096.66373228</v>
      </c>
      <c r="D12" s="385">
        <f>SUM(D3:D6)</f>
        <v>90666836</v>
      </c>
      <c r="E12" s="386">
        <f>C12/D12</f>
        <v>1.3149030221340499</v>
      </c>
      <c r="F12" s="385">
        <f>SUM(F3:F6)</f>
        <v>80611806</v>
      </c>
      <c r="G12" s="385">
        <f>SUM(G3:G6)</f>
        <v>93848542</v>
      </c>
      <c r="H12" s="386">
        <f>G12/F12</f>
        <v>1.1642034418630938</v>
      </c>
      <c r="I12" s="385">
        <f>SUM(I3:I6)</f>
        <v>105708047.7384816</v>
      </c>
      <c r="J12" s="387">
        <f>I12/D12-1</f>
        <v>0.16589540786977053</v>
      </c>
      <c r="K12" s="388">
        <f t="shared" si="4"/>
        <v>-0.11332213232154897</v>
      </c>
      <c r="L12" s="385">
        <f>SUM(L3:L6)</f>
        <v>105708047.7384816</v>
      </c>
      <c r="M12" s="387">
        <f>L12/D12-1</f>
        <v>0.16589540786977053</v>
      </c>
      <c r="N12" s="388">
        <f t="shared" si="6"/>
        <v>-0.11332213232154897</v>
      </c>
      <c r="S12" t="s">
        <v>335</v>
      </c>
      <c r="T12" s="6">
        <v>4905873</v>
      </c>
      <c r="U12" s="361">
        <f t="shared" si="7"/>
        <v>5.5290614682901307E-2</v>
      </c>
      <c r="V12" s="362">
        <f t="shared" si="8"/>
        <v>257037</v>
      </c>
      <c r="W12" s="360"/>
      <c r="X12" t="s">
        <v>335</v>
      </c>
      <c r="Y12" s="6">
        <v>4648836</v>
      </c>
    </row>
    <row r="13" spans="2:25" ht="14.25" customHeight="1" x14ac:dyDescent="0.35">
      <c r="H13" s="389" t="s">
        <v>415</v>
      </c>
      <c r="I13" s="390">
        <v>135002445.09503201</v>
      </c>
      <c r="J13" s="391">
        <f>I13/D10-1</f>
        <v>0.18179218528450103</v>
      </c>
      <c r="K13" s="392">
        <f>I13/C10-1</f>
        <v>-0.10427182877556673</v>
      </c>
      <c r="L13" s="390">
        <v>135002445.09503201</v>
      </c>
      <c r="M13" s="391">
        <f>L13/D10-1</f>
        <v>0.18179218528450103</v>
      </c>
      <c r="N13" s="392">
        <f>L13/C10-1</f>
        <v>-0.10427182877556673</v>
      </c>
      <c r="S13" t="s">
        <v>416</v>
      </c>
      <c r="T13" s="6">
        <v>647688</v>
      </c>
      <c r="U13" s="361">
        <f t="shared" si="7"/>
        <v>-0.32971744536583703</v>
      </c>
      <c r="V13" s="362">
        <f t="shared" si="8"/>
        <v>-318603</v>
      </c>
      <c r="W13" s="360"/>
      <c r="X13" t="s">
        <v>416</v>
      </c>
      <c r="Y13" s="6">
        <v>966291</v>
      </c>
    </row>
    <row r="14" spans="2:25" ht="14.25" customHeight="1" x14ac:dyDescent="0.35">
      <c r="H14" s="27">
        <f>G11/F11-1</f>
        <v>-0.21232214436545882</v>
      </c>
      <c r="S14" t="s">
        <v>337</v>
      </c>
      <c r="T14" s="6">
        <v>212099</v>
      </c>
      <c r="U14" s="361">
        <f t="shared" si="7"/>
        <v>-0.3708277465975296</v>
      </c>
      <c r="V14" s="362">
        <f t="shared" si="8"/>
        <v>-125009</v>
      </c>
      <c r="W14" s="360"/>
      <c r="X14" t="s">
        <v>337</v>
      </c>
      <c r="Y14" s="6">
        <v>337108</v>
      </c>
    </row>
    <row r="15" spans="2:25" ht="14.25" customHeight="1" x14ac:dyDescent="0.35">
      <c r="H15" s="27">
        <f>G12/F12-1</f>
        <v>0.16420344186309377</v>
      </c>
      <c r="M15" s="55"/>
      <c r="N15" s="55"/>
      <c r="S15" t="s">
        <v>417</v>
      </c>
      <c r="T15" s="6">
        <v>188725</v>
      </c>
      <c r="U15" s="393"/>
      <c r="V15" s="362">
        <f t="shared" si="8"/>
        <v>188725</v>
      </c>
      <c r="W15" s="360"/>
      <c r="X15" t="s">
        <v>417</v>
      </c>
      <c r="Y15" s="6"/>
    </row>
    <row r="16" spans="2:25" ht="15" customHeight="1" x14ac:dyDescent="0.35">
      <c r="F16" s="344" t="s">
        <v>326</v>
      </c>
      <c r="G16" s="344" t="s">
        <v>418</v>
      </c>
      <c r="J16" s="344" t="s">
        <v>419</v>
      </c>
      <c r="S16" t="s">
        <v>339</v>
      </c>
      <c r="T16" s="6">
        <v>84093</v>
      </c>
      <c r="U16" s="393"/>
      <c r="V16" s="362">
        <f t="shared" si="8"/>
        <v>84093</v>
      </c>
      <c r="W16" s="360"/>
      <c r="X16" t="s">
        <v>339</v>
      </c>
      <c r="Y16" s="6"/>
    </row>
    <row r="17" spans="2:25" ht="14.25" customHeight="1" x14ac:dyDescent="0.35">
      <c r="C17" s="394" t="s">
        <v>420</v>
      </c>
      <c r="D17" s="395">
        <v>45839</v>
      </c>
      <c r="E17" s="396" t="s">
        <v>421</v>
      </c>
      <c r="F17" s="350" t="s">
        <v>422</v>
      </c>
      <c r="G17" s="397" t="s">
        <v>401</v>
      </c>
      <c r="H17" s="352" t="s">
        <v>280</v>
      </c>
      <c r="I17" s="352" t="s">
        <v>402</v>
      </c>
      <c r="J17" s="394" t="s">
        <v>403</v>
      </c>
      <c r="K17" s="352" t="s">
        <v>280</v>
      </c>
      <c r="L17" s="350" t="s">
        <v>402</v>
      </c>
      <c r="S17" s="398" t="s">
        <v>258</v>
      </c>
      <c r="T17" s="399">
        <f>SUM(T6:T16)</f>
        <v>114688239</v>
      </c>
      <c r="U17" s="400">
        <f>T17/Y17-1</f>
        <v>7.1162571912313233E-2</v>
      </c>
      <c r="V17" s="401">
        <f>SUM(V6:V16)</f>
        <v>7619301</v>
      </c>
      <c r="W17" s="360"/>
      <c r="X17" s="398" t="s">
        <v>258</v>
      </c>
      <c r="Y17" s="399">
        <f>SUM(Y6:Y16)</f>
        <v>107068938</v>
      </c>
    </row>
    <row r="18" spans="2:25" ht="14.25" customHeight="1" x14ac:dyDescent="0.35">
      <c r="B18" s="402" t="s">
        <v>312</v>
      </c>
      <c r="C18" s="403">
        <f>SUM(C3:C6)</f>
        <v>119218096.66373228</v>
      </c>
      <c r="D18" s="404">
        <f>SUM(D3:D6)</f>
        <v>90666836</v>
      </c>
      <c r="E18" s="31">
        <v>0.185</v>
      </c>
      <c r="F18" s="405">
        <v>0.18</v>
      </c>
      <c r="G18" s="406">
        <f>D18*(1+E18)</f>
        <v>107440200.66000001</v>
      </c>
      <c r="H18" s="55">
        <f>G18/D18-1</f>
        <v>0.18500000000000005</v>
      </c>
      <c r="I18" s="55">
        <f>G18/C18-1</f>
        <v>-9.8792853881513598E-2</v>
      </c>
      <c r="J18" s="407">
        <f>D18*1.2</f>
        <v>108800203.2</v>
      </c>
      <c r="K18" s="55">
        <f>J18/D18-1</f>
        <v>0.19999999999999996</v>
      </c>
      <c r="L18" s="358">
        <f>J18/C18-1</f>
        <v>-8.73851684876088E-2</v>
      </c>
    </row>
    <row r="19" spans="2:25" ht="14.25" customHeight="1" x14ac:dyDescent="0.35">
      <c r="B19" s="408" t="s">
        <v>41</v>
      </c>
      <c r="C19" s="403">
        <f>SUM(C7:C9)</f>
        <v>31500000</v>
      </c>
      <c r="D19" s="409">
        <f>SUM(D7:D9)</f>
        <v>23568515</v>
      </c>
      <c r="E19" s="31">
        <v>-0.107</v>
      </c>
      <c r="F19" s="405">
        <v>-0.2</v>
      </c>
      <c r="G19" s="406">
        <f>D19*(1+E19)</f>
        <v>21046683.895</v>
      </c>
      <c r="H19" s="55">
        <f>G19/D19-1</f>
        <v>-0.10699999999999998</v>
      </c>
      <c r="I19" s="55">
        <f>G19/C19-1</f>
        <v>-0.33185130492063497</v>
      </c>
      <c r="J19" s="410">
        <f>D19</f>
        <v>23568515</v>
      </c>
      <c r="K19" s="55">
        <f>J19/D19-1</f>
        <v>0</v>
      </c>
      <c r="L19" s="358">
        <f>J19/C19-1</f>
        <v>-0.25179317460317463</v>
      </c>
    </row>
    <row r="20" spans="2:25" ht="15" customHeight="1" x14ac:dyDescent="0.35">
      <c r="B20" s="411" t="s">
        <v>423</v>
      </c>
      <c r="C20" s="412">
        <f>SUM(C18:C19)</f>
        <v>150718096.66373229</v>
      </c>
      <c r="D20" s="413">
        <f>SUM(D18:D19)</f>
        <v>114235351</v>
      </c>
      <c r="E20" s="414">
        <v>0.121</v>
      </c>
      <c r="F20" s="415">
        <v>8.5999999999999993E-2</v>
      </c>
      <c r="G20" s="416">
        <f>SUM(G18:G19)</f>
        <v>128486884.55500001</v>
      </c>
      <c r="H20" s="387">
        <f>G20/D20-1</f>
        <v>0.12475589587850089</v>
      </c>
      <c r="I20" s="387">
        <f>G20/C20-1</f>
        <v>-0.14750194303695607</v>
      </c>
      <c r="J20" s="417">
        <f>SUM(J18:J19)</f>
        <v>132368718.2</v>
      </c>
      <c r="K20" s="387">
        <f>J20/D20-1</f>
        <v>0.15873691498527465</v>
      </c>
      <c r="L20" s="388">
        <f>J20/C20-1</f>
        <v>-0.12174635209646822</v>
      </c>
    </row>
  </sheetData>
  <mergeCells count="2">
    <mergeCell ref="C1:E1"/>
    <mergeCell ref="F1:H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B1:AJ52"/>
  <sheetViews>
    <sheetView zoomScale="70" zoomScaleNormal="70" workbookViewId="0">
      <pane ySplit="7" topLeftCell="A49" activePane="bottomLeft" state="frozen"/>
      <selection pane="bottomLeft" activeCell="F1" sqref="F1"/>
    </sheetView>
  </sheetViews>
  <sheetFormatPr baseColWidth="10" defaultColWidth="11.453125" defaultRowHeight="14.5" x14ac:dyDescent="0.35"/>
  <cols>
    <col min="2" max="2" width="14.453125" customWidth="1"/>
    <col min="3" max="3" width="26" customWidth="1"/>
    <col min="4" max="4" width="14.453125" customWidth="1"/>
    <col min="5" max="6" width="12.453125" customWidth="1"/>
    <col min="7" max="7" width="13.453125" customWidth="1"/>
    <col min="8" max="8" width="26" customWidth="1"/>
    <col min="9" max="9" width="15.453125" customWidth="1"/>
    <col min="10" max="10" width="16.453125" customWidth="1"/>
    <col min="11" max="11" width="14.453125" customWidth="1"/>
    <col min="12" max="12" width="15.453125" customWidth="1"/>
    <col min="13" max="13" width="14.453125" customWidth="1"/>
    <col min="14" max="14" width="16.453125" customWidth="1"/>
    <col min="15" max="17" width="15.453125" customWidth="1"/>
    <col min="18" max="18" width="12.453125" customWidth="1"/>
    <col min="19" max="19" width="10.453125" customWidth="1"/>
    <col min="20" max="20" width="9.453125" customWidth="1"/>
    <col min="21" max="21" width="12.453125" customWidth="1"/>
    <col min="22" max="22" width="9" customWidth="1"/>
    <col min="23" max="23" width="10.453125" customWidth="1"/>
    <col min="24" max="24" width="13.453125" customWidth="1"/>
    <col min="25" max="25" width="7.453125" customWidth="1"/>
    <col min="26" max="26" width="8" customWidth="1"/>
    <col min="27" max="27" width="6.453125" customWidth="1"/>
    <col min="28" max="28" width="10.453125" customWidth="1"/>
    <col min="29" max="29" width="14.453125" customWidth="1"/>
    <col min="30" max="30" width="7.453125" customWidth="1"/>
    <col min="31" max="31" width="8" customWidth="1"/>
    <col min="32" max="32" width="9" customWidth="1"/>
    <col min="33" max="33" width="10.453125" customWidth="1"/>
    <col min="35" max="35" width="7.453125" customWidth="1"/>
    <col min="36" max="36" width="8" customWidth="1"/>
  </cols>
  <sheetData>
    <row r="1" spans="2:23" ht="14.25" customHeight="1" x14ac:dyDescent="0.35">
      <c r="K1" s="5"/>
      <c r="L1" s="113"/>
    </row>
    <row r="2" spans="2:23" ht="14.25" customHeight="1" x14ac:dyDescent="0.35">
      <c r="L2" s="113"/>
      <c r="M2" s="113"/>
      <c r="N2" s="52"/>
      <c r="O2" s="52"/>
      <c r="P2" s="52"/>
      <c r="Q2" s="52"/>
    </row>
    <row r="3" spans="2:23" ht="14.25" customHeight="1" x14ac:dyDescent="0.35">
      <c r="C3" t="s">
        <v>424</v>
      </c>
      <c r="O3" s="113"/>
    </row>
    <row r="4" spans="2:23" ht="14.25" customHeight="1" x14ac:dyDescent="0.35">
      <c r="K4" s="113"/>
      <c r="N4" s="113"/>
      <c r="O4" s="113"/>
    </row>
    <row r="5" spans="2:23" ht="15.75" customHeight="1" x14ac:dyDescent="0.35">
      <c r="B5" s="418" t="s">
        <v>425</v>
      </c>
      <c r="C5" s="418" t="s">
        <v>426</v>
      </c>
      <c r="D5" s="418" t="s">
        <v>0</v>
      </c>
      <c r="E5" s="418" t="s">
        <v>427</v>
      </c>
      <c r="F5" s="418" t="s">
        <v>4</v>
      </c>
      <c r="G5" s="418" t="s">
        <v>428</v>
      </c>
      <c r="H5" s="418" t="s">
        <v>429</v>
      </c>
      <c r="I5" s="419" t="s">
        <v>430</v>
      </c>
      <c r="J5" s="420" t="s">
        <v>431</v>
      </c>
      <c r="K5" s="420" t="s">
        <v>432</v>
      </c>
      <c r="L5" s="421" t="s">
        <v>433</v>
      </c>
      <c r="M5" s="421" t="s">
        <v>434</v>
      </c>
      <c r="N5" s="422" t="s">
        <v>435</v>
      </c>
      <c r="O5" s="422" t="s">
        <v>436</v>
      </c>
      <c r="P5" s="2" t="s">
        <v>437</v>
      </c>
      <c r="Q5" s="2" t="s">
        <v>438</v>
      </c>
      <c r="R5" s="2" t="s">
        <v>439</v>
      </c>
      <c r="S5" s="423" t="s">
        <v>440</v>
      </c>
      <c r="T5" s="423" t="s">
        <v>441</v>
      </c>
      <c r="U5" s="423" t="s">
        <v>242</v>
      </c>
      <c r="V5" s="423" t="s">
        <v>243</v>
      </c>
    </row>
    <row r="6" spans="2:23" ht="14.25" hidden="1" customHeight="1" x14ac:dyDescent="0.35">
      <c r="B6" s="33" t="s">
        <v>442</v>
      </c>
      <c r="C6" s="38">
        <f>+'BD MF'!A107</f>
        <v>45761</v>
      </c>
      <c r="D6" s="424">
        <f>+'BD MF'!B107</f>
        <v>33282941</v>
      </c>
      <c r="E6" s="424">
        <f>+'BD MF'!C107</f>
        <v>3391252.4137931033</v>
      </c>
      <c r="F6" s="424">
        <f>+'BD MF'!AP107</f>
        <v>2791903.4137931033</v>
      </c>
      <c r="G6" s="424">
        <f>+'BD MF'!AQ107</f>
        <v>599349</v>
      </c>
      <c r="H6" s="38">
        <v>46111</v>
      </c>
      <c r="I6" s="424">
        <f>+'BD MF'!G92</f>
        <v>2961464.0918172901</v>
      </c>
      <c r="J6" s="424">
        <f>+'BD MF'!H92</f>
        <v>2402662.0918172901</v>
      </c>
      <c r="K6" s="424">
        <f>+'BD MF'!I92</f>
        <v>558802</v>
      </c>
      <c r="L6" s="424">
        <f>+'BD MF'!E92</f>
        <v>33370751</v>
      </c>
      <c r="M6" s="424">
        <f>+'BD MF'!AF92</f>
        <v>4403557</v>
      </c>
      <c r="N6" s="424">
        <f>+'BD MF'!AR92</f>
        <v>3831414</v>
      </c>
      <c r="O6" s="424">
        <f>+'BD MF'!AS92</f>
        <v>572143</v>
      </c>
      <c r="P6" s="425">
        <f t="shared" ref="P6:R7" si="0">+M6/I6</f>
        <v>1.486952690788081</v>
      </c>
      <c r="Q6" s="18">
        <f t="shared" si="0"/>
        <v>1.5946537022615825</v>
      </c>
      <c r="R6" s="18">
        <f t="shared" si="0"/>
        <v>1.0238742882094194</v>
      </c>
      <c r="S6" s="18">
        <f t="shared" ref="S6:S39" si="1">+L6/D6-1</f>
        <v>2.6382884853834998E-3</v>
      </c>
      <c r="T6" s="18">
        <f t="shared" ref="T6:T39" si="2">+M6/E6-1</f>
        <v>0.29850464155649137</v>
      </c>
      <c r="U6" s="18">
        <f t="shared" ref="U6:U39" si="3">+N6/F6-1</f>
        <v>0.37233042556963269</v>
      </c>
      <c r="V6" s="18">
        <f t="shared" ref="V6:V39" si="4">+O6/G6-1</f>
        <v>-4.5392584287284987E-2</v>
      </c>
      <c r="W6" s="282"/>
    </row>
    <row r="7" spans="2:23" ht="14.25" hidden="1" customHeight="1" x14ac:dyDescent="0.35">
      <c r="B7" s="33" t="s">
        <v>442</v>
      </c>
      <c r="C7" s="38">
        <f>+'BD MF'!A108</f>
        <v>45762</v>
      </c>
      <c r="D7" s="424">
        <f>+'BD MF'!B108</f>
        <v>38043206</v>
      </c>
      <c r="E7" s="424">
        <f>+'BD MF'!C108</f>
        <v>3026574.2758620689</v>
      </c>
      <c r="F7" s="424">
        <f>+'BD MF'!AP108</f>
        <v>2583457.2758620689</v>
      </c>
      <c r="G7" s="424">
        <f>+'BD MF'!AQ108</f>
        <v>443117</v>
      </c>
      <c r="H7" s="38">
        <v>46112</v>
      </c>
      <c r="I7" s="424">
        <f>+'BD MF'!G93</f>
        <v>4175603.56200366</v>
      </c>
      <c r="J7" s="424">
        <f>+'BD MF'!H93</f>
        <v>3657616.56200366</v>
      </c>
      <c r="K7" s="424">
        <f>+'BD MF'!I93</f>
        <v>517987</v>
      </c>
      <c r="L7" s="424">
        <f>+'BD MF'!E93</f>
        <v>38734445</v>
      </c>
      <c r="M7" s="424">
        <f>+'BD MF'!AF93</f>
        <v>4012309</v>
      </c>
      <c r="N7" s="424">
        <f>+'BD MF'!AR93</f>
        <v>3380691</v>
      </c>
      <c r="O7" s="424">
        <f>+'BD MF'!AS93</f>
        <v>631618</v>
      </c>
      <c r="P7" s="425">
        <f t="shared" si="0"/>
        <v>0.96089318356522735</v>
      </c>
      <c r="Q7" s="18">
        <f t="shared" si="0"/>
        <v>0.92428797351793512</v>
      </c>
      <c r="R7" s="18">
        <f t="shared" si="0"/>
        <v>1.2193703702988685</v>
      </c>
      <c r="S7" s="18">
        <f t="shared" si="1"/>
        <v>1.8169840890907007E-2</v>
      </c>
      <c r="T7" s="18">
        <f t="shared" si="2"/>
        <v>0.32569322087995389</v>
      </c>
      <c r="U7" s="18">
        <f t="shared" si="3"/>
        <v>0.30859179735105302</v>
      </c>
      <c r="V7" s="18">
        <f t="shared" si="4"/>
        <v>0.42539780689975792</v>
      </c>
      <c r="W7" s="282"/>
    </row>
    <row r="8" spans="2:23" ht="14.25" customHeight="1" x14ac:dyDescent="0.35">
      <c r="B8" s="426" t="s">
        <v>442</v>
      </c>
      <c r="C8" s="427">
        <f>+'BD MF'!A109</f>
        <v>45763</v>
      </c>
      <c r="D8" s="428">
        <f>+'BD MF'!B109</f>
        <v>41123227</v>
      </c>
      <c r="E8" s="428">
        <f t="shared" ref="E8:E37" si="5">+F8+G8</f>
        <v>2418990.2758620689</v>
      </c>
      <c r="F8" s="428">
        <f>+'BD MF'!AP109</f>
        <v>1941284.2758620691</v>
      </c>
      <c r="G8" s="428">
        <f>+'BD MF'!AQ109</f>
        <v>477706</v>
      </c>
      <c r="H8" s="427">
        <v>46113</v>
      </c>
      <c r="I8" s="428">
        <f t="shared" ref="I8:I37" si="6">+J8+K8</f>
        <v>3202889.1143756318</v>
      </c>
      <c r="J8" s="428">
        <f>+'BD MF'!H94</f>
        <v>2530915.7136566299</v>
      </c>
      <c r="K8" s="428">
        <v>671973.40071900201</v>
      </c>
      <c r="L8" s="428">
        <f>+'BD MF'!E94</f>
        <v>43075503</v>
      </c>
      <c r="M8" s="428">
        <f>+'BD MF'!AF94</f>
        <v>3228122</v>
      </c>
      <c r="N8" s="428">
        <f>+'BD MF'!AR94</f>
        <v>2808310</v>
      </c>
      <c r="O8" s="428">
        <f>+'BD MF'!AS94</f>
        <v>419812</v>
      </c>
      <c r="P8" s="425">
        <f t="shared" ref="P8:P39" si="7">+M8/I8-1</f>
        <v>7.8781639711205109E-3</v>
      </c>
      <c r="Q8" s="425">
        <f t="shared" ref="Q8:Q39" si="8">+N8/J8-1</f>
        <v>0.10960234070481745</v>
      </c>
      <c r="R8" s="425">
        <f t="shared" ref="R8:R39" si="9">+O8/K8-1</f>
        <v>-0.37525503308493002</v>
      </c>
      <c r="S8" s="425">
        <f t="shared" si="1"/>
        <v>4.7473803551457694E-2</v>
      </c>
      <c r="T8" s="425">
        <f t="shared" si="2"/>
        <v>0.33449151582454228</v>
      </c>
      <c r="U8" s="425">
        <f t="shared" si="3"/>
        <v>0.44662481168705148</v>
      </c>
      <c r="V8" s="425">
        <f t="shared" si="4"/>
        <v>-0.12119169531050478</v>
      </c>
      <c r="W8" s="282"/>
    </row>
    <row r="9" spans="2:23" ht="14.25" customHeight="1" x14ac:dyDescent="0.35">
      <c r="B9" s="33" t="s">
        <v>442</v>
      </c>
      <c r="C9" s="38">
        <f>+'BD MF'!A110</f>
        <v>45764</v>
      </c>
      <c r="D9" s="424">
        <f>+'BD MF'!B110</f>
        <v>36004609</v>
      </c>
      <c r="E9" s="424">
        <f t="shared" si="5"/>
        <v>1877662.6896551724</v>
      </c>
      <c r="F9" s="424">
        <f>+'BD MF'!AP110</f>
        <v>1501987.6896551724</v>
      </c>
      <c r="G9" s="424">
        <f>+'BD MF'!AQ110</f>
        <v>375675</v>
      </c>
      <c r="H9" s="38">
        <v>46114</v>
      </c>
      <c r="I9" s="424">
        <f t="shared" si="6"/>
        <v>2492074.404775437</v>
      </c>
      <c r="J9" s="424">
        <f>+'BD MF'!H95</f>
        <v>1958190.40659514</v>
      </c>
      <c r="K9" s="424">
        <f>+'BD MF'!I95</f>
        <v>533883.99818029697</v>
      </c>
      <c r="L9" s="424">
        <f>+'BD MF'!E95</f>
        <v>36898701</v>
      </c>
      <c r="M9" s="424">
        <f>+'BD MF'!AF95</f>
        <v>2278176</v>
      </c>
      <c r="N9" s="424">
        <f>+'BD MF'!AR95</f>
        <v>1919356</v>
      </c>
      <c r="O9" s="424">
        <f>+'BD MF'!AS95</f>
        <v>358820</v>
      </c>
      <c r="P9" s="425">
        <f t="shared" si="7"/>
        <v>-8.5831468099649921E-2</v>
      </c>
      <c r="Q9" s="425">
        <f t="shared" si="8"/>
        <v>-1.9831782682800725E-2</v>
      </c>
      <c r="R9" s="425">
        <f t="shared" si="9"/>
        <v>-0.32790643431342636</v>
      </c>
      <c r="S9" s="18">
        <f t="shared" si="1"/>
        <v>2.4832709612261139E-2</v>
      </c>
      <c r="T9" s="18">
        <f t="shared" si="2"/>
        <v>0.21330418533180784</v>
      </c>
      <c r="U9" s="18">
        <f t="shared" si="3"/>
        <v>0.27787731765008505</v>
      </c>
      <c r="V9" s="18">
        <f t="shared" si="4"/>
        <v>-4.486590803220869E-2</v>
      </c>
      <c r="W9" s="282"/>
    </row>
    <row r="10" spans="2:23" ht="14.25" customHeight="1" x14ac:dyDescent="0.35">
      <c r="B10" s="33" t="s">
        <v>442</v>
      </c>
      <c r="C10" s="38">
        <f>+'BD MF'!A111</f>
        <v>45765</v>
      </c>
      <c r="D10" s="424">
        <f>+'BD MF'!B111</f>
        <v>15540152</v>
      </c>
      <c r="E10" s="424">
        <f t="shared" si="5"/>
        <v>1515798.5172413792</v>
      </c>
      <c r="F10" s="424">
        <f>+'BD MF'!AP111</f>
        <v>1157153.5172413792</v>
      </c>
      <c r="G10" s="424">
        <f>+'BD MF'!AQ111</f>
        <v>358645</v>
      </c>
      <c r="H10" s="38">
        <v>46115</v>
      </c>
      <c r="I10" s="424">
        <f t="shared" si="6"/>
        <v>2018282.4388011731</v>
      </c>
      <c r="J10" s="424">
        <f>+'BD MF'!H96</f>
        <v>1508618.83358052</v>
      </c>
      <c r="K10" s="424">
        <f>+'BD MF'!I96</f>
        <v>509663.605220653</v>
      </c>
      <c r="L10" s="424">
        <f>+'BD MF'!E96</f>
        <v>17241821</v>
      </c>
      <c r="M10" s="424">
        <f>+'BD MF'!AF96</f>
        <v>1837231</v>
      </c>
      <c r="N10" s="424">
        <f>+'BD MF'!AR96</f>
        <v>1457677</v>
      </c>
      <c r="O10" s="424">
        <f>+'BD MF'!AS96</f>
        <v>379554</v>
      </c>
      <c r="P10" s="425">
        <f t="shared" si="7"/>
        <v>-8.9705699916169723E-2</v>
      </c>
      <c r="Q10" s="425">
        <f t="shared" si="8"/>
        <v>-3.3767199803290238E-2</v>
      </c>
      <c r="R10" s="425">
        <f t="shared" si="9"/>
        <v>-0.25528525852718786</v>
      </c>
      <c r="S10" s="18">
        <f t="shared" si="1"/>
        <v>0.10950143859596739</v>
      </c>
      <c r="T10" s="18">
        <f t="shared" si="2"/>
        <v>0.21205488665050276</v>
      </c>
      <c r="U10" s="18">
        <f t="shared" si="3"/>
        <v>0.25970925921312515</v>
      </c>
      <c r="V10" s="18">
        <f t="shared" si="4"/>
        <v>5.8299990241046151E-2</v>
      </c>
      <c r="W10" s="282"/>
    </row>
    <row r="11" spans="2:23" ht="14.25" customHeight="1" x14ac:dyDescent="0.35">
      <c r="B11" s="33" t="s">
        <v>442</v>
      </c>
      <c r="C11" s="38">
        <f>+'BD MF'!A112</f>
        <v>45766</v>
      </c>
      <c r="D11" s="424">
        <f>+'BD MF'!B112</f>
        <v>27478165</v>
      </c>
      <c r="E11" s="424">
        <f t="shared" si="5"/>
        <v>1361861.4482758623</v>
      </c>
      <c r="F11" s="424">
        <f>+'BD MF'!AP112</f>
        <v>1103441.4482758623</v>
      </c>
      <c r="G11" s="424">
        <f>+'BD MF'!AQ112</f>
        <v>258420</v>
      </c>
      <c r="H11" s="38">
        <v>46116</v>
      </c>
      <c r="I11" s="424">
        <f t="shared" si="6"/>
        <v>1813607.8576939679</v>
      </c>
      <c r="J11" s="424">
        <f>+'BD MF'!H97</f>
        <v>1438592.65500991</v>
      </c>
      <c r="K11" s="424">
        <f>+'BD MF'!I97</f>
        <v>375015.20268405799</v>
      </c>
      <c r="L11" s="424">
        <f>+'BD MF'!E97</f>
        <v>29614522</v>
      </c>
      <c r="M11" s="424">
        <f>+'BD MF'!AF97</f>
        <v>1988899</v>
      </c>
      <c r="N11" s="424">
        <f>+'BD MF'!AR97</f>
        <v>1621390</v>
      </c>
      <c r="O11" s="424">
        <f>+'BD MF'!AS97</f>
        <v>367509</v>
      </c>
      <c r="P11" s="425">
        <f t="shared" si="7"/>
        <v>9.6653276816366374E-2</v>
      </c>
      <c r="Q11" s="425">
        <f t="shared" si="8"/>
        <v>0.12706678596856236</v>
      </c>
      <c r="R11" s="425">
        <f t="shared" si="9"/>
        <v>-2.0015729043341701E-2</v>
      </c>
      <c r="S11" s="18">
        <f t="shared" si="1"/>
        <v>7.7747440558712633E-2</v>
      </c>
      <c r="T11" s="18">
        <f t="shared" si="2"/>
        <v>0.46042683161196529</v>
      </c>
      <c r="U11" s="18">
        <f t="shared" si="3"/>
        <v>0.46939377937400972</v>
      </c>
      <c r="V11" s="18">
        <f t="shared" si="4"/>
        <v>0.42213837938240073</v>
      </c>
      <c r="W11" s="282"/>
    </row>
    <row r="12" spans="2:23" ht="14.25" customHeight="1" x14ac:dyDescent="0.35">
      <c r="B12" s="33" t="s">
        <v>442</v>
      </c>
      <c r="C12" s="38">
        <f>+'BD MF'!A113</f>
        <v>45767</v>
      </c>
      <c r="D12" s="424">
        <f>+'BD MF'!B113</f>
        <v>28728736</v>
      </c>
      <c r="E12" s="424">
        <f t="shared" si="5"/>
        <v>1822418.0344827585</v>
      </c>
      <c r="F12" s="424">
        <f>+'BD MF'!AP113</f>
        <v>1475017.0344827585</v>
      </c>
      <c r="G12" s="424">
        <f>+'BD MF'!AQ113</f>
        <v>347401</v>
      </c>
      <c r="H12" s="38">
        <v>46117</v>
      </c>
      <c r="I12" s="424">
        <f t="shared" si="6"/>
        <v>2403925.7696780148</v>
      </c>
      <c r="J12" s="424">
        <f>+'BD MF'!H98</f>
        <v>1923027.8825731699</v>
      </c>
      <c r="K12" s="424">
        <f>+'BD MF'!I98</f>
        <v>480897.88710484502</v>
      </c>
      <c r="L12" s="424">
        <f>+'BD MF'!E98</f>
        <v>32111892</v>
      </c>
      <c r="M12" s="424">
        <f>+'BD MF'!AF98</f>
        <v>2609578</v>
      </c>
      <c r="N12" s="424">
        <f>+'BD MF'!AR98</f>
        <v>2144221</v>
      </c>
      <c r="O12" s="424">
        <f>+'BD MF'!AS98</f>
        <v>465357</v>
      </c>
      <c r="P12" s="425">
        <f t="shared" si="7"/>
        <v>8.5548494431893607E-2</v>
      </c>
      <c r="Q12" s="425">
        <f t="shared" si="8"/>
        <v>0.11502335427963506</v>
      </c>
      <c r="R12" s="425">
        <f t="shared" si="9"/>
        <v>-3.2316397142865383E-2</v>
      </c>
      <c r="S12" s="18">
        <f t="shared" si="1"/>
        <v>0.11776209019429196</v>
      </c>
      <c r="T12" s="18">
        <f t="shared" si="2"/>
        <v>0.43193161537202118</v>
      </c>
      <c r="U12" s="18">
        <f t="shared" si="3"/>
        <v>0.4536923641372792</v>
      </c>
      <c r="V12" s="18">
        <f t="shared" si="4"/>
        <v>0.33953845843851926</v>
      </c>
      <c r="W12" s="282"/>
    </row>
    <row r="13" spans="2:23" ht="14.25" customHeight="1" x14ac:dyDescent="0.35">
      <c r="B13" s="33" t="s">
        <v>443</v>
      </c>
      <c r="C13" s="38">
        <f>+'BD MF'!A114</f>
        <v>45768</v>
      </c>
      <c r="D13" s="424">
        <f>+'BD MF'!B114</f>
        <v>24209385</v>
      </c>
      <c r="E13" s="424">
        <f t="shared" si="5"/>
        <v>2934304</v>
      </c>
      <c r="F13" s="424">
        <f>+'BD MF'!AP114</f>
        <v>2483649</v>
      </c>
      <c r="G13" s="424">
        <f>+'BD MF'!AQ114</f>
        <v>450655</v>
      </c>
      <c r="H13" s="38">
        <v>46118</v>
      </c>
      <c r="I13" s="424">
        <f t="shared" si="6"/>
        <v>3799683.2282442148</v>
      </c>
      <c r="J13" s="424">
        <f>+'BD MF'!H99</f>
        <v>3238014.31839043</v>
      </c>
      <c r="K13" s="424">
        <f>+'BD MF'!I99</f>
        <v>561668.90985378495</v>
      </c>
      <c r="L13" s="424">
        <f>+'BD MF'!E99</f>
        <v>25748860</v>
      </c>
      <c r="M13" s="424">
        <f>+'BD MF'!AF99</f>
        <v>3812982</v>
      </c>
      <c r="N13" s="424">
        <f>+'BD MF'!AR99</f>
        <v>3354619</v>
      </c>
      <c r="O13" s="424">
        <f>+'BD MF'!AS99</f>
        <v>458363</v>
      </c>
      <c r="P13" s="425">
        <f t="shared" si="7"/>
        <v>3.4999685386747359E-3</v>
      </c>
      <c r="Q13" s="425">
        <f t="shared" si="8"/>
        <v>3.6011169236438878E-2</v>
      </c>
      <c r="R13" s="425">
        <f t="shared" si="9"/>
        <v>-0.18392670137408496</v>
      </c>
      <c r="S13" s="18">
        <f t="shared" si="1"/>
        <v>6.3590008585513447E-2</v>
      </c>
      <c r="T13" s="18">
        <f t="shared" si="2"/>
        <v>0.2994502273793036</v>
      </c>
      <c r="U13" s="18">
        <f t="shared" si="3"/>
        <v>0.35068159792305598</v>
      </c>
      <c r="V13" s="18">
        <f t="shared" si="4"/>
        <v>1.7103993076743818E-2</v>
      </c>
      <c r="W13" s="282"/>
    </row>
    <row r="14" spans="2:23" ht="14.25" customHeight="1" x14ac:dyDescent="0.35">
      <c r="B14" s="33" t="s">
        <v>443</v>
      </c>
      <c r="C14" s="38">
        <f>+'BD MF'!A115</f>
        <v>45769</v>
      </c>
      <c r="D14" s="424">
        <f>+'BD MF'!B115</f>
        <v>28493678</v>
      </c>
      <c r="E14" s="424">
        <f t="shared" si="5"/>
        <v>3130136.3103448278</v>
      </c>
      <c r="F14" s="424">
        <f>+'BD MF'!AP115</f>
        <v>2690215.3103448278</v>
      </c>
      <c r="G14" s="424">
        <f>+'BD MF'!AQ115</f>
        <v>439921</v>
      </c>
      <c r="H14" s="38">
        <v>46119</v>
      </c>
      <c r="I14" s="424">
        <f t="shared" si="6"/>
        <v>4130456.0199458422</v>
      </c>
      <c r="J14" s="424">
        <f>+'BD MF'!H100</f>
        <v>3507321.56373533</v>
      </c>
      <c r="K14" s="424">
        <f>+'BD MF'!I100</f>
        <v>623134.45621051197</v>
      </c>
      <c r="L14" s="424">
        <f>+'BD MF'!E100</f>
        <v>29344448</v>
      </c>
      <c r="M14" s="424">
        <f>+'BD MF'!AF100</f>
        <v>4048800</v>
      </c>
      <c r="N14" s="424">
        <f>+'BD MF'!AR100</f>
        <v>3581649</v>
      </c>
      <c r="O14" s="424">
        <f>+'BD MF'!AS100</f>
        <v>467151</v>
      </c>
      <c r="P14" s="425">
        <f t="shared" si="7"/>
        <v>-1.9769250550430217E-2</v>
      </c>
      <c r="Q14" s="425">
        <f t="shared" si="8"/>
        <v>2.1192079173234069E-2</v>
      </c>
      <c r="R14" s="425">
        <f t="shared" si="9"/>
        <v>-0.25032070471451584</v>
      </c>
      <c r="S14" s="18">
        <f t="shared" si="1"/>
        <v>2.9858202229982478E-2</v>
      </c>
      <c r="T14" s="18">
        <f t="shared" si="2"/>
        <v>0.29348999486669913</v>
      </c>
      <c r="U14" s="18">
        <f t="shared" si="3"/>
        <v>0.33136146620952411</v>
      </c>
      <c r="V14" s="18">
        <f t="shared" si="4"/>
        <v>6.1897477047015315E-2</v>
      </c>
      <c r="W14" s="282"/>
    </row>
    <row r="15" spans="2:23" ht="14.25" customHeight="1" x14ac:dyDescent="0.35">
      <c r="B15" s="33" t="s">
        <v>443</v>
      </c>
      <c r="C15" s="38">
        <f>+'BD MF'!A116</f>
        <v>45770</v>
      </c>
      <c r="D15" s="424">
        <f>+'BD MF'!B116</f>
        <v>31799582</v>
      </c>
      <c r="E15" s="424">
        <f t="shared" si="5"/>
        <v>3381983.7586206896</v>
      </c>
      <c r="F15" s="424">
        <f>+'BD MF'!AP116</f>
        <v>2932533.7586206896</v>
      </c>
      <c r="G15" s="424">
        <f>+'BD MF'!AQ116</f>
        <v>449450</v>
      </c>
      <c r="H15" s="38">
        <v>46120</v>
      </c>
      <c r="I15" s="424">
        <f t="shared" si="6"/>
        <v>4462204.5025639776</v>
      </c>
      <c r="J15" s="424">
        <f>+'BD MF'!H101</f>
        <v>3823240.0389817902</v>
      </c>
      <c r="K15" s="424">
        <f>+'BD MF'!I101</f>
        <v>638964.46358218696</v>
      </c>
      <c r="L15" s="424">
        <f>+'BD MF'!E101</f>
        <v>32604834</v>
      </c>
      <c r="M15" s="424">
        <f>+'BD MF'!AF101</f>
        <v>4106605</v>
      </c>
      <c r="N15" s="424">
        <f>+'BD MF'!AR101</f>
        <v>3451270</v>
      </c>
      <c r="O15" s="424">
        <f>+'BD MF'!AS101</f>
        <v>655335</v>
      </c>
      <c r="P15" s="425">
        <f t="shared" si="7"/>
        <v>-7.9691440040376982E-2</v>
      </c>
      <c r="Q15" s="425">
        <f t="shared" si="8"/>
        <v>-9.7291834985295256E-2</v>
      </c>
      <c r="R15" s="425">
        <f t="shared" si="9"/>
        <v>2.5620417645820126E-2</v>
      </c>
      <c r="S15" s="18">
        <f t="shared" si="1"/>
        <v>2.5322722795538599E-2</v>
      </c>
      <c r="T15" s="18">
        <f t="shared" si="2"/>
        <v>0.21425923159218252</v>
      </c>
      <c r="U15" s="18">
        <f t="shared" si="3"/>
        <v>0.17689011758326578</v>
      </c>
      <c r="V15" s="18">
        <f t="shared" si="4"/>
        <v>0.45808210034486585</v>
      </c>
      <c r="W15" s="282"/>
    </row>
    <row r="16" spans="2:23" ht="14.25" customHeight="1" x14ac:dyDescent="0.35">
      <c r="B16" s="33" t="s">
        <v>443</v>
      </c>
      <c r="C16" s="38">
        <f>+'BD MF'!A117</f>
        <v>45771</v>
      </c>
      <c r="D16" s="424">
        <f>+'BD MF'!B117</f>
        <v>35799559</v>
      </c>
      <c r="E16" s="424">
        <f t="shared" si="5"/>
        <v>2583844.7931034481</v>
      </c>
      <c r="F16" s="424">
        <f>+'BD MF'!AP117</f>
        <v>2176865.7931034481</v>
      </c>
      <c r="G16" s="424">
        <f>+'BD MF'!AQ117</f>
        <v>406979</v>
      </c>
      <c r="H16" s="38">
        <v>46121</v>
      </c>
      <c r="I16" s="424">
        <f t="shared" si="6"/>
        <v>3442825.792989464</v>
      </c>
      <c r="J16" s="424">
        <f>+'BD MF'!H102</f>
        <v>2838051.03188224</v>
      </c>
      <c r="K16" s="424">
        <f>+'BD MF'!I102</f>
        <v>604774.76110722404</v>
      </c>
      <c r="L16" s="424">
        <f>+'BD MF'!E102</f>
        <v>37442596</v>
      </c>
      <c r="M16" s="424">
        <f>+'BD MF'!AF102</f>
        <v>3904261</v>
      </c>
      <c r="N16" s="424">
        <f>+'BD MF'!AR102</f>
        <v>3294448</v>
      </c>
      <c r="O16" s="424">
        <f>+'BD MF'!AS102</f>
        <v>609813</v>
      </c>
      <c r="P16" s="425">
        <f t="shared" si="7"/>
        <v>0.13402804404165458</v>
      </c>
      <c r="Q16" s="425">
        <f t="shared" si="8"/>
        <v>0.16081351708995539</v>
      </c>
      <c r="R16" s="425">
        <f t="shared" si="9"/>
        <v>8.3307691008003282E-3</v>
      </c>
      <c r="S16" s="18">
        <f t="shared" si="1"/>
        <v>4.5895453628353344E-2</v>
      </c>
      <c r="T16" s="18">
        <f t="shared" si="2"/>
        <v>0.51102767876030364</v>
      </c>
      <c r="U16" s="18">
        <f t="shared" si="3"/>
        <v>0.5133904949203465</v>
      </c>
      <c r="V16" s="18">
        <f t="shared" si="4"/>
        <v>0.49838935178473576</v>
      </c>
      <c r="W16" s="282"/>
    </row>
    <row r="17" spans="2:23" ht="14.25" customHeight="1" x14ac:dyDescent="0.35">
      <c r="B17" s="33" t="s">
        <v>443</v>
      </c>
      <c r="C17" s="38">
        <f>+'BD MF'!A118</f>
        <v>45772</v>
      </c>
      <c r="D17" s="424">
        <f>+'BD MF'!B118</f>
        <v>38328512</v>
      </c>
      <c r="E17" s="424">
        <f t="shared" si="5"/>
        <v>2538592.9655172415</v>
      </c>
      <c r="F17" s="424">
        <f>+'BD MF'!AP118</f>
        <v>2108619.9655172415</v>
      </c>
      <c r="G17" s="424">
        <f>+'BD MF'!AQ118</f>
        <v>429973</v>
      </c>
      <c r="H17" s="38">
        <v>46122</v>
      </c>
      <c r="I17" s="424">
        <f t="shared" si="6"/>
        <v>3326298.0552961957</v>
      </c>
      <c r="J17" s="424">
        <f>+'BD MF'!H103</f>
        <v>2749076.7175187599</v>
      </c>
      <c r="K17" s="424">
        <f>+'BD MF'!I103</f>
        <v>577221.33777743601</v>
      </c>
      <c r="L17" s="424">
        <f>+'BD MF'!E103</f>
        <v>38060436</v>
      </c>
      <c r="M17" s="424">
        <f>+'BD MF'!AF103</f>
        <v>3148957</v>
      </c>
      <c r="N17" s="424">
        <f>+'BD MF'!AR103</f>
        <v>2628251</v>
      </c>
      <c r="O17" s="424">
        <f>+'BD MF'!AS103</f>
        <v>520706</v>
      </c>
      <c r="P17" s="425">
        <f t="shared" si="7"/>
        <v>-5.3314842009972607E-2</v>
      </c>
      <c r="Q17" s="425">
        <f t="shared" si="8"/>
        <v>-4.3951380748593283E-2</v>
      </c>
      <c r="R17" s="425">
        <f t="shared" si="9"/>
        <v>-9.7909301127095727E-2</v>
      </c>
      <c r="S17" s="18">
        <f t="shared" si="1"/>
        <v>-6.9941666402285607E-3</v>
      </c>
      <c r="T17" s="18">
        <f t="shared" si="2"/>
        <v>0.24043398952631856</v>
      </c>
      <c r="U17" s="18">
        <f t="shared" si="3"/>
        <v>0.24643180989481617</v>
      </c>
      <c r="V17" s="18">
        <f t="shared" si="4"/>
        <v>0.21102022685145339</v>
      </c>
      <c r="W17" s="282"/>
    </row>
    <row r="18" spans="2:23" ht="14.25" customHeight="1" x14ac:dyDescent="0.35">
      <c r="B18" s="33" t="s">
        <v>443</v>
      </c>
      <c r="C18" s="38">
        <f>+'BD MF'!A119</f>
        <v>45773</v>
      </c>
      <c r="D18" s="424">
        <f>+'BD MF'!B119</f>
        <v>42678504</v>
      </c>
      <c r="E18" s="424">
        <f t="shared" si="5"/>
        <v>2232713.931034483</v>
      </c>
      <c r="F18" s="424">
        <f>+'BD MF'!AP119</f>
        <v>1872562.9310344828</v>
      </c>
      <c r="G18" s="424">
        <f>+'BD MF'!AQ119</f>
        <v>360151</v>
      </c>
      <c r="H18" s="38">
        <v>46123</v>
      </c>
      <c r="I18" s="424">
        <f t="shared" si="6"/>
        <v>2937113.3031593719</v>
      </c>
      <c r="J18" s="424">
        <f>+'BD MF'!H104</f>
        <v>2441321.4519349602</v>
      </c>
      <c r="K18" s="424">
        <f>+'BD MF'!I104</f>
        <v>495791.85122441198</v>
      </c>
      <c r="L18" s="424">
        <f>+'BD MF'!E104</f>
        <v>44317773</v>
      </c>
      <c r="M18" s="424">
        <f>+'BD MF'!AF104</f>
        <v>2579671</v>
      </c>
      <c r="N18" s="424">
        <f>+'BD MF'!AR104</f>
        <v>2074160</v>
      </c>
      <c r="O18" s="424">
        <f>+'BD MF'!AS104</f>
        <v>505511</v>
      </c>
      <c r="P18" s="425">
        <f t="shared" si="7"/>
        <v>-0.12169850675317195</v>
      </c>
      <c r="Q18" s="425">
        <f t="shared" si="8"/>
        <v>-0.1503945544098475</v>
      </c>
      <c r="R18" s="425">
        <f t="shared" si="9"/>
        <v>1.9603284627582207E-2</v>
      </c>
      <c r="S18" s="18">
        <f t="shared" si="1"/>
        <v>3.8409710893334115E-2</v>
      </c>
      <c r="T18" s="18">
        <f t="shared" si="2"/>
        <v>0.15539700995405248</v>
      </c>
      <c r="U18" s="18">
        <f t="shared" si="3"/>
        <v>0.10765836791084316</v>
      </c>
      <c r="V18" s="18">
        <f t="shared" si="4"/>
        <v>0.4036084864404097</v>
      </c>
      <c r="W18" s="282"/>
    </row>
    <row r="19" spans="2:23" ht="14.25" customHeight="1" x14ac:dyDescent="0.35">
      <c r="B19" s="33" t="s">
        <v>443</v>
      </c>
      <c r="C19" s="38">
        <f>+'BD MF'!A120</f>
        <v>45774</v>
      </c>
      <c r="D19" s="424">
        <f>+'BD MF'!B120</f>
        <v>41528560</v>
      </c>
      <c r="E19" s="424">
        <f t="shared" si="5"/>
        <v>2438760.9655172415</v>
      </c>
      <c r="F19" s="424">
        <f>+'BD MF'!AP120</f>
        <v>2059958.9655172415</v>
      </c>
      <c r="G19" s="424">
        <f>+'BD MF'!AQ120</f>
        <v>378802</v>
      </c>
      <c r="H19" s="38">
        <v>46124</v>
      </c>
      <c r="I19" s="424">
        <f t="shared" si="6"/>
        <v>3206594.500332939</v>
      </c>
      <c r="J19" s="424">
        <f>+'BD MF'!H105</f>
        <v>2685635.78252867</v>
      </c>
      <c r="K19" s="424">
        <f>+'BD MF'!I105</f>
        <v>520958.71780426899</v>
      </c>
      <c r="L19" s="424">
        <f>+'BD MF'!E105</f>
        <v>45342867</v>
      </c>
      <c r="M19" s="424">
        <f>+'BD MF'!AF105</f>
        <v>2910484</v>
      </c>
      <c r="N19" s="424">
        <f>+'BD MF'!AR105</f>
        <v>2252662</v>
      </c>
      <c r="O19" s="424">
        <f>+'BD MF'!AS105</f>
        <v>657822</v>
      </c>
      <c r="P19" s="425">
        <f t="shared" si="7"/>
        <v>-9.234423008652759E-2</v>
      </c>
      <c r="Q19" s="425">
        <f t="shared" si="8"/>
        <v>-0.1612183548288153</v>
      </c>
      <c r="R19" s="425">
        <f t="shared" si="9"/>
        <v>0.26271425646274027</v>
      </c>
      <c r="S19" s="18">
        <f t="shared" si="1"/>
        <v>9.1847803054091015E-2</v>
      </c>
      <c r="T19" s="18">
        <f t="shared" si="2"/>
        <v>0.1934273350905098</v>
      </c>
      <c r="U19" s="18">
        <f t="shared" si="3"/>
        <v>9.3547025794454175E-2</v>
      </c>
      <c r="V19" s="18">
        <f t="shared" si="4"/>
        <v>0.73658534009852117</v>
      </c>
      <c r="W19" s="282"/>
    </row>
    <row r="20" spans="2:23" ht="14.25" customHeight="1" x14ac:dyDescent="0.35">
      <c r="B20" s="32"/>
      <c r="C20" s="38">
        <v>45760</v>
      </c>
      <c r="D20" s="424">
        <v>42859990</v>
      </c>
      <c r="E20" s="424">
        <f t="shared" si="5"/>
        <v>2131055.4482758623</v>
      </c>
      <c r="F20" s="424">
        <f>+'BD MF'!AP106</f>
        <v>1674155.448275862</v>
      </c>
      <c r="G20" s="424">
        <f>+'BD MF'!AQ106</f>
        <v>456900</v>
      </c>
      <c r="H20" s="38">
        <v>46125</v>
      </c>
      <c r="I20" s="424">
        <f t="shared" si="6"/>
        <v>4091565.706355758</v>
      </c>
      <c r="J20" s="424">
        <f>+'BD MF'!H106</f>
        <v>3548869.4431393798</v>
      </c>
      <c r="K20" s="424">
        <f>+'BD MF'!I106</f>
        <v>542696.26321637805</v>
      </c>
      <c r="L20" s="424">
        <f>+'BD MF'!E106</f>
        <v>25303094</v>
      </c>
      <c r="M20" s="424">
        <f>+'BD MF'!AF106</f>
        <v>4450991</v>
      </c>
      <c r="N20" s="424">
        <f>+'BD MF'!AR106</f>
        <v>3723834</v>
      </c>
      <c r="O20" s="424">
        <f>+'BD MF'!AS106</f>
        <v>727157</v>
      </c>
      <c r="P20" s="425">
        <f t="shared" si="7"/>
        <v>8.7845416507895235E-2</v>
      </c>
      <c r="Q20" s="425">
        <f t="shared" si="8"/>
        <v>4.9301491549332388E-2</v>
      </c>
      <c r="R20" s="425">
        <f t="shared" si="9"/>
        <v>0.33989682495763884</v>
      </c>
      <c r="S20" s="18">
        <f t="shared" si="1"/>
        <v>-0.40963369333497279</v>
      </c>
      <c r="T20" s="18">
        <f t="shared" si="2"/>
        <v>1.088632186272342</v>
      </c>
      <c r="U20" s="18">
        <f t="shared" si="3"/>
        <v>1.2243059949032871</v>
      </c>
      <c r="V20" s="18">
        <f t="shared" si="4"/>
        <v>0.59150142263077266</v>
      </c>
      <c r="W20" s="282"/>
    </row>
    <row r="21" spans="2:23" ht="14.25" customHeight="1" x14ac:dyDescent="0.35">
      <c r="B21" s="32"/>
      <c r="C21" s="38">
        <v>45761</v>
      </c>
      <c r="D21" s="424">
        <v>33282941</v>
      </c>
      <c r="E21" s="424">
        <f t="shared" si="5"/>
        <v>3391252.4137931033</v>
      </c>
      <c r="F21" s="424">
        <f>+'BD MF'!AP107</f>
        <v>2791903.4137931033</v>
      </c>
      <c r="G21" s="424">
        <f>+'BD MF'!AQ107</f>
        <v>599349</v>
      </c>
      <c r="H21" s="38">
        <v>46126</v>
      </c>
      <c r="I21" s="424">
        <f t="shared" si="6"/>
        <v>4355526.0469413977</v>
      </c>
      <c r="J21" s="424">
        <f>+'BD MF'!H107</f>
        <v>3902260.8948228299</v>
      </c>
      <c r="K21" s="424">
        <f>+'BD MF'!I107</f>
        <v>453265.15211856802</v>
      </c>
      <c r="L21" s="424">
        <f>+'BD MF'!E107</f>
        <v>28217356</v>
      </c>
      <c r="M21" s="424">
        <f>+'BD MF'!AF107</f>
        <v>4429169</v>
      </c>
      <c r="N21" s="424">
        <f>+'BD MF'!AR107</f>
        <v>4005501</v>
      </c>
      <c r="O21" s="424">
        <f>+'BD MF'!AS107</f>
        <v>423668</v>
      </c>
      <c r="P21" s="425">
        <f t="shared" si="7"/>
        <v>1.6907935405487295E-2</v>
      </c>
      <c r="Q21" s="425">
        <f t="shared" si="8"/>
        <v>2.6456484576451444E-2</v>
      </c>
      <c r="R21" s="425">
        <f t="shared" si="9"/>
        <v>-6.5297656306094742E-2</v>
      </c>
      <c r="S21" s="18">
        <f t="shared" si="1"/>
        <v>-0.15219763782293161</v>
      </c>
      <c r="T21" s="18">
        <f t="shared" si="2"/>
        <v>0.30605701362287885</v>
      </c>
      <c r="U21" s="18">
        <f t="shared" si="3"/>
        <v>0.43468466001053119</v>
      </c>
      <c r="V21" s="18">
        <f t="shared" si="4"/>
        <v>-0.29311970154284062</v>
      </c>
      <c r="W21" s="282"/>
    </row>
    <row r="22" spans="2:23" ht="13.5" customHeight="1" x14ac:dyDescent="0.35">
      <c r="B22" s="32"/>
      <c r="C22" s="38">
        <v>45762</v>
      </c>
      <c r="D22" s="424">
        <v>38043206</v>
      </c>
      <c r="E22" s="424">
        <f t="shared" si="5"/>
        <v>3026574.2758620689</v>
      </c>
      <c r="F22" s="424">
        <f>+'BD MF'!AP108</f>
        <v>2583457.2758620689</v>
      </c>
      <c r="G22" s="424">
        <f>+'BD MF'!AQ108</f>
        <v>443117</v>
      </c>
      <c r="H22" s="38">
        <v>46127</v>
      </c>
      <c r="I22" s="424">
        <f t="shared" si="6"/>
        <v>4584480.9785924656</v>
      </c>
      <c r="J22" s="424">
        <f>+'BD MF'!H108</f>
        <v>4112402.5295298402</v>
      </c>
      <c r="K22" s="424">
        <f>+'BD MF'!I108</f>
        <v>472078.449062625</v>
      </c>
      <c r="L22" s="424">
        <f>+'BD MF'!E108</f>
        <v>30934395</v>
      </c>
      <c r="M22" s="424">
        <f>+'BD MF'!AF108</f>
        <v>4012156</v>
      </c>
      <c r="N22" s="424">
        <f>+'BD MF'!AR108</f>
        <v>3679745</v>
      </c>
      <c r="O22" s="424">
        <f>+'BD MF'!AS108</f>
        <v>332411</v>
      </c>
      <c r="P22" s="425">
        <f t="shared" si="7"/>
        <v>-0.12483964515612012</v>
      </c>
      <c r="Q22" s="425">
        <f t="shared" si="8"/>
        <v>-0.10520797184202313</v>
      </c>
      <c r="R22" s="425">
        <f t="shared" si="9"/>
        <v>-0.29585643941161355</v>
      </c>
      <c r="S22" s="18">
        <f t="shared" si="1"/>
        <v>-0.18686151214490176</v>
      </c>
      <c r="T22" s="18">
        <f t="shared" si="2"/>
        <v>0.32564266867602476</v>
      </c>
      <c r="U22" s="18">
        <f t="shared" si="3"/>
        <v>0.42434908228629897</v>
      </c>
      <c r="V22" s="18">
        <f t="shared" si="4"/>
        <v>-0.24983469377162237</v>
      </c>
      <c r="W22" s="282"/>
    </row>
    <row r="23" spans="2:23" ht="14.25" customHeight="1" x14ac:dyDescent="0.35">
      <c r="B23" s="32"/>
      <c r="C23" s="38">
        <v>45748</v>
      </c>
      <c r="D23" s="424">
        <v>29808124</v>
      </c>
      <c r="E23" s="424">
        <f t="shared" si="5"/>
        <v>3936832.0344827585</v>
      </c>
      <c r="F23" s="424">
        <f>+'BD MF'!AP94</f>
        <v>3303952.0344827585</v>
      </c>
      <c r="G23" s="424">
        <f>+'BD MF'!AQ94</f>
        <v>632880</v>
      </c>
      <c r="H23" s="38">
        <v>46128</v>
      </c>
      <c r="I23" s="424">
        <f t="shared" si="6"/>
        <v>3849003.8644771161</v>
      </c>
      <c r="J23" s="424">
        <f>+'BD MF'!H109</f>
        <v>3227221.74691774</v>
      </c>
      <c r="K23" s="424">
        <f>+'BD MF'!I109</f>
        <v>621782.11755937606</v>
      </c>
      <c r="L23" s="424">
        <f>+'BD MF'!E109</f>
        <v>35697133</v>
      </c>
      <c r="M23" s="424">
        <f>+'BD MF'!AF109</f>
        <v>3986571</v>
      </c>
      <c r="N23" s="424">
        <f>+'BD MF'!AR109</f>
        <v>3598979</v>
      </c>
      <c r="O23" s="424">
        <f>+'BD MF'!AS109</f>
        <v>387592</v>
      </c>
      <c r="P23" s="425">
        <f t="shared" si="7"/>
        <v>3.574097100616247E-2</v>
      </c>
      <c r="Q23" s="425">
        <f t="shared" si="8"/>
        <v>0.11519420797077817</v>
      </c>
      <c r="R23" s="425">
        <f t="shared" si="9"/>
        <v>-0.37664337867840414</v>
      </c>
      <c r="S23" s="18">
        <f t="shared" si="1"/>
        <v>0.197563892313384</v>
      </c>
      <c r="T23" s="18">
        <f t="shared" si="2"/>
        <v>1.2634261528451596E-2</v>
      </c>
      <c r="U23" s="18">
        <f t="shared" si="3"/>
        <v>8.9295172096355513E-2</v>
      </c>
      <c r="V23" s="18">
        <f t="shared" si="4"/>
        <v>-0.38757426368347869</v>
      </c>
      <c r="W23" s="282"/>
    </row>
    <row r="24" spans="2:23" ht="14.25" customHeight="1" x14ac:dyDescent="0.35">
      <c r="B24" s="32"/>
      <c r="C24" s="38">
        <v>45749</v>
      </c>
      <c r="D24" s="424">
        <v>33038734</v>
      </c>
      <c r="E24" s="424">
        <f t="shared" si="5"/>
        <v>4055303.8620689656</v>
      </c>
      <c r="F24" s="424">
        <f>+'BD MF'!AP95</f>
        <v>3392527.8620689656</v>
      </c>
      <c r="G24" s="424">
        <f>+'BD MF'!AQ95</f>
        <v>662776</v>
      </c>
      <c r="H24" s="38">
        <v>46129</v>
      </c>
      <c r="I24" s="424">
        <f t="shared" si="6"/>
        <v>3229637.3642553282</v>
      </c>
      <c r="J24" s="424">
        <f>+'BD MF'!H110</f>
        <v>2423378.2517975001</v>
      </c>
      <c r="K24" s="424">
        <f>+'BD MF'!I110</f>
        <v>806259.11245782801</v>
      </c>
      <c r="L24" s="424">
        <f>+'BD MF'!E110</f>
        <v>36809100</v>
      </c>
      <c r="M24" s="424">
        <f>+'BD MF'!AF110</f>
        <v>3399433</v>
      </c>
      <c r="N24" s="424">
        <f>+'BD MF'!AR110</f>
        <v>3028709</v>
      </c>
      <c r="O24" s="424">
        <f>+'BD MF'!AS110</f>
        <v>370724</v>
      </c>
      <c r="P24" s="425">
        <f t="shared" si="7"/>
        <v>5.2574210846059621E-2</v>
      </c>
      <c r="Q24" s="425">
        <f t="shared" si="8"/>
        <v>0.2497879758364201</v>
      </c>
      <c r="R24" s="425">
        <f t="shared" si="9"/>
        <v>-0.54019248369190864</v>
      </c>
      <c r="S24" s="18">
        <f t="shared" si="1"/>
        <v>0.11411956644585719</v>
      </c>
      <c r="T24" s="18">
        <f t="shared" si="2"/>
        <v>-0.16173161971994587</v>
      </c>
      <c r="U24" s="18">
        <f t="shared" si="3"/>
        <v>-0.10724123039245648</v>
      </c>
      <c r="V24" s="18">
        <f t="shared" si="4"/>
        <v>-0.44064963124796308</v>
      </c>
      <c r="W24" s="282"/>
    </row>
    <row r="25" spans="2:23" ht="14.25" customHeight="1" x14ac:dyDescent="0.35">
      <c r="B25" s="32"/>
      <c r="C25" s="38">
        <v>45750</v>
      </c>
      <c r="D25" s="424">
        <v>37536410</v>
      </c>
      <c r="E25" s="424">
        <f t="shared" si="5"/>
        <v>3052607.3793103448</v>
      </c>
      <c r="F25" s="424">
        <f>+'BD MF'!AP96</f>
        <v>2463623.3793103448</v>
      </c>
      <c r="G25" s="424">
        <f>+'BD MF'!AQ96</f>
        <v>588984</v>
      </c>
      <c r="H25" s="38">
        <v>46130</v>
      </c>
      <c r="I25" s="424">
        <f t="shared" si="6"/>
        <v>3047041.5702864998</v>
      </c>
      <c r="J25" s="424">
        <f>+'BD MF'!H111</f>
        <v>2295427.3833223199</v>
      </c>
      <c r="K25" s="424">
        <f>+'BD MF'!I111</f>
        <v>751614.18696417997</v>
      </c>
      <c r="L25" s="424">
        <f>+'BD MF'!E111</f>
        <v>47810548</v>
      </c>
      <c r="M25" s="424">
        <f>+'BD MF'!AF111</f>
        <v>2445536</v>
      </c>
      <c r="N25" s="424">
        <f>+'BD MF'!AR111</f>
        <v>2102244</v>
      </c>
      <c r="O25" s="424">
        <f>+'BD MF'!AS111</f>
        <v>343292</v>
      </c>
      <c r="P25" s="425">
        <f t="shared" si="7"/>
        <v>-0.19740642075649228</v>
      </c>
      <c r="Q25" s="425">
        <f t="shared" si="8"/>
        <v>-8.4160093552039572E-2</v>
      </c>
      <c r="R25" s="425">
        <f t="shared" si="9"/>
        <v>-0.54326035091676572</v>
      </c>
      <c r="S25" s="18">
        <f t="shared" si="1"/>
        <v>0.27371125794928175</v>
      </c>
      <c r="T25" s="18">
        <f t="shared" si="2"/>
        <v>-0.19886978699746716</v>
      </c>
      <c r="U25" s="18">
        <f t="shared" si="3"/>
        <v>-0.14668613000884401</v>
      </c>
      <c r="V25" s="18">
        <f t="shared" si="4"/>
        <v>-0.41714545726199692</v>
      </c>
      <c r="W25" s="282"/>
    </row>
    <row r="26" spans="2:23" ht="14.25" customHeight="1" x14ac:dyDescent="0.35">
      <c r="B26" s="32"/>
      <c r="C26" s="38">
        <v>45751</v>
      </c>
      <c r="D26" s="424">
        <v>37845651</v>
      </c>
      <c r="E26" s="424">
        <f t="shared" si="5"/>
        <v>2494838.4137931038</v>
      </c>
      <c r="F26" s="424">
        <f>+'BD MF'!AP97</f>
        <v>1902741.4137931035</v>
      </c>
      <c r="G26" s="424">
        <f>+'BD MF'!AQ97</f>
        <v>592097</v>
      </c>
      <c r="H26" s="38">
        <v>46131</v>
      </c>
      <c r="I26" s="424">
        <f t="shared" si="6"/>
        <v>3292789.7531871479</v>
      </c>
      <c r="J26" s="424">
        <f>+'BD MF'!H112</f>
        <v>2583740.9904822102</v>
      </c>
      <c r="K26" s="424">
        <f>+'BD MF'!I112</f>
        <v>709048.76270493795</v>
      </c>
      <c r="L26" s="424">
        <f>+'BD MF'!E112</f>
        <v>47890384</v>
      </c>
      <c r="M26" s="424">
        <f>+'BD MF'!AF112</f>
        <v>3054986</v>
      </c>
      <c r="N26" s="424">
        <f>+'BD MF'!AR112</f>
        <v>2642483</v>
      </c>
      <c r="O26" s="424">
        <f>+'BD MF'!AS112</f>
        <v>412503</v>
      </c>
      <c r="P26" s="425">
        <f t="shared" si="7"/>
        <v>-7.2219537538639855E-2</v>
      </c>
      <c r="Q26" s="425">
        <f t="shared" si="8"/>
        <v>2.2735254707874741E-2</v>
      </c>
      <c r="R26" s="425">
        <f t="shared" si="9"/>
        <v>-0.4182304212388025</v>
      </c>
      <c r="S26" s="18">
        <f t="shared" si="1"/>
        <v>0.26541313822293611</v>
      </c>
      <c r="T26" s="18">
        <f t="shared" si="2"/>
        <v>0.2245225915674669</v>
      </c>
      <c r="U26" s="18">
        <f t="shared" si="3"/>
        <v>0.38877673069207352</v>
      </c>
      <c r="V26" s="18">
        <f t="shared" si="4"/>
        <v>-0.30331854408990422</v>
      </c>
      <c r="W26" s="282"/>
    </row>
    <row r="27" spans="2:23" ht="14.25" customHeight="1" x14ac:dyDescent="0.35">
      <c r="B27" s="32"/>
      <c r="C27" s="38">
        <v>45752</v>
      </c>
      <c r="D27" s="424">
        <v>49424718</v>
      </c>
      <c r="E27" s="424">
        <f t="shared" si="5"/>
        <v>2143966.3103448274</v>
      </c>
      <c r="F27" s="424">
        <f>+'BD MF'!AP98</f>
        <v>1578992.3103448276</v>
      </c>
      <c r="G27" s="424">
        <f>+'BD MF'!AQ98</f>
        <v>564974</v>
      </c>
      <c r="H27" s="38">
        <v>46132</v>
      </c>
      <c r="I27" s="424">
        <f t="shared" si="6"/>
        <v>4640854.5148641914</v>
      </c>
      <c r="J27" s="424">
        <f>+'BD MF'!H113</f>
        <v>3921418.0021528802</v>
      </c>
      <c r="K27" s="424">
        <f>+'BD MF'!I113</f>
        <v>719436.51271131099</v>
      </c>
      <c r="L27" s="424">
        <f>+'BD MF'!E113</f>
        <v>25946603</v>
      </c>
      <c r="M27" s="424">
        <f>+'BD MF'!AF113</f>
        <v>4185750</v>
      </c>
      <c r="N27" s="424">
        <f>+'BD MF'!AR113</f>
        <v>3729188</v>
      </c>
      <c r="O27" s="424">
        <f>+'BD MF'!AS113</f>
        <v>456562</v>
      </c>
      <c r="P27" s="425">
        <f t="shared" si="7"/>
        <v>-9.8064809704018319E-2</v>
      </c>
      <c r="Q27" s="425">
        <f t="shared" si="8"/>
        <v>-4.9020533400760846E-2</v>
      </c>
      <c r="R27" s="425">
        <f t="shared" si="9"/>
        <v>-0.365389451420288</v>
      </c>
      <c r="S27" s="18">
        <f t="shared" si="1"/>
        <v>-0.47502779884348556</v>
      </c>
      <c r="T27" s="18">
        <f t="shared" si="2"/>
        <v>0.95233944666172476</v>
      </c>
      <c r="U27" s="18">
        <f t="shared" si="3"/>
        <v>1.361751843608157</v>
      </c>
      <c r="V27" s="18">
        <f t="shared" si="4"/>
        <v>-0.19188847628386441</v>
      </c>
      <c r="W27" s="282"/>
    </row>
    <row r="28" spans="2:23" ht="14.25" customHeight="1" x14ac:dyDescent="0.35">
      <c r="B28" s="32"/>
      <c r="C28" s="38">
        <v>45753</v>
      </c>
      <c r="D28" s="424">
        <v>48801683</v>
      </c>
      <c r="E28" s="424">
        <f t="shared" si="5"/>
        <v>2564117.2068965519</v>
      </c>
      <c r="F28" s="424">
        <f>+'BD MF'!AP99</f>
        <v>1950551.2068965517</v>
      </c>
      <c r="G28" s="424">
        <f>+'BD MF'!AQ99</f>
        <v>613566</v>
      </c>
      <c r="H28" s="38">
        <v>46133</v>
      </c>
      <c r="I28" s="424">
        <f t="shared" si="6"/>
        <v>4656374.6585687567</v>
      </c>
      <c r="J28" s="424">
        <f>+'BD MF'!H114</f>
        <v>4035988.4624826298</v>
      </c>
      <c r="K28" s="424">
        <f>+'BD MF'!I114</f>
        <v>620386.19608612696</v>
      </c>
      <c r="L28" s="424">
        <f>+'BD MF'!E114</f>
        <v>29155457</v>
      </c>
      <c r="M28" s="424">
        <f>+'BD MF'!AF114</f>
        <v>4771228</v>
      </c>
      <c r="N28" s="424">
        <f>+'BD MF'!AR114</f>
        <v>4306825</v>
      </c>
      <c r="O28" s="424">
        <f>+'BD MF'!AS114</f>
        <v>464403</v>
      </c>
      <c r="P28" s="425">
        <f t="shared" si="7"/>
        <v>2.4665829073673873E-2</v>
      </c>
      <c r="Q28" s="425">
        <f t="shared" si="8"/>
        <v>6.7105379521023689E-2</v>
      </c>
      <c r="R28" s="425">
        <f t="shared" si="9"/>
        <v>-0.25142918567529204</v>
      </c>
      <c r="S28" s="18">
        <f t="shared" si="1"/>
        <v>-0.40257271455166821</v>
      </c>
      <c r="T28" s="18">
        <f t="shared" si="2"/>
        <v>0.86076829372975427</v>
      </c>
      <c r="U28" s="18">
        <f t="shared" si="3"/>
        <v>1.2080040681692363</v>
      </c>
      <c r="V28" s="18">
        <f t="shared" si="4"/>
        <v>-0.24310832086523704</v>
      </c>
      <c r="W28" s="282"/>
    </row>
    <row r="29" spans="2:23" ht="14.25" customHeight="1" x14ac:dyDescent="0.35">
      <c r="B29" s="32"/>
      <c r="C29" s="38">
        <v>45754</v>
      </c>
      <c r="D29" s="424">
        <v>28107408</v>
      </c>
      <c r="E29" s="424">
        <f t="shared" si="5"/>
        <v>3681154.1379310344</v>
      </c>
      <c r="F29" s="424">
        <f>+'BD MF'!AP100</f>
        <v>3083369.1379310344</v>
      </c>
      <c r="G29" s="424">
        <f>+'BD MF'!AQ100</f>
        <v>597785</v>
      </c>
      <c r="H29" s="38">
        <v>46134</v>
      </c>
      <c r="I29" s="424">
        <f t="shared" si="6"/>
        <v>4508167.3730940577</v>
      </c>
      <c r="J29" s="424">
        <f>+'BD MF'!H115</f>
        <v>3939193.9936038898</v>
      </c>
      <c r="K29" s="424">
        <f>+'BD MF'!I115</f>
        <v>568973.37949016795</v>
      </c>
      <c r="L29" s="424">
        <f>+'BD MF'!E115</f>
        <v>30577431</v>
      </c>
      <c r="M29" s="424">
        <f>+'BD MF'!AF115</f>
        <v>4344071</v>
      </c>
      <c r="N29" s="424">
        <f>+'BD MF'!AR115</f>
        <v>3892192</v>
      </c>
      <c r="O29" s="424">
        <f>+'BD MF'!AS115</f>
        <v>451879</v>
      </c>
      <c r="P29" s="425">
        <f t="shared" si="7"/>
        <v>-3.6399796084197855E-2</v>
      </c>
      <c r="Q29" s="425">
        <f t="shared" si="8"/>
        <v>-1.1931880907669834E-2</v>
      </c>
      <c r="R29" s="425">
        <f t="shared" si="9"/>
        <v>-0.20579939890173959</v>
      </c>
      <c r="S29" s="18">
        <f t="shared" si="1"/>
        <v>8.7878007107592415E-2</v>
      </c>
      <c r="T29" s="18">
        <f t="shared" si="2"/>
        <v>0.1800839729144168</v>
      </c>
      <c r="U29" s="18">
        <f t="shared" si="3"/>
        <v>0.26231788212412743</v>
      </c>
      <c r="V29" s="18">
        <f t="shared" si="4"/>
        <v>-0.24407772025059182</v>
      </c>
      <c r="W29" s="282"/>
    </row>
    <row r="30" spans="2:23" ht="14.25" customHeight="1" x14ac:dyDescent="0.35">
      <c r="B30" s="32"/>
      <c r="C30" s="38">
        <v>45755</v>
      </c>
      <c r="D30" s="424">
        <v>30891733</v>
      </c>
      <c r="E30" s="424">
        <f t="shared" si="5"/>
        <v>3954165.5862068967</v>
      </c>
      <c r="F30" s="424">
        <f>+'BD MF'!AP101</f>
        <v>3402294.5862068967</v>
      </c>
      <c r="G30" s="424">
        <f>+'BD MF'!AQ101</f>
        <v>551871</v>
      </c>
      <c r="H30" s="38">
        <v>46135</v>
      </c>
      <c r="I30" s="424">
        <f t="shared" si="6"/>
        <v>3746831.352177362</v>
      </c>
      <c r="J30" s="424">
        <f>+'BD MF'!H116</f>
        <v>3186575.4791342602</v>
      </c>
      <c r="K30" s="424">
        <f>+'BD MF'!I116</f>
        <v>560255.87304310198</v>
      </c>
      <c r="L30" s="424">
        <f>+'BD MF'!E116</f>
        <v>35456383</v>
      </c>
      <c r="M30" s="424">
        <f>+'BD MF'!AF116</f>
        <v>3684393</v>
      </c>
      <c r="N30" s="424">
        <f>+'BD MF'!AR116</f>
        <v>3247836</v>
      </c>
      <c r="O30" s="424">
        <f>+'BD MF'!AS116</f>
        <v>436557</v>
      </c>
      <c r="P30" s="425">
        <f t="shared" si="7"/>
        <v>-1.6664308133612082E-2</v>
      </c>
      <c r="Q30" s="425">
        <f t="shared" si="8"/>
        <v>1.9224562941274836E-2</v>
      </c>
      <c r="R30" s="425">
        <f t="shared" si="9"/>
        <v>-0.22078996222068248</v>
      </c>
      <c r="S30" s="18">
        <f t="shared" si="1"/>
        <v>0.14776283350629771</v>
      </c>
      <c r="T30" s="18">
        <f t="shared" si="2"/>
        <v>-6.8224908726111533E-2</v>
      </c>
      <c r="U30" s="18">
        <f t="shared" si="3"/>
        <v>-4.5398357576995507E-2</v>
      </c>
      <c r="V30" s="18">
        <f t="shared" si="4"/>
        <v>-0.20895100485439533</v>
      </c>
      <c r="W30" s="282"/>
    </row>
    <row r="31" spans="2:23" ht="14.25" customHeight="1" x14ac:dyDescent="0.35">
      <c r="B31" s="32"/>
      <c r="C31" s="38">
        <v>45756</v>
      </c>
      <c r="D31" s="424">
        <v>33570758</v>
      </c>
      <c r="E31" s="424">
        <f t="shared" si="5"/>
        <v>3343296.7586206896</v>
      </c>
      <c r="F31" s="424">
        <f>+'BD MF'!AP102</f>
        <v>2827834.7586206896</v>
      </c>
      <c r="G31" s="424">
        <f>+'BD MF'!AQ102</f>
        <v>515462</v>
      </c>
      <c r="H31" s="38">
        <v>46136</v>
      </c>
      <c r="I31" s="424">
        <f t="shared" si="6"/>
        <v>2943088.510209234</v>
      </c>
      <c r="J31" s="424">
        <f>+'BD MF'!H117</f>
        <v>2445372.7951799599</v>
      </c>
      <c r="K31" s="424">
        <f>+'BD MF'!I117</f>
        <v>497715.715029274</v>
      </c>
      <c r="L31" s="424">
        <f>+'BD MF'!E117</f>
        <v>35631295</v>
      </c>
      <c r="M31" s="424">
        <f>+'BD MF'!AF117</f>
        <v>2941412</v>
      </c>
      <c r="N31" s="424">
        <f>+'BD MF'!AR117</f>
        <v>2585271</v>
      </c>
      <c r="O31" s="424">
        <f>+'BD MF'!AS117</f>
        <v>356141</v>
      </c>
      <c r="P31" s="425">
        <f t="shared" si="7"/>
        <v>-5.6964314984697673E-4</v>
      </c>
      <c r="Q31" s="425">
        <f t="shared" si="8"/>
        <v>5.7209356829270197E-2</v>
      </c>
      <c r="R31" s="425">
        <f t="shared" si="9"/>
        <v>-0.28444895500425793</v>
      </c>
      <c r="S31" s="18">
        <f t="shared" si="1"/>
        <v>6.137892388369659E-2</v>
      </c>
      <c r="T31" s="18">
        <f t="shared" si="2"/>
        <v>-0.12020612815312604</v>
      </c>
      <c r="U31" s="18">
        <f t="shared" si="3"/>
        <v>-8.5777203877005492E-2</v>
      </c>
      <c r="V31" s="18">
        <f t="shared" si="4"/>
        <v>-0.30908388979207002</v>
      </c>
      <c r="W31" s="282"/>
    </row>
    <row r="32" spans="2:23" ht="14.25" customHeight="1" x14ac:dyDescent="0.35">
      <c r="B32" s="32"/>
      <c r="C32" s="38">
        <v>45757</v>
      </c>
      <c r="D32" s="424">
        <v>38193351</v>
      </c>
      <c r="E32" s="424">
        <f t="shared" si="5"/>
        <v>2855594.3793103448</v>
      </c>
      <c r="F32" s="424">
        <f>+'BD MF'!AP103</f>
        <v>2318154.3793103448</v>
      </c>
      <c r="G32" s="424">
        <f>+'BD MF'!AQ103</f>
        <v>537440</v>
      </c>
      <c r="H32" s="38">
        <v>46137</v>
      </c>
      <c r="I32" s="424">
        <f t="shared" si="6"/>
        <v>2922593.1010954212</v>
      </c>
      <c r="J32" s="424">
        <f>+'BD MF'!H118</f>
        <v>2381328.42008851</v>
      </c>
      <c r="K32" s="424">
        <f>+'BD MF'!I118</f>
        <v>541264.68100691098</v>
      </c>
      <c r="L32" s="424">
        <f>+'BD MF'!E118</f>
        <v>44200408</v>
      </c>
      <c r="M32" s="424">
        <f>+'BD MF'!AF118</f>
        <v>2337908</v>
      </c>
      <c r="N32" s="424">
        <f>+'BD MF'!AR118</f>
        <v>1963146</v>
      </c>
      <c r="O32" s="424">
        <f>+'BD MF'!AS118</f>
        <v>374762</v>
      </c>
      <c r="P32" s="425">
        <f t="shared" si="7"/>
        <v>-0.2000569634124828</v>
      </c>
      <c r="Q32" s="425">
        <f t="shared" si="8"/>
        <v>-0.17560888139611042</v>
      </c>
      <c r="R32" s="425">
        <f t="shared" si="9"/>
        <v>-0.30761785656726615</v>
      </c>
      <c r="S32" s="18">
        <f t="shared" si="1"/>
        <v>0.157280176855914</v>
      </c>
      <c r="T32" s="18">
        <f t="shared" si="2"/>
        <v>-0.1812884851788269</v>
      </c>
      <c r="U32" s="18">
        <f t="shared" si="3"/>
        <v>-0.1531426821607802</v>
      </c>
      <c r="V32" s="18">
        <f t="shared" si="4"/>
        <v>-0.30269053289669545</v>
      </c>
      <c r="W32" s="282"/>
    </row>
    <row r="33" spans="2:36" ht="14.25" customHeight="1" x14ac:dyDescent="0.35">
      <c r="B33" s="32"/>
      <c r="C33" s="38">
        <v>45758</v>
      </c>
      <c r="D33" s="424">
        <v>38630835</v>
      </c>
      <c r="E33" s="424">
        <f t="shared" si="5"/>
        <v>2228457.1034482759</v>
      </c>
      <c r="F33" s="424">
        <f>+'BD MF'!AP104</f>
        <v>1752392.1034482759</v>
      </c>
      <c r="G33" s="424">
        <f>+'BD MF'!AQ104</f>
        <v>476065</v>
      </c>
      <c r="H33" s="38">
        <v>46138</v>
      </c>
      <c r="I33" s="424">
        <f t="shared" si="6"/>
        <v>3121767.4812489282</v>
      </c>
      <c r="J33" s="424">
        <f>+'BD MF'!H119</f>
        <v>2426796.8099636701</v>
      </c>
      <c r="K33" s="424">
        <f>+'BD MF'!I119</f>
        <v>694970.67128525802</v>
      </c>
      <c r="L33" s="424">
        <f>+'BD MF'!E119</f>
        <v>44483663</v>
      </c>
      <c r="M33" s="424">
        <f>+'BD MF'!AF119</f>
        <v>2740155</v>
      </c>
      <c r="N33" s="424">
        <f>+'BD MF'!AR119</f>
        <v>2472285</v>
      </c>
      <c r="O33" s="424">
        <f>+'BD MF'!AS119</f>
        <v>267870</v>
      </c>
      <c r="P33" s="425">
        <f t="shared" si="7"/>
        <v>-0.12224244231548476</v>
      </c>
      <c r="Q33" s="425">
        <f t="shared" si="8"/>
        <v>1.8744128000156346E-2</v>
      </c>
      <c r="R33" s="425">
        <f t="shared" si="9"/>
        <v>-0.61455927412791511</v>
      </c>
      <c r="S33" s="18">
        <f t="shared" si="1"/>
        <v>0.15150663970892686</v>
      </c>
      <c r="T33" s="18">
        <f t="shared" si="2"/>
        <v>0.22961980993932141</v>
      </c>
      <c r="U33" s="18">
        <f t="shared" si="3"/>
        <v>0.41080583228784939</v>
      </c>
      <c r="V33" s="18">
        <f t="shared" si="4"/>
        <v>-0.43732473506769032</v>
      </c>
      <c r="W33" s="282"/>
    </row>
    <row r="34" spans="2:36" ht="14.25" customHeight="1" x14ac:dyDescent="0.35">
      <c r="B34" s="32"/>
      <c r="C34" s="38">
        <v>45759</v>
      </c>
      <c r="D34" s="424">
        <v>47070678</v>
      </c>
      <c r="E34" s="424">
        <f t="shared" si="5"/>
        <v>1943897.9655172415</v>
      </c>
      <c r="F34" s="424">
        <f>+'BD MF'!AP105</f>
        <v>1469535.9655172415</v>
      </c>
      <c r="G34" s="424">
        <f>+'BD MF'!AQ105</f>
        <v>474362</v>
      </c>
      <c r="H34" s="38">
        <v>46139</v>
      </c>
      <c r="I34" s="424">
        <f t="shared" si="6"/>
        <v>3938557.7823995668</v>
      </c>
      <c r="J34" s="424">
        <f>+'BD MF'!H120</f>
        <v>3150380.9104436301</v>
      </c>
      <c r="K34" s="424">
        <f>+'BD MF'!I120</f>
        <v>788176.87195593701</v>
      </c>
      <c r="L34" s="424">
        <f>+'BD MF'!E120</f>
        <v>25760577</v>
      </c>
      <c r="M34" s="424">
        <f>+'BD MF'!AF120</f>
        <v>4338837</v>
      </c>
      <c r="N34" s="424">
        <f>+'BD MF'!AR120</f>
        <v>3743971</v>
      </c>
      <c r="O34" s="424">
        <f>+'BD MF'!AS120</f>
        <v>594866</v>
      </c>
      <c r="P34" s="425">
        <f t="shared" si="7"/>
        <v>0.10163091154563775</v>
      </c>
      <c r="Q34" s="425">
        <f t="shared" si="8"/>
        <v>0.18841851396083453</v>
      </c>
      <c r="R34" s="425">
        <f t="shared" si="9"/>
        <v>-0.24526331440837312</v>
      </c>
      <c r="S34" s="18">
        <f t="shared" si="1"/>
        <v>-0.45272560127559669</v>
      </c>
      <c r="T34" s="18">
        <f t="shared" si="2"/>
        <v>1.2320291892715169</v>
      </c>
      <c r="U34" s="18">
        <f t="shared" si="3"/>
        <v>1.5477232867058222</v>
      </c>
      <c r="V34" s="18">
        <f t="shared" si="4"/>
        <v>0.25403383913551258</v>
      </c>
      <c r="W34" s="282"/>
    </row>
    <row r="35" spans="2:36" ht="14.25" customHeight="1" x14ac:dyDescent="0.35">
      <c r="B35" s="32"/>
      <c r="C35" s="38">
        <v>45760</v>
      </c>
      <c r="D35" s="424">
        <v>42859990</v>
      </c>
      <c r="E35" s="424">
        <f t="shared" si="5"/>
        <v>3201083.1724137929</v>
      </c>
      <c r="F35" s="424">
        <f>+'BD MF'!AP121</f>
        <v>2811166.1724137929</v>
      </c>
      <c r="G35" s="424">
        <f>+'BD MF'!AQ121</f>
        <v>389917</v>
      </c>
      <c r="H35" s="38">
        <v>46140</v>
      </c>
      <c r="I35" s="424">
        <f t="shared" si="6"/>
        <v>4775363.2823169054</v>
      </c>
      <c r="J35" s="424">
        <f>+'BD MF'!H121</f>
        <v>3865009.1529240501</v>
      </c>
      <c r="K35" s="424">
        <f>+'BD MF'!I121</f>
        <v>910354.12939285499</v>
      </c>
      <c r="L35" s="424">
        <f>+'BD MF'!E121</f>
        <v>29247943</v>
      </c>
      <c r="M35" s="424">
        <f>+'BD MF'!AF121</f>
        <v>3992193</v>
      </c>
      <c r="N35" s="424">
        <f>+'BD MF'!AR121</f>
        <v>3528146</v>
      </c>
      <c r="O35" s="424">
        <f>+'BD MF'!AS121</f>
        <v>464047</v>
      </c>
      <c r="P35" s="425">
        <f t="shared" si="7"/>
        <v>-0.1640022415084047</v>
      </c>
      <c r="Q35" s="425">
        <f t="shared" si="8"/>
        <v>-8.7157142349636674E-2</v>
      </c>
      <c r="R35" s="425">
        <f t="shared" si="9"/>
        <v>-0.49025661001890752</v>
      </c>
      <c r="S35" s="18">
        <f t="shared" si="1"/>
        <v>-0.31759333121636291</v>
      </c>
      <c r="T35" s="18">
        <f t="shared" si="2"/>
        <v>0.24713816698166791</v>
      </c>
      <c r="U35" s="18">
        <f t="shared" si="3"/>
        <v>0.25504711696590188</v>
      </c>
      <c r="V35" s="18">
        <f t="shared" si="4"/>
        <v>0.19011738395607281</v>
      </c>
      <c r="W35" s="282"/>
    </row>
    <row r="36" spans="2:36" ht="14.25" customHeight="1" x14ac:dyDescent="0.35">
      <c r="B36" s="32"/>
      <c r="C36" s="38">
        <v>45776</v>
      </c>
      <c r="D36" s="424">
        <f>+'BD MF'!B122</f>
        <v>26524854</v>
      </c>
      <c r="E36" s="424">
        <f t="shared" si="5"/>
        <v>3535092.2068965519</v>
      </c>
      <c r="F36" s="424">
        <f>+'BD MF'!AP122</f>
        <v>3198332.2068965519</v>
      </c>
      <c r="G36" s="424">
        <f>+'BD MF'!AQ122</f>
        <v>336760</v>
      </c>
      <c r="H36" s="38">
        <v>46141</v>
      </c>
      <c r="I36" s="424">
        <f t="shared" si="6"/>
        <v>4786174.5106639257</v>
      </c>
      <c r="J36" s="424">
        <f>+'BD MF'!H122</f>
        <v>3969770.1570955799</v>
      </c>
      <c r="K36" s="424">
        <f>+'BD MF'!I122</f>
        <v>816404.35356834601</v>
      </c>
      <c r="L36" s="424">
        <f>+'BD MF'!E122</f>
        <v>33378286</v>
      </c>
      <c r="M36" s="424">
        <f>+'BD MF'!AF122</f>
        <v>3886923</v>
      </c>
      <c r="N36" s="424">
        <f>+'BD MF'!AR122</f>
        <v>3408267</v>
      </c>
      <c r="O36" s="424">
        <f>+'BD MF'!AS122</f>
        <v>478656</v>
      </c>
      <c r="P36" s="425">
        <f t="shared" si="7"/>
        <v>-0.18788523248793609</v>
      </c>
      <c r="Q36" s="425">
        <f t="shared" si="8"/>
        <v>-0.14144475243533872</v>
      </c>
      <c r="R36" s="425">
        <f t="shared" si="9"/>
        <v>-0.4137022935903184</v>
      </c>
      <c r="S36" s="18">
        <f t="shared" si="1"/>
        <v>0.25837774639588962</v>
      </c>
      <c r="T36" s="18">
        <f t="shared" si="2"/>
        <v>9.952520967262668E-2</v>
      </c>
      <c r="U36" s="18">
        <f t="shared" si="3"/>
        <v>6.563883284255656E-2</v>
      </c>
      <c r="V36" s="18">
        <f t="shared" si="4"/>
        <v>0.42135645563606139</v>
      </c>
      <c r="W36" s="282"/>
    </row>
    <row r="37" spans="2:36" ht="14.25" customHeight="1" x14ac:dyDescent="0.35">
      <c r="B37" s="32"/>
      <c r="C37" s="38">
        <v>45777</v>
      </c>
      <c r="D37" s="424">
        <f>+'BD MF'!B123</f>
        <v>25819285</v>
      </c>
      <c r="E37" s="424">
        <f t="shared" si="5"/>
        <v>3278850.1724137929</v>
      </c>
      <c r="F37" s="424">
        <f>+'BD MF'!AP123</f>
        <v>2941061.1724137929</v>
      </c>
      <c r="G37" s="424">
        <f>+'BD MF'!AQ123</f>
        <v>337789</v>
      </c>
      <c r="H37" s="38">
        <v>46142</v>
      </c>
      <c r="I37" s="424">
        <f t="shared" si="6"/>
        <v>4665726.4877311597</v>
      </c>
      <c r="J37" s="424">
        <f>+'BD MF'!H123</f>
        <v>3834357.5068530198</v>
      </c>
      <c r="K37" s="424">
        <f>+'BD MF'!I123</f>
        <v>831368.98087813996</v>
      </c>
      <c r="L37" s="424">
        <f>+'BD MF'!E123</f>
        <v>30386544</v>
      </c>
      <c r="M37" s="424">
        <f>+'BD MF'!AF123</f>
        <v>2872615</v>
      </c>
      <c r="N37" s="424">
        <f>+'BD MF'!AR123</f>
        <v>2492142</v>
      </c>
      <c r="O37" s="424">
        <f>+'BD MF'!AS123</f>
        <v>380473</v>
      </c>
      <c r="P37" s="425">
        <f t="shared" si="7"/>
        <v>-0.3843156028211826</v>
      </c>
      <c r="Q37" s="425">
        <f t="shared" si="8"/>
        <v>-0.35004965093998741</v>
      </c>
      <c r="R37" s="425">
        <f t="shared" si="9"/>
        <v>-0.54235362546468546</v>
      </c>
      <c r="S37" s="18">
        <f t="shared" si="1"/>
        <v>0.1768933183083885</v>
      </c>
      <c r="T37" s="18">
        <f t="shared" si="2"/>
        <v>-0.12389561921175996</v>
      </c>
      <c r="U37" s="18">
        <f t="shared" si="3"/>
        <v>-0.15263850226051412</v>
      </c>
      <c r="V37" s="18">
        <f t="shared" si="4"/>
        <v>0.12636290702183905</v>
      </c>
      <c r="W37" s="282"/>
    </row>
    <row r="38" spans="2:36" ht="14.25" customHeight="1" x14ac:dyDescent="0.35">
      <c r="C38" s="418" t="s">
        <v>444</v>
      </c>
      <c r="D38" s="429">
        <f>+SUM(D8:D36)</f>
        <v>1028203733</v>
      </c>
      <c r="E38" s="429">
        <f>+SUM(E8:E36)</f>
        <v>79776356.344827592</v>
      </c>
      <c r="F38" s="429">
        <f>+SUM(F8:F36)</f>
        <v>66008273.3448276</v>
      </c>
      <c r="G38" s="429">
        <f>+SUM(G8:G36)</f>
        <v>13768083</v>
      </c>
      <c r="H38" s="430"/>
      <c r="I38" s="429">
        <f t="shared" ref="I38:O38" si="10">+SUM(I8:I36)</f>
        <v>103725772.83859029</v>
      </c>
      <c r="J38" s="429">
        <f t="shared" si="10"/>
        <v>86057141.819468439</v>
      </c>
      <c r="K38" s="429">
        <f t="shared" si="10"/>
        <v>17668631.019121863</v>
      </c>
      <c r="L38" s="429">
        <f t="shared" si="10"/>
        <v>998304309</v>
      </c>
      <c r="M38" s="429">
        <f t="shared" si="10"/>
        <v>99455478</v>
      </c>
      <c r="N38" s="429">
        <f t="shared" si="10"/>
        <v>86246635</v>
      </c>
      <c r="O38" s="429">
        <f t="shared" si="10"/>
        <v>13208843</v>
      </c>
      <c r="P38" s="431">
        <f t="shared" si="7"/>
        <v>-4.1169081914052219E-2</v>
      </c>
      <c r="Q38" s="431">
        <f t="shared" si="8"/>
        <v>2.2019460154636405E-3</v>
      </c>
      <c r="R38" s="425">
        <f t="shared" si="9"/>
        <v>-0.25241276555581815</v>
      </c>
      <c r="S38" s="432">
        <f t="shared" si="1"/>
        <v>-2.9079279757876497E-2</v>
      </c>
      <c r="T38" s="432">
        <f t="shared" si="2"/>
        <v>0.24667862204825219</v>
      </c>
      <c r="U38" s="432">
        <f t="shared" si="3"/>
        <v>0.30660340938547326</v>
      </c>
      <c r="V38" s="432">
        <f t="shared" si="4"/>
        <v>-4.0618581395826858E-2</v>
      </c>
    </row>
    <row r="39" spans="2:36" ht="14.25" customHeight="1" x14ac:dyDescent="0.35">
      <c r="B39" s="514" t="s">
        <v>258</v>
      </c>
      <c r="C39" s="514"/>
      <c r="D39" s="433">
        <f>+SUM(D8:D19)</f>
        <v>391712669</v>
      </c>
      <c r="E39" s="433">
        <f>+SUM(E8:E19)</f>
        <v>28237067.689655174</v>
      </c>
      <c r="F39" s="433">
        <f>+SUM(F8:F19)</f>
        <v>23503289.689655174</v>
      </c>
      <c r="G39" s="433">
        <f>+SUM(G8:G19)</f>
        <v>4733778</v>
      </c>
      <c r="H39" s="430"/>
      <c r="I39" s="433">
        <f t="shared" ref="I39:O39" si="11">+SUM(I8:I19)</f>
        <v>37235954.987856232</v>
      </c>
      <c r="J39" s="433">
        <f t="shared" si="11"/>
        <v>30642006.396387551</v>
      </c>
      <c r="K39" s="433">
        <f t="shared" si="11"/>
        <v>6593948.5914686797</v>
      </c>
      <c r="L39" s="433">
        <f t="shared" si="11"/>
        <v>411804253</v>
      </c>
      <c r="M39" s="433">
        <f t="shared" si="11"/>
        <v>36453766</v>
      </c>
      <c r="N39" s="433">
        <f t="shared" si="11"/>
        <v>30588013</v>
      </c>
      <c r="O39" s="433">
        <f t="shared" si="11"/>
        <v>5865753</v>
      </c>
      <c r="P39" s="434">
        <f t="shared" si="7"/>
        <v>-2.1006282452305181E-2</v>
      </c>
      <c r="Q39" s="434">
        <f t="shared" si="8"/>
        <v>-1.7620711806233258E-3</v>
      </c>
      <c r="R39" s="434">
        <f t="shared" si="9"/>
        <v>-0.11043392003553487</v>
      </c>
      <c r="S39" s="434">
        <f t="shared" si="1"/>
        <v>5.1291636931967588E-2</v>
      </c>
      <c r="T39" s="434">
        <f t="shared" si="2"/>
        <v>0.29098978692306154</v>
      </c>
      <c r="U39" s="434">
        <f t="shared" si="3"/>
        <v>0.30143539070035463</v>
      </c>
      <c r="V39" s="434">
        <f t="shared" si="4"/>
        <v>0.23912718340403805</v>
      </c>
    </row>
    <row r="40" spans="2:36" ht="14.25" customHeight="1" x14ac:dyDescent="0.35">
      <c r="M40" s="5">
        <f>+M38/E38-1</f>
        <v>0.24667862204825219</v>
      </c>
      <c r="O40">
        <v>436917</v>
      </c>
    </row>
    <row r="43" spans="2:36" ht="14.25" customHeight="1" x14ac:dyDescent="0.35">
      <c r="M43" s="113"/>
    </row>
    <row r="45" spans="2:36" ht="15" customHeight="1" x14ac:dyDescent="0.35"/>
    <row r="46" spans="2:36" ht="42" customHeight="1" x14ac:dyDescent="0.35">
      <c r="D46" s="510" t="s">
        <v>287</v>
      </c>
      <c r="E46" s="510"/>
      <c r="F46" s="510"/>
      <c r="G46" s="510"/>
      <c r="H46" s="510"/>
      <c r="I46" s="510"/>
      <c r="J46" s="510" t="s">
        <v>288</v>
      </c>
      <c r="K46" s="510"/>
      <c r="L46" s="510"/>
      <c r="M46" s="510"/>
      <c r="N46" s="510"/>
      <c r="O46" s="510" t="s">
        <v>275</v>
      </c>
      <c r="P46" s="510"/>
      <c r="Q46" s="510"/>
      <c r="R46" s="510"/>
      <c r="S46" s="510"/>
      <c r="U46" s="510" t="s">
        <v>287</v>
      </c>
      <c r="V46" s="510"/>
      <c r="W46" s="510"/>
      <c r="X46" s="510"/>
      <c r="Y46" s="510"/>
      <c r="Z46" s="510"/>
      <c r="AA46" s="510" t="s">
        <v>288</v>
      </c>
      <c r="AB46" s="510"/>
      <c r="AC46" s="510"/>
      <c r="AD46" s="510"/>
      <c r="AE46" s="510"/>
      <c r="AF46" s="510" t="s">
        <v>275</v>
      </c>
      <c r="AG46" s="510"/>
      <c r="AH46" s="510"/>
      <c r="AI46" s="510"/>
      <c r="AJ46" s="510"/>
    </row>
    <row r="47" spans="2:36" ht="42" customHeight="1" x14ac:dyDescent="0.35">
      <c r="D47" s="114" t="s">
        <v>276</v>
      </c>
      <c r="E47" s="115">
        <v>2025</v>
      </c>
      <c r="F47" s="116" t="s">
        <v>278</v>
      </c>
      <c r="G47" s="117" t="s">
        <v>289</v>
      </c>
      <c r="H47" s="118" t="s">
        <v>280</v>
      </c>
      <c r="I47" s="119" t="s">
        <v>279</v>
      </c>
      <c r="J47" s="115">
        <v>2025</v>
      </c>
      <c r="K47" s="116" t="s">
        <v>290</v>
      </c>
      <c r="L47" s="117" t="s">
        <v>291</v>
      </c>
      <c r="M47" s="118" t="s">
        <v>280</v>
      </c>
      <c r="N47" s="119" t="s">
        <v>279</v>
      </c>
      <c r="O47" s="115">
        <v>2025</v>
      </c>
      <c r="P47" s="116" t="s">
        <v>292</v>
      </c>
      <c r="Q47" s="117" t="s">
        <v>293</v>
      </c>
      <c r="R47" s="118" t="s">
        <v>280</v>
      </c>
      <c r="S47" s="119" t="s">
        <v>279</v>
      </c>
      <c r="U47" s="114" t="s">
        <v>276</v>
      </c>
      <c r="V47" s="115">
        <v>2025</v>
      </c>
      <c r="W47" s="116" t="s">
        <v>278</v>
      </c>
      <c r="X47" s="117" t="s">
        <v>289</v>
      </c>
      <c r="Y47" s="118" t="s">
        <v>280</v>
      </c>
      <c r="Z47" s="119" t="s">
        <v>279</v>
      </c>
      <c r="AA47" s="120">
        <v>2025</v>
      </c>
      <c r="AB47" s="116" t="s">
        <v>290</v>
      </c>
      <c r="AC47" s="117" t="s">
        <v>291</v>
      </c>
      <c r="AD47" s="118" t="s">
        <v>280</v>
      </c>
      <c r="AE47" s="119" t="s">
        <v>279</v>
      </c>
      <c r="AF47" s="120">
        <v>2025</v>
      </c>
      <c r="AG47" s="116" t="s">
        <v>292</v>
      </c>
      <c r="AH47" s="117" t="s">
        <v>293</v>
      </c>
      <c r="AI47" s="118" t="s">
        <v>280</v>
      </c>
      <c r="AJ47" s="119" t="s">
        <v>279</v>
      </c>
    </row>
    <row r="48" spans="2:36" ht="42" customHeight="1" x14ac:dyDescent="0.35">
      <c r="D48" s="127" t="s">
        <v>265</v>
      </c>
      <c r="E48" s="128">
        <f>+SUM('BD MF'!J109:J123)+'BD MF'!J106+'BD MF'!J107+'BD MF'!J108+'BD MF'!J94+SUM('BD MF'!L109:L123)+'BD MF'!L106+'BD MF'!L107+'BD MF'!L108+'BD MF'!L94</f>
        <v>40600037.413793109</v>
      </c>
      <c r="F48" s="128">
        <f>+SUM('BD MF'!H94:H109)*'Metas 2026'!G29</f>
        <v>43188578.903734304</v>
      </c>
      <c r="G48" s="129">
        <f>+SUM('BD MF'!K94:K109)+SUM('BD MF'!M94:M109)</f>
        <v>43936933</v>
      </c>
      <c r="H48" s="130">
        <f>+G48/E48-1</f>
        <v>8.2189470718892599E-2</v>
      </c>
      <c r="I48" s="131">
        <f>+G48/F48-1</f>
        <v>1.7327592508513678E-2</v>
      </c>
      <c r="J48" s="129">
        <f>+SUM('BD MF'!J94:J123)+SUM('BD MF'!L94:L123)</f>
        <v>65409786.517241381</v>
      </c>
      <c r="K48" s="129">
        <f>+'Dashboard MF'!K19</f>
        <v>85451247.625192046</v>
      </c>
      <c r="L48" s="128">
        <f>+'Dashboard MF'!L19</f>
        <v>85600391</v>
      </c>
      <c r="M48" s="130">
        <f>+L48/J48-1</f>
        <v>0.30867864822394075</v>
      </c>
      <c r="N48" s="131">
        <f>+L48/K48-1</f>
        <v>1.745362167936193E-3</v>
      </c>
      <c r="O48" s="129">
        <f>+'Dashboard MF'!O19</f>
        <v>1063964916.1481482</v>
      </c>
      <c r="P48" s="129">
        <f>+'Dashboard MF'!P19</f>
        <v>1380982825.66379</v>
      </c>
      <c r="Q48" s="128">
        <f>+'Dashboard MF'!Q19</f>
        <v>1380519338.0755279</v>
      </c>
      <c r="R48" s="130">
        <f>+Q48/O48-1</f>
        <v>0.29752336484307729</v>
      </c>
      <c r="S48" s="131">
        <f>+Q48/P48-1</f>
        <v>-3.3562154405453182E-4</v>
      </c>
      <c r="U48" s="127" t="s">
        <v>265</v>
      </c>
      <c r="V48" s="137">
        <f t="shared" ref="V48:X51" si="12">+E48/1000000</f>
        <v>40.60003741379311</v>
      </c>
      <c r="W48" s="137">
        <f t="shared" si="12"/>
        <v>43.188578903734303</v>
      </c>
      <c r="X48" s="137">
        <f t="shared" si="12"/>
        <v>43.936933000000003</v>
      </c>
      <c r="Y48" s="130">
        <f>+X48/V48-1</f>
        <v>8.2189470718892599E-2</v>
      </c>
      <c r="Z48" s="131">
        <f>+X48/W48-1</f>
        <v>1.7327592508513678E-2</v>
      </c>
      <c r="AA48" s="136">
        <f t="shared" ref="AA48:AC51" si="13">+J48/1000000</f>
        <v>65.409786517241386</v>
      </c>
      <c r="AB48" s="137">
        <f t="shared" si="13"/>
        <v>85.451247625192053</v>
      </c>
      <c r="AC48" s="137">
        <f t="shared" si="13"/>
        <v>85.600391000000002</v>
      </c>
      <c r="AD48" s="130">
        <f>+AC48/AA48-1</f>
        <v>0.30867864822394075</v>
      </c>
      <c r="AE48" s="131">
        <f>+AC48/AB48-1</f>
        <v>1.745362167936193E-3</v>
      </c>
      <c r="AF48" s="136">
        <f t="shared" ref="AF48:AH51" si="14">+O48/1000000</f>
        <v>1063.9649161481482</v>
      </c>
      <c r="AG48" s="137">
        <f t="shared" si="14"/>
        <v>1380.98282566379</v>
      </c>
      <c r="AH48" s="137">
        <f t="shared" si="14"/>
        <v>1380.5193380755279</v>
      </c>
      <c r="AI48" s="130">
        <f>+AH48/AF48-1</f>
        <v>0.29752336484307729</v>
      </c>
      <c r="AJ48" s="131">
        <f>+AH48/AG48-1</f>
        <v>-3.3562154405453182E-4</v>
      </c>
    </row>
    <row r="49" spans="4:36" ht="42" customHeight="1" x14ac:dyDescent="0.35">
      <c r="D49" s="144" t="s">
        <v>267</v>
      </c>
      <c r="E49" s="145">
        <f>+SUM('BD MF'!AQ108:AQ123)+'BD MF'!AQ106+'BD MF'!AQ107+'BD MF'!AQ108+'BD MF'!AQ94</f>
        <v>8373607</v>
      </c>
      <c r="F49" s="145">
        <f>+SUM('BD MF'!I94:I109)</f>
        <v>8683770.5734256264</v>
      </c>
      <c r="G49" s="146">
        <f>+SUM('BD MF'!AS94:AS109)</f>
        <v>7736581</v>
      </c>
      <c r="H49" s="147">
        <f>+G49/E49-1</f>
        <v>-7.6075459476423912E-2</v>
      </c>
      <c r="I49" s="148">
        <f>+G49/F49-1</f>
        <v>-0.10907584043321561</v>
      </c>
      <c r="J49" s="129">
        <f>+SUM('BD MF'!AQ94:AQ123)</f>
        <v>14105872</v>
      </c>
      <c r="K49" s="129">
        <f>+'Dashboard MF'!K20</f>
        <v>18500000.000000004</v>
      </c>
      <c r="L49" s="128">
        <f>+'Dashboard MF'!L20</f>
        <v>13589316</v>
      </c>
      <c r="M49" s="130">
        <f>+L49/J49-1</f>
        <v>-3.6619926793607704E-2</v>
      </c>
      <c r="N49" s="131">
        <f>+L49/K49-1</f>
        <v>-0.26544237837837847</v>
      </c>
      <c r="O49" s="129">
        <f>+'Dashboard MF'!O20</f>
        <v>306452115.37931019</v>
      </c>
      <c r="P49" s="129">
        <f>+'Dashboard MF'!P20</f>
        <v>412000000</v>
      </c>
      <c r="Q49" s="128">
        <f>+'Dashboard MF'!Q20</f>
        <v>371550695</v>
      </c>
      <c r="R49" s="130">
        <f>+Q49/O49-1</f>
        <v>0.21242659571827138</v>
      </c>
      <c r="S49" s="131">
        <f>+Q49/P49-1</f>
        <v>-9.8177924757281598E-2</v>
      </c>
      <c r="U49" s="144" t="s">
        <v>267</v>
      </c>
      <c r="V49" s="137">
        <f t="shared" si="12"/>
        <v>8.3736069999999998</v>
      </c>
      <c r="W49" s="137">
        <f t="shared" si="12"/>
        <v>8.6837705734256261</v>
      </c>
      <c r="X49" s="137">
        <f t="shared" si="12"/>
        <v>7.7365810000000002</v>
      </c>
      <c r="Y49" s="147">
        <f>+X49/V49-1</f>
        <v>-7.6075459476423912E-2</v>
      </c>
      <c r="Z49" s="148">
        <f>+X49/W49-1</f>
        <v>-0.1090758404332155</v>
      </c>
      <c r="AA49" s="136">
        <f t="shared" si="13"/>
        <v>14.105872</v>
      </c>
      <c r="AB49" s="137">
        <f t="shared" si="13"/>
        <v>18.500000000000004</v>
      </c>
      <c r="AC49" s="137">
        <f t="shared" si="13"/>
        <v>13.589316</v>
      </c>
      <c r="AD49" s="147">
        <f>+AC49/AA49-1</f>
        <v>-3.6619926793607593E-2</v>
      </c>
      <c r="AE49" s="148">
        <f>+AC49/AB49-1</f>
        <v>-0.26544237837837847</v>
      </c>
      <c r="AF49" s="136">
        <f t="shared" si="14"/>
        <v>306.45211537931021</v>
      </c>
      <c r="AG49" s="137">
        <f t="shared" si="14"/>
        <v>412</v>
      </c>
      <c r="AH49" s="137">
        <f t="shared" si="14"/>
        <v>371.55069500000002</v>
      </c>
      <c r="AI49" s="130">
        <f>+AH49/AF49-1</f>
        <v>0.21242659571827138</v>
      </c>
      <c r="AJ49" s="131">
        <f>+AH49/AG49-1</f>
        <v>-9.8177924757281487E-2</v>
      </c>
    </row>
    <row r="50" spans="4:36" ht="42" customHeight="1" x14ac:dyDescent="0.35">
      <c r="D50" s="144" t="s">
        <v>268</v>
      </c>
      <c r="E50" s="145">
        <f>+SUM('BD MF'!N109:N123)+'BD MF'!N106+'BD MF'!N107+'BD MF'!N108+'BD MF'!N94+SUM('BD MF'!P109:P123)+'BD MF'!P106+'BD MF'!P107+'BD MF'!P108+'BD MF'!P94</f>
        <v>935996</v>
      </c>
      <c r="F50" s="145">
        <f>+SUM('BD MF'!H94:H109)*'Metas 2026'!G34</f>
        <v>943409.15920161875</v>
      </c>
      <c r="G50" s="146">
        <f>+SUM('BD MF'!O94:O109)+SUM('BD MF'!Q94:Q109)</f>
        <v>433174</v>
      </c>
      <c r="H50" s="147">
        <f>+G50/E50-1</f>
        <v>-0.53720528720208205</v>
      </c>
      <c r="I50" s="148">
        <f>+G50/F50-1</f>
        <v>-0.54084185448593347</v>
      </c>
      <c r="J50" s="129">
        <f>+SUM('BD MF'!N94:N123)+SUM('BD MF'!P94:P123)</f>
        <v>1547876</v>
      </c>
      <c r="K50" s="129">
        <f>+'Dashboard MF'!K21</f>
        <v>1866592.7826544279</v>
      </c>
      <c r="L50" s="128">
        <f>+'Dashboard MF'!L21</f>
        <v>860020</v>
      </c>
      <c r="M50" s="130">
        <f>+L50/J50-1</f>
        <v>-0.44438701808155179</v>
      </c>
      <c r="N50" s="131">
        <f>+L50/K50-1</f>
        <v>-0.53925676345057427</v>
      </c>
      <c r="O50" s="129">
        <f>+'Dashboard MF'!O21</f>
        <v>16868542</v>
      </c>
      <c r="P50" s="129">
        <f>+'Dashboard MF'!P21</f>
        <v>19000000</v>
      </c>
      <c r="Q50" s="128">
        <f>+'Dashboard MF'!Q21</f>
        <v>10906645.895818684</v>
      </c>
      <c r="R50" s="130">
        <f>+Q50/O50-1</f>
        <v>-0.35343280433965873</v>
      </c>
      <c r="S50" s="131">
        <f>+Q50/P50-1</f>
        <v>-0.42596600548322716</v>
      </c>
      <c r="U50" s="144" t="s">
        <v>268</v>
      </c>
      <c r="V50" s="137">
        <f t="shared" si="12"/>
        <v>0.93599600000000005</v>
      </c>
      <c r="W50" s="137">
        <f t="shared" si="12"/>
        <v>0.94340915920161872</v>
      </c>
      <c r="X50" s="137">
        <f t="shared" si="12"/>
        <v>0.433174</v>
      </c>
      <c r="Y50" s="147">
        <f>+X50/V50-1</f>
        <v>-0.53720528720208205</v>
      </c>
      <c r="Z50" s="148">
        <f>+X50/W50-1</f>
        <v>-0.54084185448593347</v>
      </c>
      <c r="AA50" s="136">
        <f t="shared" si="13"/>
        <v>1.547876</v>
      </c>
      <c r="AB50" s="137">
        <f t="shared" si="13"/>
        <v>1.866592782654428</v>
      </c>
      <c r="AC50" s="137">
        <f t="shared" si="13"/>
        <v>0.86002000000000001</v>
      </c>
      <c r="AD50" s="147">
        <f>+AC50/AA50-1</f>
        <v>-0.44438701808155179</v>
      </c>
      <c r="AE50" s="148">
        <f>+AC50/AB50-1</f>
        <v>-0.53925676345057427</v>
      </c>
      <c r="AF50" s="136">
        <f t="shared" si="14"/>
        <v>16.868542000000001</v>
      </c>
      <c r="AG50" s="137">
        <f t="shared" si="14"/>
        <v>19</v>
      </c>
      <c r="AH50" s="137">
        <f t="shared" si="14"/>
        <v>10.906645895818684</v>
      </c>
      <c r="AI50" s="130">
        <f>+AH50/AF50-1</f>
        <v>-0.35343280433965885</v>
      </c>
      <c r="AJ50" s="131">
        <f>+AH50/AG50-1</f>
        <v>-0.42596600548322716</v>
      </c>
    </row>
    <row r="51" spans="4:36" ht="42" customHeight="1" x14ac:dyDescent="0.35">
      <c r="D51" s="154" t="s">
        <v>269</v>
      </c>
      <c r="E51" s="155">
        <f>+SUM('BD MF'!R109:R123)+'BD MF'!R106+'BD MF'!R107+'BD MF'!R108+'BD MF'!R94</f>
        <v>1271284</v>
      </c>
      <c r="F51" s="155">
        <f>+SUM('BD MF'!H94:H109)*'Metas 2026'!G31</f>
        <v>1300772.9478614086</v>
      </c>
      <c r="G51" s="156">
        <f>+SUM('BD MF'!S94:S109)</f>
        <v>1225965</v>
      </c>
      <c r="H51" s="157">
        <f>+G51/E51-1</f>
        <v>-3.5648210785316214E-2</v>
      </c>
      <c r="I51" s="158">
        <f>+G51/F51-1</f>
        <v>-5.751038102721906E-2</v>
      </c>
      <c r="J51" s="155">
        <f>+SUM('BD MF'!R94:R123)</f>
        <v>1991672</v>
      </c>
      <c r="K51" s="129">
        <f>+'Dashboard MF'!K22</f>
        <v>2573658.9184749816</v>
      </c>
      <c r="L51" s="128">
        <f>+'Dashboard MF'!L22</f>
        <v>2278366</v>
      </c>
      <c r="M51" s="130">
        <f>+L51/J51-1</f>
        <v>0.14394639277953392</v>
      </c>
      <c r="N51" s="131">
        <f>+L51/K51-1</f>
        <v>-0.11473661733309903</v>
      </c>
      <c r="O51" s="155">
        <f>+'Dashboard MF'!O22</f>
        <v>38372162</v>
      </c>
      <c r="P51" s="129">
        <f>+'Dashboard MF'!P22</f>
        <v>50017174.3362123</v>
      </c>
      <c r="Q51" s="128">
        <f>+'Dashboard MF'!Q22</f>
        <v>49002945.76002726</v>
      </c>
      <c r="R51" s="130">
        <f>+Q51/O51-1</f>
        <v>0.27704416967767576</v>
      </c>
      <c r="S51" s="131">
        <f>+Q51/P51-1</f>
        <v>-2.0277606435090911E-2</v>
      </c>
      <c r="U51" s="154" t="s">
        <v>269</v>
      </c>
      <c r="V51" s="137">
        <f t="shared" si="12"/>
        <v>1.2712840000000001</v>
      </c>
      <c r="W51" s="137">
        <f t="shared" si="12"/>
        <v>1.3007729478614085</v>
      </c>
      <c r="X51" s="137">
        <f t="shared" si="12"/>
        <v>1.225965</v>
      </c>
      <c r="Y51" s="157">
        <f>+X51/V51-1</f>
        <v>-3.5648210785316325E-2</v>
      </c>
      <c r="Z51" s="158">
        <f>+X51/W51-1</f>
        <v>-5.751038102721906E-2</v>
      </c>
      <c r="AA51" s="136">
        <f t="shared" si="13"/>
        <v>1.9916720000000001</v>
      </c>
      <c r="AB51" s="137">
        <f t="shared" si="13"/>
        <v>2.5736589184749814</v>
      </c>
      <c r="AC51" s="137">
        <f t="shared" si="13"/>
        <v>2.2783660000000001</v>
      </c>
      <c r="AD51" s="157">
        <f>+AC51/AA51-1</f>
        <v>0.14394639277953392</v>
      </c>
      <c r="AE51" s="158">
        <f>+AC51/AB51-1</f>
        <v>-0.11473661733309892</v>
      </c>
      <c r="AF51" s="136">
        <f t="shared" si="14"/>
        <v>38.372162000000003</v>
      </c>
      <c r="AG51" s="137">
        <f t="shared" si="14"/>
        <v>50.0171743362123</v>
      </c>
      <c r="AH51" s="137">
        <f t="shared" si="14"/>
        <v>49.002945760027259</v>
      </c>
      <c r="AI51" s="130">
        <f>+AH51/AF51-1</f>
        <v>0.27704416967767553</v>
      </c>
      <c r="AJ51" s="131">
        <f>+AH51/AG51-1</f>
        <v>-2.0277606435090911E-2</v>
      </c>
    </row>
    <row r="52" spans="4:36" ht="42" customHeight="1" x14ac:dyDescent="0.35">
      <c r="D52" s="435" t="s">
        <v>258</v>
      </c>
      <c r="E52" s="436">
        <f>+SUM(E48:E51)</f>
        <v>51180924.413793109</v>
      </c>
      <c r="F52" s="437">
        <f>+SUM(F48:F51)</f>
        <v>54116531.584222965</v>
      </c>
      <c r="G52" s="438">
        <f>+SUM(G48:G51)</f>
        <v>53332653</v>
      </c>
      <c r="H52" s="439">
        <f>+G52/E52-1</f>
        <v>4.2041612394695393E-2</v>
      </c>
      <c r="I52" s="440">
        <f>+G52/F52-1</f>
        <v>-1.4485011534839276E-2</v>
      </c>
      <c r="J52" s="438">
        <f>+SUM(J48:J51)</f>
        <v>83055206.517241389</v>
      </c>
      <c r="K52" s="438">
        <f>+SUM(K48:K51)</f>
        <v>108391499.32632147</v>
      </c>
      <c r="L52" s="437">
        <f>+SUM(L48:L51)</f>
        <v>102328093</v>
      </c>
      <c r="M52" s="439">
        <f>+L52/J52-1</f>
        <v>0.23204910674393142</v>
      </c>
      <c r="N52" s="440">
        <f>+L52/K52-1</f>
        <v>-5.593986949167562E-2</v>
      </c>
      <c r="O52" s="438">
        <f>+'Dashboard MF'!O23</f>
        <v>1425657735.5274584</v>
      </c>
      <c r="P52" s="438">
        <f>+'Dashboard MF'!P23</f>
        <v>1862000000.0000024</v>
      </c>
      <c r="Q52" s="438">
        <f>+'Dashboard MF'!Q23</f>
        <v>1811979624.7313738</v>
      </c>
      <c r="R52" s="439">
        <f>+Q52/O52-1</f>
        <v>0.27097800515281856</v>
      </c>
      <c r="S52" s="440">
        <f>+Q52/P52-1</f>
        <v>-2.686378908089615E-2</v>
      </c>
      <c r="U52" s="435" t="s">
        <v>258</v>
      </c>
      <c r="V52" s="441">
        <f>+SUM(V48:V51)</f>
        <v>51.180924413793115</v>
      </c>
      <c r="W52" s="442">
        <f>+SUM(W48:W51)</f>
        <v>54.116531584222962</v>
      </c>
      <c r="X52" s="443">
        <f>+SUM(X48:X51)</f>
        <v>53.332653000000008</v>
      </c>
      <c r="Y52" s="439">
        <f>+X52/V52-1</f>
        <v>4.2041612394695393E-2</v>
      </c>
      <c r="Z52" s="440">
        <f>+X52/W52-1</f>
        <v>-1.4485011534839054E-2</v>
      </c>
      <c r="AA52" s="441">
        <f>+SUM(AA48:AA51)</f>
        <v>83.055206517241388</v>
      </c>
      <c r="AB52" s="442">
        <f>+SUM(AB48:AB51)</f>
        <v>108.39149932632145</v>
      </c>
      <c r="AC52" s="443">
        <f>+SUM(AC48:AC51)</f>
        <v>102.32809300000001</v>
      </c>
      <c r="AD52" s="439">
        <f>+AC52/AA52-1</f>
        <v>0.23204910674393142</v>
      </c>
      <c r="AE52" s="440">
        <f>+AC52/AB52-1</f>
        <v>-5.5939869491675398E-2</v>
      </c>
      <c r="AF52" s="441">
        <f>+SUM(AF48:AF51)</f>
        <v>1425.6577355274585</v>
      </c>
      <c r="AG52" s="442">
        <f>+SUM(AG48:AG51)</f>
        <v>1862.0000000000023</v>
      </c>
      <c r="AH52" s="443">
        <f>+SUM(AH48:AH51)</f>
        <v>1811.9796247313739</v>
      </c>
      <c r="AI52" s="439">
        <f>+AH52/AF52-1</f>
        <v>0.27097800515281856</v>
      </c>
      <c r="AJ52" s="440">
        <f>+AH52/AG52-1</f>
        <v>-2.6863789080896039E-2</v>
      </c>
    </row>
  </sheetData>
  <mergeCells count="7">
    <mergeCell ref="AA46:AE46"/>
    <mergeCell ref="AF46:AJ46"/>
    <mergeCell ref="B39:C39"/>
    <mergeCell ref="D46:I46"/>
    <mergeCell ref="J46:N46"/>
    <mergeCell ref="O46:S46"/>
    <mergeCell ref="U46:Z46"/>
  </mergeCells>
  <conditionalFormatting sqref="H48:I52">
    <cfRule type="cellIs" dxfId="67" priority="12" operator="lessThan">
      <formula>0</formula>
    </cfRule>
    <cfRule type="cellIs" dxfId="66" priority="13" operator="greaterThan">
      <formula>0</formula>
    </cfRule>
  </conditionalFormatting>
  <conditionalFormatting sqref="M48:N52">
    <cfRule type="cellIs" dxfId="65" priority="10" operator="lessThan">
      <formula>0</formula>
    </cfRule>
    <cfRule type="cellIs" dxfId="64" priority="11" operator="greaterThan">
      <formula>0</formula>
    </cfRule>
  </conditionalFormatting>
  <conditionalFormatting sqref="P6:V39">
    <cfRule type="cellIs" dxfId="63" priority="14" operator="equal">
      <formula>-1</formula>
    </cfRule>
    <cfRule type="cellIs" dxfId="62" priority="15" operator="lessThan">
      <formula>0</formula>
    </cfRule>
    <cfRule type="cellIs" dxfId="61" priority="16" operator="greaterThan">
      <formula>0</formula>
    </cfRule>
  </conditionalFormatting>
  <conditionalFormatting sqref="R48:S52">
    <cfRule type="cellIs" dxfId="60" priority="8" operator="lessThan">
      <formula>0</formula>
    </cfRule>
    <cfRule type="cellIs" dxfId="59" priority="9" operator="greaterThan">
      <formula>0</formula>
    </cfRule>
  </conditionalFormatting>
  <conditionalFormatting sqref="Y48:Z52">
    <cfRule type="cellIs" dxfId="58" priority="6" operator="lessThan">
      <formula>0</formula>
    </cfRule>
    <cfRule type="cellIs" dxfId="57" priority="7" operator="greaterThan">
      <formula>0</formula>
    </cfRule>
  </conditionalFormatting>
  <conditionalFormatting sqref="AD48:AE52">
    <cfRule type="cellIs" dxfId="56" priority="2" operator="lessThan">
      <formula>0</formula>
    </cfRule>
    <cfRule type="cellIs" dxfId="55" priority="3" operator="greaterThan">
      <formula>0</formula>
    </cfRule>
  </conditionalFormatting>
  <conditionalFormatting sqref="AI48:AJ52">
    <cfRule type="cellIs" dxfId="54" priority="4" operator="lessThan">
      <formula>0</formula>
    </cfRule>
    <cfRule type="cellIs" dxfId="53" priority="5" operator="greaterThan">
      <formula>0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9"/>
  <dimension ref="B4:AK76"/>
  <sheetViews>
    <sheetView topLeftCell="O25" zoomScale="80" zoomScaleNormal="80" workbookViewId="0">
      <selection activeCell="AJ49" sqref="AJ49"/>
    </sheetView>
  </sheetViews>
  <sheetFormatPr baseColWidth="10" defaultColWidth="11.453125" defaultRowHeight="14.5" x14ac:dyDescent="0.35"/>
  <cols>
    <col min="2" max="2" width="27.453125" customWidth="1"/>
    <col min="3" max="4" width="14.453125" customWidth="1"/>
    <col min="5" max="6" width="9" customWidth="1"/>
    <col min="7" max="8" width="12.453125" customWidth="1"/>
    <col min="9" max="9" width="11.453125" customWidth="1"/>
    <col min="10" max="10" width="10.453125" customWidth="1"/>
    <col min="11" max="11" width="9.453125" customWidth="1"/>
    <col min="12" max="12" width="9" customWidth="1"/>
    <col min="13" max="13" width="7.453125" customWidth="1"/>
    <col min="14" max="15" width="11.453125" customWidth="1"/>
    <col min="16" max="16" width="12.453125" customWidth="1"/>
    <col min="17" max="17" width="17.453125" customWidth="1"/>
    <col min="18" max="20" width="11.453125" customWidth="1"/>
    <col min="21" max="21" width="13.453125" customWidth="1"/>
    <col min="22" max="22" width="21.453125" customWidth="1"/>
    <col min="23" max="23" width="11" customWidth="1"/>
    <col min="24" max="24" width="17.453125" customWidth="1"/>
    <col min="25" max="27" width="11.453125" customWidth="1"/>
    <col min="28" max="28" width="12.453125" customWidth="1"/>
    <col min="30" max="30" width="8.453125" customWidth="1"/>
    <col min="31" max="31" width="17.453125" customWidth="1"/>
    <col min="32" max="33" width="11.453125" customWidth="1"/>
    <col min="34" max="34" width="12.453125" customWidth="1"/>
    <col min="35" max="35" width="5.453125" customWidth="1"/>
    <col min="36" max="36" width="8.453125" customWidth="1"/>
  </cols>
  <sheetData>
    <row r="4" spans="2:32" ht="14.25" customHeight="1" x14ac:dyDescent="0.35">
      <c r="B4" s="444" t="s">
        <v>445</v>
      </c>
      <c r="C4" s="445" t="s">
        <v>258</v>
      </c>
      <c r="D4" s="446" t="s">
        <v>265</v>
      </c>
      <c r="E4" s="446" t="s">
        <v>266</v>
      </c>
      <c r="F4" s="446" t="s">
        <v>356</v>
      </c>
      <c r="G4" s="446" t="s">
        <v>354</v>
      </c>
      <c r="H4" s="446" t="s">
        <v>446</v>
      </c>
      <c r="I4" s="447" t="s">
        <v>334</v>
      </c>
      <c r="J4" s="447" t="s">
        <v>335</v>
      </c>
      <c r="K4" s="447" t="s">
        <v>447</v>
      </c>
      <c r="L4" s="447" t="s">
        <v>448</v>
      </c>
      <c r="M4" s="444" t="s">
        <v>449</v>
      </c>
      <c r="N4" s="444" t="s">
        <v>339</v>
      </c>
      <c r="O4" s="418" t="s">
        <v>40</v>
      </c>
      <c r="P4" s="418" t="s">
        <v>267</v>
      </c>
      <c r="Q4" s="448" t="s">
        <v>450</v>
      </c>
      <c r="R4" s="448" t="s">
        <v>451</v>
      </c>
      <c r="S4" s="448" t="s">
        <v>450</v>
      </c>
      <c r="T4" s="448" t="s">
        <v>451</v>
      </c>
      <c r="U4" s="448" t="s">
        <v>452</v>
      </c>
      <c r="V4" s="448" t="s">
        <v>453</v>
      </c>
      <c r="X4" s="33" t="s">
        <v>265</v>
      </c>
      <c r="Y4" s="33" t="s">
        <v>266</v>
      </c>
      <c r="Z4" s="33" t="s">
        <v>356</v>
      </c>
      <c r="AA4" s="33" t="s">
        <v>354</v>
      </c>
      <c r="AB4" s="33" t="s">
        <v>446</v>
      </c>
      <c r="AC4" s="33" t="s">
        <v>334</v>
      </c>
      <c r="AD4" s="33" t="s">
        <v>335</v>
      </c>
      <c r="AE4" s="33" t="s">
        <v>447</v>
      </c>
      <c r="AF4" s="33" t="s">
        <v>448</v>
      </c>
    </row>
    <row r="5" spans="2:32" ht="14.25" customHeight="1" x14ac:dyDescent="0.35">
      <c r="B5" s="38">
        <v>45803</v>
      </c>
      <c r="C5" s="449">
        <v>4587640.8965517301</v>
      </c>
      <c r="D5" s="424">
        <v>3471403</v>
      </c>
      <c r="E5" s="424">
        <v>24606.896551724101</v>
      </c>
      <c r="F5" s="424">
        <v>37482</v>
      </c>
      <c r="G5" s="424">
        <v>8128</v>
      </c>
      <c r="H5" s="424">
        <v>96490</v>
      </c>
      <c r="I5" s="424">
        <v>729673</v>
      </c>
      <c r="J5" s="424">
        <v>173445</v>
      </c>
      <c r="K5" s="424">
        <v>31849</v>
      </c>
      <c r="L5" s="424">
        <v>14564</v>
      </c>
      <c r="M5" s="424">
        <v>0</v>
      </c>
      <c r="N5" s="424">
        <v>0</v>
      </c>
      <c r="O5" s="424">
        <f t="shared" ref="O5:O13" si="0">+SUM(D5:H5)</f>
        <v>3638109.8965517241</v>
      </c>
      <c r="P5" s="424">
        <f t="shared" ref="P5:P13" si="1">+SUM(I5:L5)</f>
        <v>949531</v>
      </c>
      <c r="Q5" s="1">
        <f t="shared" ref="Q5:R11" si="2">+O5/SUM(O$5:O$11)</f>
        <v>0.15789805352280906</v>
      </c>
      <c r="R5" s="1">
        <f t="shared" si="2"/>
        <v>9.2872087278719553E-2</v>
      </c>
      <c r="S5" s="516">
        <f>(+O5+O6+O7+O8+O9+O10+O11)/O$14</f>
        <v>0.72575194797869058</v>
      </c>
      <c r="T5" s="516">
        <f>(+P5+P6+P7+P8+P9+P10+P11)/P$14</f>
        <v>0.75169158808418535</v>
      </c>
      <c r="U5" s="516">
        <f>+SUM(O5:O11)/SUM('BD MF'!AP124:AP154)</f>
        <v>0.27802920741808723</v>
      </c>
      <c r="V5" s="516">
        <f>+SUM(P5:P11)/SUM('BD MF'!AQ124:AQ154)</f>
        <v>0.44178996424914563</v>
      </c>
      <c r="X5" s="18">
        <v>0.95417760834829901</v>
      </c>
      <c r="Y5" s="18">
        <v>6.7636485019452203E-3</v>
      </c>
      <c r="Z5" s="18">
        <v>1.03026024682559E-2</v>
      </c>
      <c r="AA5" s="18">
        <v>2.2341271240057599E-3</v>
      </c>
      <c r="AB5" s="18">
        <v>2.65220135574946E-2</v>
      </c>
      <c r="AC5" s="18">
        <v>0.76845621680598097</v>
      </c>
      <c r="AD5" s="18">
        <v>0.182663862475264</v>
      </c>
      <c r="AE5" s="18">
        <v>3.3541822225919997E-2</v>
      </c>
      <c r="AF5" s="18">
        <v>1.5338098492834899E-2</v>
      </c>
    </row>
    <row r="6" spans="2:32" ht="14.25" customHeight="1" x14ac:dyDescent="0.35">
      <c r="B6" s="38">
        <v>45804</v>
      </c>
      <c r="C6" s="449">
        <v>5881489.5517241396</v>
      </c>
      <c r="D6" s="424">
        <v>4105033</v>
      </c>
      <c r="E6" s="424">
        <v>24421.551724137898</v>
      </c>
      <c r="F6" s="424">
        <v>55831</v>
      </c>
      <c r="G6" s="424">
        <v>10097</v>
      </c>
      <c r="H6" s="424">
        <v>119447</v>
      </c>
      <c r="I6" s="424">
        <v>1213906</v>
      </c>
      <c r="J6" s="424">
        <v>294966</v>
      </c>
      <c r="K6" s="424">
        <v>45119</v>
      </c>
      <c r="L6" s="424">
        <v>12669</v>
      </c>
      <c r="M6" s="424">
        <v>0</v>
      </c>
      <c r="N6" s="424">
        <v>0</v>
      </c>
      <c r="O6" s="424">
        <f t="shared" si="0"/>
        <v>4314829.5517241377</v>
      </c>
      <c r="P6" s="424">
        <f t="shared" si="1"/>
        <v>1566660</v>
      </c>
      <c r="Q6" s="1">
        <f t="shared" si="2"/>
        <v>0.18726844621865035</v>
      </c>
      <c r="R6" s="1">
        <f t="shared" si="2"/>
        <v>0.15323247398566109</v>
      </c>
      <c r="S6" s="516"/>
      <c r="T6" s="516"/>
      <c r="U6" s="516"/>
      <c r="V6" s="516"/>
      <c r="X6" s="18">
        <v>0.95137778927088701</v>
      </c>
      <c r="Y6" s="18">
        <v>5.6599111115245501E-3</v>
      </c>
      <c r="Z6" s="18">
        <v>1.2939329197300699E-2</v>
      </c>
      <c r="AA6" s="18">
        <v>2.3400692608970802E-3</v>
      </c>
      <c r="AB6" s="18">
        <v>2.7682901159391302E-2</v>
      </c>
      <c r="AC6" s="18">
        <v>0.77483691419963496</v>
      </c>
      <c r="AD6" s="18">
        <v>0.18827697139136801</v>
      </c>
      <c r="AE6" s="18">
        <v>2.8799484253124501E-2</v>
      </c>
      <c r="AF6" s="18">
        <v>8.0866301558729994E-3</v>
      </c>
    </row>
    <row r="7" spans="2:32" ht="14.25" customHeight="1" x14ac:dyDescent="0.35">
      <c r="B7" s="38">
        <v>45805</v>
      </c>
      <c r="C7" s="449">
        <v>5700435.2758620698</v>
      </c>
      <c r="D7" s="424">
        <v>3686445</v>
      </c>
      <c r="E7" s="424">
        <v>31223.275862069</v>
      </c>
      <c r="F7" s="424">
        <v>60377</v>
      </c>
      <c r="G7" s="424">
        <v>8759</v>
      </c>
      <c r="H7" s="424">
        <v>88703</v>
      </c>
      <c r="I7" s="424">
        <v>1382114</v>
      </c>
      <c r="J7" s="424">
        <v>371492</v>
      </c>
      <c r="K7" s="424">
        <v>45166</v>
      </c>
      <c r="L7" s="424">
        <v>26156</v>
      </c>
      <c r="M7" s="424">
        <v>0</v>
      </c>
      <c r="N7" s="424">
        <v>0</v>
      </c>
      <c r="O7" s="424">
        <f t="shared" si="0"/>
        <v>3875507.2758620689</v>
      </c>
      <c r="P7" s="424">
        <f t="shared" si="1"/>
        <v>1824928</v>
      </c>
      <c r="Q7" s="1">
        <f t="shared" si="2"/>
        <v>0.16820136627871238</v>
      </c>
      <c r="R7" s="1">
        <f t="shared" si="2"/>
        <v>0.17849324823874008</v>
      </c>
      <c r="S7" s="516"/>
      <c r="T7" s="516"/>
      <c r="U7" s="516"/>
      <c r="V7" s="516"/>
      <c r="X7" s="18">
        <v>0.951216121554045</v>
      </c>
      <c r="Y7" s="18">
        <v>8.0565648932045004E-3</v>
      </c>
      <c r="Z7" s="18">
        <v>1.5579121829043601E-2</v>
      </c>
      <c r="AA7" s="18">
        <v>2.2600912284577398E-3</v>
      </c>
      <c r="AB7" s="18">
        <v>2.28881004952491E-2</v>
      </c>
      <c r="AC7" s="18">
        <v>0.75735261884304494</v>
      </c>
      <c r="AD7" s="18">
        <v>0.203565291343001</v>
      </c>
      <c r="AE7" s="18">
        <v>2.47494695681145E-2</v>
      </c>
      <c r="AF7" s="18">
        <v>1.4332620245839801E-2</v>
      </c>
    </row>
    <row r="8" spans="2:32" ht="14.25" customHeight="1" x14ac:dyDescent="0.35">
      <c r="B8" s="38">
        <v>45806</v>
      </c>
      <c r="C8" s="449">
        <v>4735860.3793103499</v>
      </c>
      <c r="D8" s="424">
        <v>3006591</v>
      </c>
      <c r="E8" s="424">
        <v>27291.379310344801</v>
      </c>
      <c r="F8" s="424">
        <v>44594</v>
      </c>
      <c r="G8" s="424">
        <v>8693</v>
      </c>
      <c r="H8" s="424">
        <v>93162</v>
      </c>
      <c r="I8" s="424">
        <v>1195372</v>
      </c>
      <c r="J8" s="424">
        <v>298834</v>
      </c>
      <c r="K8" s="424">
        <v>46665</v>
      </c>
      <c r="L8" s="424">
        <v>14658</v>
      </c>
      <c r="M8" s="424">
        <v>0</v>
      </c>
      <c r="N8" s="424">
        <v>0</v>
      </c>
      <c r="O8" s="424">
        <f t="shared" si="0"/>
        <v>3180331.3793103448</v>
      </c>
      <c r="P8" s="424">
        <f t="shared" si="1"/>
        <v>1555529</v>
      </c>
      <c r="Q8" s="1">
        <f t="shared" si="2"/>
        <v>0.13802995198869045</v>
      </c>
      <c r="R8" s="1">
        <f t="shared" si="2"/>
        <v>0.1521437689265325</v>
      </c>
      <c r="S8" s="516"/>
      <c r="T8" s="516"/>
      <c r="U8" s="516"/>
      <c r="V8" s="516"/>
      <c r="X8" s="18">
        <v>0.945370353403858</v>
      </c>
      <c r="Y8" s="18">
        <v>8.5813005172633797E-3</v>
      </c>
      <c r="Z8" s="18">
        <v>1.4021809264942099E-2</v>
      </c>
      <c r="AA8" s="18">
        <v>2.7333629622851101E-3</v>
      </c>
      <c r="AB8" s="18">
        <v>2.92931738516513E-2</v>
      </c>
      <c r="AC8" s="18">
        <v>0.76846654739320197</v>
      </c>
      <c r="AD8" s="18">
        <v>0.192110851035243</v>
      </c>
      <c r="AE8" s="18">
        <v>2.9999440704737802E-2</v>
      </c>
      <c r="AF8" s="18">
        <v>9.4231608668176592E-3</v>
      </c>
    </row>
    <row r="9" spans="2:32" ht="14.25" customHeight="1" x14ac:dyDescent="0.35">
      <c r="B9" s="38">
        <v>45807</v>
      </c>
      <c r="C9" s="449">
        <v>4210899.2413793104</v>
      </c>
      <c r="D9" s="424">
        <v>2492801</v>
      </c>
      <c r="E9" s="424">
        <v>37442.241379310297</v>
      </c>
      <c r="F9" s="424">
        <v>36352</v>
      </c>
      <c r="G9" s="424">
        <v>7638</v>
      </c>
      <c r="H9" s="424">
        <v>113450</v>
      </c>
      <c r="I9" s="424">
        <v>1220737</v>
      </c>
      <c r="J9" s="424">
        <v>249590</v>
      </c>
      <c r="K9" s="424">
        <v>38407</v>
      </c>
      <c r="L9" s="424">
        <v>14482</v>
      </c>
      <c r="M9" s="424">
        <v>0</v>
      </c>
      <c r="N9" s="424">
        <v>0</v>
      </c>
      <c r="O9" s="424">
        <f t="shared" si="0"/>
        <v>2687683.2413793104</v>
      </c>
      <c r="P9" s="424">
        <f t="shared" si="1"/>
        <v>1523216</v>
      </c>
      <c r="Q9" s="1">
        <f t="shared" si="2"/>
        <v>0.11664846977324776</v>
      </c>
      <c r="R9" s="1">
        <f t="shared" si="2"/>
        <v>0.14898328679773706</v>
      </c>
      <c r="S9" s="516"/>
      <c r="T9" s="516"/>
      <c r="U9" s="516"/>
      <c r="V9" s="516"/>
      <c r="X9" s="18">
        <v>0.92749062152156803</v>
      </c>
      <c r="Y9" s="18">
        <v>1.3931046933973901E-2</v>
      </c>
      <c r="Z9" s="18">
        <v>1.35254033809967E-2</v>
      </c>
      <c r="AA9" s="18">
        <v>2.8418527460401899E-3</v>
      </c>
      <c r="AB9" s="18">
        <v>4.22110754174208E-2</v>
      </c>
      <c r="AC9" s="18">
        <v>0.801420809655361</v>
      </c>
      <c r="AD9" s="18">
        <v>0.16385725990273201</v>
      </c>
      <c r="AE9" s="18">
        <v>2.5214414764550799E-2</v>
      </c>
      <c r="AF9" s="18">
        <v>9.5075156773563301E-3</v>
      </c>
    </row>
    <row r="10" spans="2:32" ht="14.25" customHeight="1" x14ac:dyDescent="0.35">
      <c r="B10" s="38">
        <v>45808</v>
      </c>
      <c r="C10" s="449">
        <v>3821449.79310345</v>
      </c>
      <c r="D10" s="424">
        <v>2298316</v>
      </c>
      <c r="E10" s="424">
        <v>34463.793103448297</v>
      </c>
      <c r="F10" s="424">
        <v>19296</v>
      </c>
      <c r="G10" s="424">
        <v>4141</v>
      </c>
      <c r="H10" s="424">
        <v>119066</v>
      </c>
      <c r="I10" s="424">
        <v>1010801</v>
      </c>
      <c r="J10" s="424">
        <v>278925</v>
      </c>
      <c r="K10" s="424">
        <v>39390</v>
      </c>
      <c r="L10" s="424">
        <v>17051</v>
      </c>
      <c r="M10" s="424">
        <v>0</v>
      </c>
      <c r="N10" s="424">
        <v>0</v>
      </c>
      <c r="O10" s="424">
        <f t="shared" si="0"/>
        <v>2475282.7931034481</v>
      </c>
      <c r="P10" s="424">
        <f t="shared" si="1"/>
        <v>1346167</v>
      </c>
      <c r="Q10" s="1">
        <f t="shared" si="2"/>
        <v>0.10743005188490459</v>
      </c>
      <c r="R10" s="1">
        <f t="shared" si="2"/>
        <v>0.13166641122378528</v>
      </c>
      <c r="S10" s="516"/>
      <c r="T10" s="516"/>
      <c r="U10" s="516"/>
      <c r="V10" s="516"/>
      <c r="X10" s="18">
        <v>0.92850643425611501</v>
      </c>
      <c r="Y10" s="18">
        <v>1.3923174030648199E-2</v>
      </c>
      <c r="Z10" s="18">
        <v>7.7954729268760303E-3</v>
      </c>
      <c r="AA10" s="18">
        <v>1.6729401632562999E-3</v>
      </c>
      <c r="AB10" s="18">
        <v>4.8101978623104301E-2</v>
      </c>
      <c r="AC10" s="18">
        <v>0.75087340575129202</v>
      </c>
      <c r="AD10" s="18">
        <v>0.207199403937253</v>
      </c>
      <c r="AE10" s="18">
        <v>2.92608569367694E-2</v>
      </c>
      <c r="AF10" s="18">
        <v>1.26663333746853E-2</v>
      </c>
    </row>
    <row r="11" spans="2:32" ht="14.25" customHeight="1" x14ac:dyDescent="0.35">
      <c r="B11" s="38">
        <v>45809</v>
      </c>
      <c r="C11" s="449">
        <v>4327176.5517241396</v>
      </c>
      <c r="D11" s="424">
        <v>2641485</v>
      </c>
      <c r="E11" s="424">
        <v>39671.551724137898</v>
      </c>
      <c r="F11" s="424">
        <v>-228</v>
      </c>
      <c r="G11" s="424">
        <v>1403</v>
      </c>
      <c r="H11" s="424">
        <v>186803</v>
      </c>
      <c r="I11" s="424">
        <v>1125600</v>
      </c>
      <c r="J11" s="424">
        <v>278166</v>
      </c>
      <c r="K11" s="424">
        <v>40863</v>
      </c>
      <c r="L11" s="424">
        <v>13413</v>
      </c>
      <c r="M11" s="424">
        <v>0</v>
      </c>
      <c r="N11" s="424">
        <v>0</v>
      </c>
      <c r="O11" s="424">
        <f t="shared" si="0"/>
        <v>2869134.5517241377</v>
      </c>
      <c r="P11" s="424">
        <f t="shared" si="1"/>
        <v>1458042</v>
      </c>
      <c r="Q11" s="1">
        <f t="shared" si="2"/>
        <v>0.12452366033298518</v>
      </c>
      <c r="R11" s="1">
        <f t="shared" si="2"/>
        <v>0.14260872354882442</v>
      </c>
      <c r="S11" s="516"/>
      <c r="T11" s="516"/>
      <c r="U11" s="516"/>
      <c r="V11" s="516"/>
      <c r="X11" s="18">
        <v>0.92065567242660795</v>
      </c>
      <c r="Y11" s="18">
        <v>1.3827009855741401E-2</v>
      </c>
      <c r="Z11" s="18">
        <v>-7.9466471819172397E-5</v>
      </c>
      <c r="AA11" s="18">
        <v>4.8899763141359201E-4</v>
      </c>
      <c r="AB11" s="18">
        <v>6.5107786558056394E-2</v>
      </c>
      <c r="AC11" s="18">
        <v>0.771994222388655</v>
      </c>
      <c r="AD11" s="18">
        <v>0.190780512495525</v>
      </c>
      <c r="AE11" s="18">
        <v>2.8025941639541301E-2</v>
      </c>
      <c r="AF11" s="18">
        <v>9.1993234762784599E-3</v>
      </c>
    </row>
    <row r="12" spans="2:32" ht="14.25" customHeight="1" x14ac:dyDescent="0.35">
      <c r="B12" s="38">
        <v>45810</v>
      </c>
      <c r="C12" s="449">
        <v>5295147.3103448302</v>
      </c>
      <c r="D12" s="424">
        <v>3591037</v>
      </c>
      <c r="E12" s="424">
        <v>32404.310344827602</v>
      </c>
      <c r="F12" s="424">
        <v>47857</v>
      </c>
      <c r="G12" s="424">
        <v>7967</v>
      </c>
      <c r="H12" s="424">
        <v>133459</v>
      </c>
      <c r="I12" s="424">
        <v>1113451</v>
      </c>
      <c r="J12" s="424">
        <v>281772</v>
      </c>
      <c r="K12" s="424">
        <v>68092</v>
      </c>
      <c r="L12" s="424">
        <v>19108</v>
      </c>
      <c r="M12" s="424">
        <v>0</v>
      </c>
      <c r="N12" s="424">
        <v>0</v>
      </c>
      <c r="O12" s="424">
        <f t="shared" si="0"/>
        <v>3812724.3103448278</v>
      </c>
      <c r="P12" s="424">
        <f t="shared" si="1"/>
        <v>1482423</v>
      </c>
      <c r="Q12" s="1">
        <f>+O12/SUM(O$12:O$13)</f>
        <v>0.43790613020395153</v>
      </c>
      <c r="R12" s="1">
        <f>+P12/SUM(P$12:P$13)</f>
        <v>0.43893120843075939</v>
      </c>
      <c r="S12" s="516">
        <f>(+O12+O13)/O$14</f>
        <v>0.27424805202130942</v>
      </c>
      <c r="T12" s="516">
        <f>(+P12+P13)/P$14</f>
        <v>0.24830841191581468</v>
      </c>
      <c r="U12" s="516">
        <f>+SUM(O12:O13)/SUM('BD MF'!AP155:AP184)</f>
        <v>0.10041931840809623</v>
      </c>
      <c r="V12" s="516">
        <f>+SUM(P12:P13)/SUM('BD MF'!AQ155:AQ184)</f>
        <v>0.12071563398148026</v>
      </c>
      <c r="X12" s="18">
        <v>0.941855929697477</v>
      </c>
      <c r="Y12" s="18">
        <v>8.4989911955886694E-3</v>
      </c>
      <c r="Z12" s="18">
        <v>1.2551917239374599E-2</v>
      </c>
      <c r="AA12" s="18">
        <v>2.08958197643182E-3</v>
      </c>
      <c r="AB12" s="18">
        <v>3.5003579891127699E-2</v>
      </c>
      <c r="AC12" s="18">
        <v>0.75110208085006802</v>
      </c>
      <c r="AD12" s="18">
        <v>0.190075302393446</v>
      </c>
      <c r="AE12" s="18">
        <v>4.5932908488333E-2</v>
      </c>
      <c r="AF12" s="18">
        <v>1.2889708268152901E-2</v>
      </c>
    </row>
    <row r="13" spans="2:32" ht="14.25" customHeight="1" x14ac:dyDescent="0.35">
      <c r="B13" s="38">
        <v>45811</v>
      </c>
      <c r="C13" s="449">
        <v>6788915.6896551698</v>
      </c>
      <c r="D13" s="424">
        <v>4671193</v>
      </c>
      <c r="E13" s="424">
        <v>32920.689655172398</v>
      </c>
      <c r="F13" s="424">
        <v>51815</v>
      </c>
      <c r="G13" s="424">
        <v>10260</v>
      </c>
      <c r="H13" s="424">
        <v>127803</v>
      </c>
      <c r="I13" s="424">
        <v>1389018</v>
      </c>
      <c r="J13" s="424">
        <v>419059</v>
      </c>
      <c r="K13" s="424">
        <v>74233</v>
      </c>
      <c r="L13" s="424">
        <v>12614</v>
      </c>
      <c r="M13" s="424">
        <v>0</v>
      </c>
      <c r="N13" s="424">
        <v>0</v>
      </c>
      <c r="O13" s="424">
        <f t="shared" si="0"/>
        <v>4893991.6896551726</v>
      </c>
      <c r="P13" s="424">
        <f t="shared" si="1"/>
        <v>1894924</v>
      </c>
      <c r="Q13" s="1">
        <f>+O13/SUM(O$12:O$13)</f>
        <v>0.56209386979604858</v>
      </c>
      <c r="R13" s="1">
        <f>+P13/SUM(P$12:P$13)</f>
        <v>0.56106879156924061</v>
      </c>
      <c r="S13" s="516"/>
      <c r="T13" s="516"/>
      <c r="U13" s="516"/>
      <c r="V13" s="516"/>
      <c r="X13" s="18">
        <v>0.95447505762502205</v>
      </c>
      <c r="Y13" s="18">
        <v>6.72675634590053E-3</v>
      </c>
      <c r="Z13" s="18">
        <v>1.05874720035846E-2</v>
      </c>
      <c r="AA13" s="18">
        <v>2.0964481859843398E-3</v>
      </c>
      <c r="AB13" s="18">
        <v>2.6114265839508401E-2</v>
      </c>
      <c r="AC13" s="18">
        <v>0.73302042720446803</v>
      </c>
      <c r="AD13" s="18">
        <v>0.22114818325167701</v>
      </c>
      <c r="AE13" s="18">
        <v>3.9174658192096402E-2</v>
      </c>
      <c r="AF13" s="18">
        <v>6.6567313517587002E-3</v>
      </c>
    </row>
    <row r="14" spans="2:32" ht="14.25" customHeight="1" x14ac:dyDescent="0.35">
      <c r="B14" s="444" t="s">
        <v>258</v>
      </c>
      <c r="C14" s="450">
        <v>45349014.6896552</v>
      </c>
      <c r="D14" s="450">
        <v>29964304</v>
      </c>
      <c r="E14" s="451">
        <v>284445.689655172</v>
      </c>
      <c r="F14" s="451">
        <v>353376</v>
      </c>
      <c r="G14" s="451">
        <v>67086</v>
      </c>
      <c r="H14" s="451">
        <v>1078383</v>
      </c>
      <c r="I14" s="451">
        <v>10380672</v>
      </c>
      <c r="J14" s="451">
        <v>2646249</v>
      </c>
      <c r="K14" s="451">
        <v>429784</v>
      </c>
      <c r="L14" s="451">
        <v>144715</v>
      </c>
      <c r="M14" s="451">
        <v>0</v>
      </c>
      <c r="N14" s="451">
        <v>0</v>
      </c>
      <c r="O14" s="451">
        <f>+SUM(O5:O13)</f>
        <v>31747594.689655177</v>
      </c>
      <c r="P14" s="451">
        <f>+SUM(P5:P13)</f>
        <v>13601420</v>
      </c>
      <c r="Q14" s="452"/>
      <c r="R14" s="452"/>
      <c r="S14" s="452"/>
      <c r="T14" s="452"/>
      <c r="U14" s="452"/>
      <c r="V14" s="452"/>
    </row>
    <row r="16" spans="2:32" ht="14.25" customHeight="1" x14ac:dyDescent="0.35">
      <c r="O16" s="113">
        <f>+O14+P14</f>
        <v>45349014.689655177</v>
      </c>
    </row>
    <row r="20" spans="2:21" ht="14.25" customHeight="1" x14ac:dyDescent="0.35">
      <c r="B20" s="444" t="s">
        <v>454</v>
      </c>
      <c r="C20" s="445" t="s">
        <v>258</v>
      </c>
      <c r="D20" s="446" t="s">
        <v>265</v>
      </c>
      <c r="E20" s="446" t="s">
        <v>356</v>
      </c>
      <c r="F20" s="446" t="s">
        <v>354</v>
      </c>
      <c r="G20" s="446" t="s">
        <v>446</v>
      </c>
      <c r="H20" s="447" t="s">
        <v>334</v>
      </c>
      <c r="I20" s="447" t="s">
        <v>335</v>
      </c>
      <c r="J20" s="447" t="s">
        <v>447</v>
      </c>
      <c r="K20" s="447" t="s">
        <v>448</v>
      </c>
      <c r="L20" s="444" t="s">
        <v>449</v>
      </c>
      <c r="M20" s="444" t="s">
        <v>339</v>
      </c>
      <c r="N20" s="418" t="s">
        <v>40</v>
      </c>
      <c r="O20" s="418" t="s">
        <v>267</v>
      </c>
      <c r="P20" s="448"/>
      <c r="Q20" s="448"/>
      <c r="R20" s="448" t="s">
        <v>450</v>
      </c>
      <c r="S20" s="448" t="s">
        <v>451</v>
      </c>
      <c r="T20" s="448"/>
      <c r="U20" s="448"/>
    </row>
    <row r="21" spans="2:21" ht="14.25" customHeight="1" x14ac:dyDescent="0.35">
      <c r="B21" s="38">
        <v>46167</v>
      </c>
      <c r="C21" s="449">
        <f t="shared" ref="C21:C29" si="3">+SUM(D21:L21)</f>
        <v>5985763.6744493041</v>
      </c>
      <c r="D21" s="424">
        <v>4524747.0412231795</v>
      </c>
      <c r="E21" s="424">
        <v>48855.338489690599</v>
      </c>
      <c r="F21" s="424">
        <v>10594.3170386907</v>
      </c>
      <c r="G21" s="424">
        <v>125768.41179420101</v>
      </c>
      <c r="H21" s="424">
        <v>955350.66309503803</v>
      </c>
      <c r="I21" s="424">
        <v>227089.11493301601</v>
      </c>
      <c r="J21" s="424">
        <v>41699.450670250699</v>
      </c>
      <c r="K21" s="424">
        <v>19068.441695548699</v>
      </c>
      <c r="L21" s="424">
        <v>32590.895509689301</v>
      </c>
      <c r="M21" s="424"/>
      <c r="N21" s="424">
        <f t="shared" ref="N21:N29" si="4">+SUM(D21:G21)</f>
        <v>4709965.1085457616</v>
      </c>
      <c r="O21" s="424">
        <f t="shared" ref="O21:O29" si="5">+SUM(H21:L21)</f>
        <v>1275798.5659035428</v>
      </c>
      <c r="P21" s="248"/>
      <c r="Q21" s="248"/>
      <c r="R21" s="1">
        <f>(+N21+N22+N23+N24+N25+N26+N27)/N$30</f>
        <v>0.7259572630942146</v>
      </c>
      <c r="S21" s="1">
        <f>(+O21+O22+O23+O24+O25+O26+O27)/O$30</f>
        <v>0.75062954112573166</v>
      </c>
      <c r="T21" s="248">
        <f>+U5*'Metas 2026'!H38</f>
        <v>30298496.595547441</v>
      </c>
      <c r="U21" s="248">
        <f>+V5*'Metas 2026'!H39</f>
        <v>13386235.916749112</v>
      </c>
    </row>
    <row r="22" spans="2:21" ht="14.25" customHeight="1" x14ac:dyDescent="0.35">
      <c r="B22" s="38">
        <v>46168</v>
      </c>
      <c r="C22" s="449">
        <f t="shared" si="3"/>
        <v>7684050.9479068676</v>
      </c>
      <c r="D22" s="424">
        <v>5350642.3543661004</v>
      </c>
      <c r="E22" s="424">
        <v>72772.061341921901</v>
      </c>
      <c r="F22" s="424">
        <v>13160.779913836101</v>
      </c>
      <c r="G22" s="424">
        <v>155691.36162899699</v>
      </c>
      <c r="H22" s="424">
        <v>1589350.1637515</v>
      </c>
      <c r="I22" s="424">
        <v>386194.86220607202</v>
      </c>
      <c r="J22" s="424">
        <v>59073.676247010699</v>
      </c>
      <c r="K22" s="424">
        <v>16587.344674602198</v>
      </c>
      <c r="L22" s="424">
        <v>40578.3437768281</v>
      </c>
      <c r="M22" s="424"/>
      <c r="N22" s="424">
        <f t="shared" si="4"/>
        <v>5592266.5572508555</v>
      </c>
      <c r="O22" s="424">
        <f t="shared" si="5"/>
        <v>2091784.390656013</v>
      </c>
      <c r="P22" s="248"/>
      <c r="Q22" s="248"/>
      <c r="R22" s="248"/>
      <c r="S22" s="248"/>
      <c r="T22" s="248"/>
      <c r="U22" s="248"/>
    </row>
    <row r="23" spans="2:21" ht="14.25" customHeight="1" x14ac:dyDescent="0.35">
      <c r="B23" s="38">
        <v>46169</v>
      </c>
      <c r="C23" s="449">
        <f t="shared" si="3"/>
        <v>7450207.6240357421</v>
      </c>
      <c r="D23" s="424">
        <v>4805040.2406122303</v>
      </c>
      <c r="E23" s="424">
        <v>78697.475374634494</v>
      </c>
      <c r="F23" s="424">
        <v>11416.7843186383</v>
      </c>
      <c r="G23" s="424">
        <v>115618.565979698</v>
      </c>
      <c r="H23" s="424">
        <v>1809582.5477617199</v>
      </c>
      <c r="I23" s="424">
        <v>486389.28469945001</v>
      </c>
      <c r="J23" s="424">
        <v>59135.212690274297</v>
      </c>
      <c r="K23" s="424">
        <v>34245.6853191962</v>
      </c>
      <c r="L23" s="424">
        <v>50081.827279901299</v>
      </c>
      <c r="M23" s="424"/>
      <c r="N23" s="424">
        <f t="shared" si="4"/>
        <v>5010773.0662852004</v>
      </c>
      <c r="O23" s="424">
        <f t="shared" si="5"/>
        <v>2439434.5577505417</v>
      </c>
      <c r="P23" s="248"/>
      <c r="Q23" s="248"/>
      <c r="R23" s="248"/>
      <c r="S23" s="248"/>
      <c r="T23" s="248"/>
      <c r="U23" s="248"/>
    </row>
    <row r="24" spans="2:21" ht="14.25" customHeight="1" x14ac:dyDescent="0.35">
      <c r="B24" s="38">
        <v>46170</v>
      </c>
      <c r="C24" s="449">
        <f t="shared" si="3"/>
        <v>6189474.6488193218</v>
      </c>
      <c r="D24" s="424">
        <v>3918894.96305046</v>
      </c>
      <c r="E24" s="424">
        <v>58125.365898545002</v>
      </c>
      <c r="F24" s="424">
        <v>11330.7576300859</v>
      </c>
      <c r="G24" s="424">
        <v>121430.581195682</v>
      </c>
      <c r="H24" s="424">
        <v>1565083.85652922</v>
      </c>
      <c r="I24" s="424">
        <v>391259.18055806198</v>
      </c>
      <c r="J24" s="424">
        <v>61097.8324445744</v>
      </c>
      <c r="K24" s="424">
        <v>19191.514582075899</v>
      </c>
      <c r="L24" s="424">
        <v>43060.596930615902</v>
      </c>
      <c r="M24" s="424"/>
      <c r="N24" s="424">
        <f t="shared" si="4"/>
        <v>4109781.6677747727</v>
      </c>
      <c r="O24" s="424">
        <f t="shared" si="5"/>
        <v>2079692.9810445481</v>
      </c>
      <c r="P24" s="248"/>
      <c r="Q24" s="248"/>
      <c r="R24" s="248"/>
      <c r="S24" s="248"/>
      <c r="T24" s="248"/>
      <c r="U24" s="248"/>
    </row>
    <row r="25" spans="2:21" ht="14.25" customHeight="1" x14ac:dyDescent="0.35">
      <c r="B25" s="38">
        <v>46171</v>
      </c>
      <c r="C25" s="449">
        <f t="shared" si="3"/>
        <v>5485879.7403529054</v>
      </c>
      <c r="D25" s="424">
        <v>3249203.26136383</v>
      </c>
      <c r="E25" s="424">
        <v>47382.4573069002</v>
      </c>
      <c r="F25" s="424">
        <v>9955.6340479231803</v>
      </c>
      <c r="G25" s="424">
        <v>147874.663882808</v>
      </c>
      <c r="H25" s="424">
        <v>1598293.89660115</v>
      </c>
      <c r="I25" s="424">
        <v>326784.69945015199</v>
      </c>
      <c r="J25" s="424">
        <v>50285.748434560599</v>
      </c>
      <c r="K25" s="424">
        <v>18961.0802413442</v>
      </c>
      <c r="L25" s="424">
        <v>37138.299024237996</v>
      </c>
      <c r="M25" s="424"/>
      <c r="N25" s="424">
        <f t="shared" si="4"/>
        <v>3454416.016601461</v>
      </c>
      <c r="O25" s="424">
        <f t="shared" si="5"/>
        <v>2031463.7237514448</v>
      </c>
      <c r="P25" s="248"/>
      <c r="Q25" s="248"/>
      <c r="R25" s="248"/>
      <c r="S25" s="248"/>
      <c r="T25" s="248"/>
      <c r="U25" s="248"/>
    </row>
    <row r="26" spans="2:21" ht="14.25" customHeight="1" x14ac:dyDescent="0.35">
      <c r="B26" s="38">
        <v>46172</v>
      </c>
      <c r="C26" s="449">
        <f t="shared" si="3"/>
        <v>4983598.2525027627</v>
      </c>
      <c r="D26" s="424">
        <v>2995704.7685894999</v>
      </c>
      <c r="E26" s="424">
        <v>25151.075489490198</v>
      </c>
      <c r="F26" s="424">
        <v>5397.5229893231099</v>
      </c>
      <c r="G26" s="424">
        <v>155194.75301780901</v>
      </c>
      <c r="H26" s="424">
        <v>1323427.62526108</v>
      </c>
      <c r="I26" s="424">
        <v>365192.60504881397</v>
      </c>
      <c r="J26" s="424">
        <v>51572.776598988297</v>
      </c>
      <c r="K26" s="424">
        <v>22324.636044411</v>
      </c>
      <c r="L26" s="424">
        <v>39632.489463348102</v>
      </c>
      <c r="M26" s="424"/>
      <c r="N26" s="424">
        <f t="shared" si="4"/>
        <v>3181448.1200861223</v>
      </c>
      <c r="O26" s="424">
        <f t="shared" si="5"/>
        <v>1802150.1324166413</v>
      </c>
      <c r="P26" s="248"/>
      <c r="Q26" s="248"/>
      <c r="R26" s="248"/>
      <c r="S26" s="248"/>
      <c r="T26" s="248"/>
      <c r="U26" s="248"/>
    </row>
    <row r="27" spans="2:21" ht="14.25" customHeight="1" x14ac:dyDescent="0.35">
      <c r="B27" s="38">
        <v>46173</v>
      </c>
      <c r="C27" s="449">
        <f t="shared" si="3"/>
        <v>5635126.4442096334</v>
      </c>
      <c r="D27" s="424">
        <v>3443003.1425868501</v>
      </c>
      <c r="E27" s="424">
        <v>-297.18310590815503</v>
      </c>
      <c r="F27" s="424">
        <v>1828.7188490751801</v>
      </c>
      <c r="G27" s="424">
        <v>243485.50760070601</v>
      </c>
      <c r="H27" s="424">
        <v>1473732.3518614201</v>
      </c>
      <c r="I27" s="424">
        <v>364198.85695440898</v>
      </c>
      <c r="J27" s="424">
        <v>53501.3549165894</v>
      </c>
      <c r="K27" s="424">
        <v>17561.453478604501</v>
      </c>
      <c r="L27" s="424">
        <v>38112.241067888201</v>
      </c>
      <c r="M27" s="424"/>
      <c r="N27" s="424">
        <f t="shared" si="4"/>
        <v>3688020.1859307229</v>
      </c>
      <c r="O27" s="424">
        <f t="shared" si="5"/>
        <v>1947106.2582789112</v>
      </c>
      <c r="P27" s="248"/>
      <c r="Q27" s="248"/>
      <c r="R27" s="248"/>
      <c r="S27" s="248"/>
      <c r="T27" s="248"/>
      <c r="U27" s="248"/>
    </row>
    <row r="28" spans="2:21" ht="14.25" customHeight="1" x14ac:dyDescent="0.35">
      <c r="B28" s="38">
        <v>46174</v>
      </c>
      <c r="C28" s="449">
        <f t="shared" si="3"/>
        <v>6912923.9988776688</v>
      </c>
      <c r="D28" s="424">
        <v>4666398.5804196596</v>
      </c>
      <c r="E28" s="424">
        <v>62188.119159770198</v>
      </c>
      <c r="F28" s="424">
        <v>10352.774836406201</v>
      </c>
      <c r="G28" s="424">
        <v>173424.24713090601</v>
      </c>
      <c r="H28" s="424">
        <v>1456670.51419018</v>
      </c>
      <c r="I28" s="424">
        <v>368627.77448167402</v>
      </c>
      <c r="J28" s="424">
        <v>89081.251579312899</v>
      </c>
      <c r="K28" s="424">
        <v>24998.010855570599</v>
      </c>
      <c r="L28" s="424">
        <v>61182.726224189202</v>
      </c>
      <c r="M28" s="424"/>
      <c r="N28" s="424">
        <f t="shared" si="4"/>
        <v>4912363.7215467421</v>
      </c>
      <c r="O28" s="424">
        <f t="shared" si="5"/>
        <v>2000560.2773309266</v>
      </c>
      <c r="P28" s="248"/>
      <c r="Q28" s="248"/>
      <c r="R28" s="1">
        <f>(+N28+N29)/N$30</f>
        <v>0.27404273690578557</v>
      </c>
      <c r="S28" s="1">
        <f>(+O28+O29)/O$30</f>
        <v>0.24937045887426826</v>
      </c>
      <c r="T28" s="248">
        <f>+U12*'Metas 2026'!I38</f>
        <v>11452836.265065582</v>
      </c>
      <c r="U28" s="248">
        <f>+V12*'Metas 2026'!I39</f>
        <v>4424227.9854212515</v>
      </c>
    </row>
    <row r="29" spans="2:21" ht="14.25" customHeight="1" x14ac:dyDescent="0.35">
      <c r="B29" s="38">
        <v>46175</v>
      </c>
      <c r="C29" s="449">
        <f t="shared" si="3"/>
        <v>8856719.6802506484</v>
      </c>
      <c r="D29" s="424">
        <v>6070014.98009245</v>
      </c>
      <c r="E29" s="424">
        <v>67331.370421536994</v>
      </c>
      <c r="F29" s="424">
        <v>13332.430001446901</v>
      </c>
      <c r="G29" s="424">
        <v>166074.517687613</v>
      </c>
      <c r="H29" s="424">
        <v>1817180.60721074</v>
      </c>
      <c r="I29" s="424">
        <v>548233.27565022698</v>
      </c>
      <c r="J29" s="424">
        <v>97115.205141384198</v>
      </c>
      <c r="K29" s="424">
        <v>16502.2456003855</v>
      </c>
      <c r="L29" s="424">
        <v>60935.048444864202</v>
      </c>
      <c r="M29" s="424"/>
      <c r="N29" s="424">
        <f t="shared" si="4"/>
        <v>6316753.2982030474</v>
      </c>
      <c r="O29" s="424">
        <f t="shared" si="5"/>
        <v>2539966.382047601</v>
      </c>
      <c r="P29" s="248"/>
      <c r="Q29" s="248"/>
      <c r="R29" s="248"/>
      <c r="S29" s="248"/>
      <c r="T29" s="248"/>
      <c r="U29" s="248"/>
    </row>
    <row r="30" spans="2:21" ht="14.25" customHeight="1" x14ac:dyDescent="0.35">
      <c r="B30" s="444" t="s">
        <v>258</v>
      </c>
      <c r="C30" s="451">
        <f t="shared" ref="C30:O30" si="6">+SUM(C21:C29)</f>
        <v>59183745.011404857</v>
      </c>
      <c r="D30" s="451">
        <f t="shared" si="6"/>
        <v>39023649.332304262</v>
      </c>
      <c r="E30" s="451">
        <f t="shared" si="6"/>
        <v>460206.08037658141</v>
      </c>
      <c r="F30" s="451">
        <f t="shared" si="6"/>
        <v>87369.719625425569</v>
      </c>
      <c r="G30" s="451">
        <f t="shared" si="6"/>
        <v>1404562.60991842</v>
      </c>
      <c r="H30" s="451">
        <f t="shared" si="6"/>
        <v>13588672.22626205</v>
      </c>
      <c r="I30" s="451">
        <f t="shared" si="6"/>
        <v>3463969.6539818761</v>
      </c>
      <c r="J30" s="451">
        <f t="shared" si="6"/>
        <v>562562.50872294547</v>
      </c>
      <c r="K30" s="451">
        <f t="shared" si="6"/>
        <v>189440.41249173883</v>
      </c>
      <c r="L30" s="451">
        <f t="shared" si="6"/>
        <v>403312.46772156237</v>
      </c>
      <c r="M30" s="451">
        <f t="shared" si="6"/>
        <v>0</v>
      </c>
      <c r="N30" s="451">
        <f t="shared" si="6"/>
        <v>40975787.742224678</v>
      </c>
      <c r="O30" s="451">
        <f t="shared" si="6"/>
        <v>18207957.269180171</v>
      </c>
      <c r="P30" s="452"/>
      <c r="Q30" s="452"/>
      <c r="R30" s="452"/>
      <c r="S30" s="452"/>
      <c r="T30" s="451">
        <f>+SUM(T21:T29)</f>
        <v>41751332.860613026</v>
      </c>
      <c r="U30" s="451">
        <f>+SUM(U21:U29)</f>
        <v>17810463.902170364</v>
      </c>
    </row>
    <row r="32" spans="2:21" ht="14.25" customHeight="1" x14ac:dyDescent="0.35">
      <c r="O32" s="113">
        <f>+N30+O30</f>
        <v>59183745.01140485</v>
      </c>
      <c r="P32">
        <f>+O32/489</f>
        <v>121030.15339755593</v>
      </c>
    </row>
    <row r="33" spans="2:37" ht="14.25" customHeight="1" x14ac:dyDescent="0.35">
      <c r="O33" s="282">
        <f>+O32/O16-1</f>
        <v>0.30507234647604364</v>
      </c>
    </row>
    <row r="34" spans="2:37" ht="14.25" customHeight="1" x14ac:dyDescent="0.35">
      <c r="AA34" s="453">
        <f>AA35-Y35</f>
        <v>-1830146</v>
      </c>
    </row>
    <row r="35" spans="2:37" ht="14.25" customHeight="1" x14ac:dyDescent="0.35">
      <c r="Y35" s="454">
        <f>SUM(Y38:Y42)</f>
        <v>7419864</v>
      </c>
      <c r="Z35" s="454">
        <f>SUM(Z38:Z42)</f>
        <v>9918174.2191060893</v>
      </c>
      <c r="AA35" s="454">
        <f>SUM(AA38:AA42)</f>
        <v>5589718</v>
      </c>
      <c r="AB35" s="5">
        <f>+AA35/Y35-1</f>
        <v>-0.24665492521156718</v>
      </c>
      <c r="AC35" s="5">
        <f>+AA35/Z35</f>
        <v>0.56358336489311978</v>
      </c>
      <c r="AH35" s="113"/>
    </row>
    <row r="36" spans="2:37" ht="14.25" customHeight="1" x14ac:dyDescent="0.35">
      <c r="Q36" s="455"/>
      <c r="R36" s="515" t="s">
        <v>455</v>
      </c>
      <c r="S36" s="515"/>
      <c r="T36" s="515"/>
      <c r="U36" s="515"/>
      <c r="V36" s="515"/>
      <c r="X36" s="455"/>
      <c r="Y36" s="515" t="s">
        <v>340</v>
      </c>
      <c r="Z36" s="515"/>
      <c r="AA36" s="515"/>
      <c r="AB36" s="515"/>
      <c r="AC36" s="515"/>
      <c r="AE36" s="455"/>
      <c r="AF36" s="515" t="s">
        <v>258</v>
      </c>
      <c r="AG36" s="515"/>
      <c r="AH36" s="515"/>
      <c r="AI36" s="515"/>
      <c r="AJ36" s="515"/>
    </row>
    <row r="37" spans="2:37" ht="14.25" customHeight="1" x14ac:dyDescent="0.35">
      <c r="B37" s="444" t="s">
        <v>454</v>
      </c>
      <c r="C37" s="445" t="s">
        <v>258</v>
      </c>
      <c r="D37" s="446" t="s">
        <v>265</v>
      </c>
      <c r="E37" s="446" t="s">
        <v>356</v>
      </c>
      <c r="F37" s="446" t="s">
        <v>354</v>
      </c>
      <c r="G37" s="446" t="s">
        <v>446</v>
      </c>
      <c r="H37" s="447" t="s">
        <v>334</v>
      </c>
      <c r="I37" s="447" t="s">
        <v>335</v>
      </c>
      <c r="J37" s="447" t="s">
        <v>447</v>
      </c>
      <c r="K37" s="447" t="s">
        <v>448</v>
      </c>
      <c r="L37" s="444" t="s">
        <v>449</v>
      </c>
      <c r="M37" s="444" t="s">
        <v>339</v>
      </c>
      <c r="N37" s="418" t="s">
        <v>40</v>
      </c>
      <c r="O37" s="418" t="s">
        <v>267</v>
      </c>
      <c r="Q37" s="456" t="s">
        <v>454</v>
      </c>
      <c r="R37" s="457">
        <v>2025</v>
      </c>
      <c r="S37" s="457" t="s">
        <v>292</v>
      </c>
      <c r="T37" s="458" t="s">
        <v>289</v>
      </c>
      <c r="U37" s="459" t="s">
        <v>456</v>
      </c>
      <c r="V37" s="460" t="s">
        <v>457</v>
      </c>
      <c r="X37" s="456" t="s">
        <v>454</v>
      </c>
      <c r="Y37" s="457">
        <v>2025</v>
      </c>
      <c r="Z37" s="457" t="s">
        <v>292</v>
      </c>
      <c r="AA37" s="458" t="s">
        <v>289</v>
      </c>
      <c r="AB37" s="459" t="s">
        <v>456</v>
      </c>
      <c r="AC37" s="460" t="s">
        <v>457</v>
      </c>
      <c r="AE37" s="456" t="s">
        <v>454</v>
      </c>
      <c r="AF37" s="457">
        <v>2025</v>
      </c>
      <c r="AG37" s="457" t="s">
        <v>292</v>
      </c>
      <c r="AH37" s="458" t="s">
        <v>289</v>
      </c>
      <c r="AI37" s="459" t="s">
        <v>456</v>
      </c>
      <c r="AJ37" s="460" t="s">
        <v>457</v>
      </c>
    </row>
    <row r="38" spans="2:37" ht="14.25" customHeight="1" x14ac:dyDescent="0.35">
      <c r="B38" s="38">
        <v>46167</v>
      </c>
      <c r="C38" s="449">
        <f t="shared" ref="C38:C46" si="7">+SUM(D38:M38)</f>
        <v>5925364</v>
      </c>
      <c r="D38" s="424">
        <f>+'BD MF'!K148</f>
        <v>4611370</v>
      </c>
      <c r="E38" s="424">
        <f>+'BD MF'!O148</f>
        <v>30700</v>
      </c>
      <c r="F38" s="424">
        <f>+'BD MF'!Q148</f>
        <v>4699</v>
      </c>
      <c r="G38" s="424">
        <f>+'BD MF'!S148</f>
        <v>78900</v>
      </c>
      <c r="H38" s="424">
        <f>+'BD MF'!U148</f>
        <v>902125</v>
      </c>
      <c r="I38" s="424">
        <f>+'BD MF'!W148</f>
        <v>237474</v>
      </c>
      <c r="J38" s="424">
        <f>+'BD MF'!Y148</f>
        <v>36431</v>
      </c>
      <c r="K38" s="424">
        <f>+'BD MF'!AA148</f>
        <v>12811</v>
      </c>
      <c r="L38" s="424">
        <f>+'BD MF'!AC148</f>
        <v>3362</v>
      </c>
      <c r="M38" s="424">
        <f>+'BD MF'!AE148</f>
        <v>7492</v>
      </c>
      <c r="N38" s="424">
        <f t="shared" ref="N38:N46" si="8">+SUM(D38:G38)</f>
        <v>4725669</v>
      </c>
      <c r="O38" s="424">
        <f t="shared" ref="O38:O46" si="9">+SUM(H38:M38)</f>
        <v>1199695</v>
      </c>
      <c r="Q38" s="461" t="s">
        <v>458</v>
      </c>
      <c r="R38" s="248">
        <f t="shared" ref="R38:R46" si="10">+O5</f>
        <v>3638109.8965517241</v>
      </c>
      <c r="S38" s="248">
        <f t="shared" ref="S38:S46" si="11">+N21</f>
        <v>4709965.1085457616</v>
      </c>
      <c r="T38" s="248">
        <f t="shared" ref="T38:T46" si="12">+N38</f>
        <v>4725669</v>
      </c>
      <c r="U38" s="1">
        <f t="shared" ref="U38:U47" si="13">+T38/R38-1</f>
        <v>0.29893519832347204</v>
      </c>
      <c r="V38" s="358">
        <f t="shared" ref="V38:V47" si="14">+T38/S38</f>
        <v>1.0033341842439014</v>
      </c>
      <c r="X38" s="461" t="s">
        <v>458</v>
      </c>
      <c r="Y38" s="462">
        <f t="shared" ref="Y38:Y46" si="15">+P5</f>
        <v>949531</v>
      </c>
      <c r="Z38" s="462">
        <f t="shared" ref="Z38:Z46" si="16">+O21</f>
        <v>1275798.5659035428</v>
      </c>
      <c r="AA38" s="462">
        <f t="shared" ref="AA38:AA46" si="17">+O38</f>
        <v>1199695</v>
      </c>
      <c r="AB38" s="463">
        <f t="shared" ref="AB38:AB47" si="18">+AA38/Y38-1</f>
        <v>0.26346059265047694</v>
      </c>
      <c r="AC38" s="464">
        <f t="shared" ref="AC38:AC47" si="19">+AA38/Z38</f>
        <v>0.94034829013180077</v>
      </c>
      <c r="AE38" s="461" t="s">
        <v>458</v>
      </c>
      <c r="AF38" s="462">
        <f t="shared" ref="AF38:AF46" si="20">+R38+Y38</f>
        <v>4587640.8965517245</v>
      </c>
      <c r="AG38" s="462">
        <f t="shared" ref="AG38:AG46" si="21">+S38+Z38</f>
        <v>5985763.6744493041</v>
      </c>
      <c r="AH38" s="462">
        <f t="shared" ref="AH38:AH46" si="22">+T38+AA38</f>
        <v>5925364</v>
      </c>
      <c r="AI38" s="463">
        <f t="shared" ref="AI38:AI47" si="23">+AH38/AF38-1</f>
        <v>0.29159281068702825</v>
      </c>
      <c r="AJ38" s="464">
        <f t="shared" ref="AJ38:AJ47" si="24">+AH38/AG38</f>
        <v>0.98990944552202675</v>
      </c>
    </row>
    <row r="39" spans="2:37" ht="14.25" customHeight="1" x14ac:dyDescent="0.35">
      <c r="B39" s="38">
        <v>46168</v>
      </c>
      <c r="C39" s="449">
        <f t="shared" si="7"/>
        <v>6141565</v>
      </c>
      <c r="D39" s="424">
        <f>+'BD MF'!K149</f>
        <v>4676609</v>
      </c>
      <c r="E39" s="424">
        <f>+'BD MF'!O149</f>
        <v>76532</v>
      </c>
      <c r="F39" s="424">
        <f>+'BD MF'!Q149</f>
        <v>5544</v>
      </c>
      <c r="G39" s="424">
        <f>+'BD MF'!S149</f>
        <v>91220</v>
      </c>
      <c r="H39" s="424">
        <f>+'BD MF'!U149</f>
        <v>1074734</v>
      </c>
      <c r="I39" s="424">
        <f>+'BD MF'!W149</f>
        <v>170033</v>
      </c>
      <c r="J39" s="424">
        <f>+'BD MF'!Y149</f>
        <v>28875</v>
      </c>
      <c r="K39" s="424">
        <f>+'BD MF'!AA149</f>
        <v>10958</v>
      </c>
      <c r="L39" s="424">
        <f>+'BD MF'!AC149</f>
        <v>3874</v>
      </c>
      <c r="M39" s="424">
        <f>+'BD MF'!AE149</f>
        <v>3186</v>
      </c>
      <c r="N39" s="424">
        <f t="shared" si="8"/>
        <v>4849905</v>
      </c>
      <c r="O39" s="424">
        <f t="shared" si="9"/>
        <v>1291660</v>
      </c>
      <c r="Q39" s="461" t="s">
        <v>459</v>
      </c>
      <c r="R39" s="248">
        <f t="shared" si="10"/>
        <v>4314829.5517241377</v>
      </c>
      <c r="S39" s="248">
        <f t="shared" si="11"/>
        <v>5592266.5572508555</v>
      </c>
      <c r="T39" s="248">
        <f t="shared" si="12"/>
        <v>4849905</v>
      </c>
      <c r="U39" s="1">
        <f t="shared" si="13"/>
        <v>0.12400847863435405</v>
      </c>
      <c r="V39" s="358">
        <f t="shared" si="14"/>
        <v>0.86725211510379097</v>
      </c>
      <c r="X39" s="461" t="s">
        <v>459</v>
      </c>
      <c r="Y39" s="248">
        <f t="shared" si="15"/>
        <v>1566660</v>
      </c>
      <c r="Z39" s="248">
        <f t="shared" si="16"/>
        <v>2091784.390656013</v>
      </c>
      <c r="AA39" s="248">
        <f t="shared" si="17"/>
        <v>1291660</v>
      </c>
      <c r="AB39" s="1">
        <f t="shared" si="18"/>
        <v>-0.17553266184111427</v>
      </c>
      <c r="AC39" s="358">
        <f t="shared" si="19"/>
        <v>0.61749193930781621</v>
      </c>
      <c r="AE39" s="461" t="s">
        <v>459</v>
      </c>
      <c r="AF39" s="248">
        <f t="shared" si="20"/>
        <v>5881489.5517241377</v>
      </c>
      <c r="AG39" s="248">
        <f t="shared" si="21"/>
        <v>7684050.9479068685</v>
      </c>
      <c r="AH39" s="248">
        <f t="shared" si="22"/>
        <v>6141565</v>
      </c>
      <c r="AI39" s="1">
        <f t="shared" si="23"/>
        <v>4.4219316550451415E-2</v>
      </c>
      <c r="AJ39" s="358">
        <f t="shared" si="24"/>
        <v>0.79926135857713942</v>
      </c>
    </row>
    <row r="40" spans="2:37" ht="14.25" customHeight="1" x14ac:dyDescent="0.35">
      <c r="B40" s="38">
        <v>46169</v>
      </c>
      <c r="C40" s="449">
        <f t="shared" si="7"/>
        <v>5210126</v>
      </c>
      <c r="D40" s="424">
        <f>+'BD MF'!K150</f>
        <v>3970639</v>
      </c>
      <c r="E40" s="424">
        <f>+'BD MF'!O150</f>
        <v>26769</v>
      </c>
      <c r="F40" s="424">
        <f>+'BD MF'!Q150</f>
        <v>11997</v>
      </c>
      <c r="G40" s="424">
        <f>+'BD MF'!S150</f>
        <v>83615</v>
      </c>
      <c r="H40" s="424">
        <f>+'BD MF'!U150</f>
        <v>850183</v>
      </c>
      <c r="I40" s="424">
        <f>+'BD MF'!W150</f>
        <v>220841</v>
      </c>
      <c r="J40" s="424">
        <f>+'BD MF'!Y150</f>
        <v>23508</v>
      </c>
      <c r="K40" s="424">
        <f>+'BD MF'!AA150</f>
        <v>11096</v>
      </c>
      <c r="L40" s="424">
        <f>+'BD MF'!AC150</f>
        <v>6482</v>
      </c>
      <c r="M40" s="424">
        <f>+'BD MF'!AE150</f>
        <v>4996</v>
      </c>
      <c r="N40" s="424">
        <f t="shared" si="8"/>
        <v>4093020</v>
      </c>
      <c r="O40" s="424">
        <f t="shared" si="9"/>
        <v>1117106</v>
      </c>
      <c r="Q40" s="461" t="s">
        <v>460</v>
      </c>
      <c r="R40" s="248">
        <f t="shared" si="10"/>
        <v>3875507.2758620689</v>
      </c>
      <c r="S40" s="248">
        <f t="shared" si="11"/>
        <v>5010773.0662852004</v>
      </c>
      <c r="T40" s="248">
        <f t="shared" si="12"/>
        <v>4093020</v>
      </c>
      <c r="U40" s="1">
        <f t="shared" si="13"/>
        <v>5.6124968592543123E-2</v>
      </c>
      <c r="V40" s="358">
        <f t="shared" si="14"/>
        <v>0.816844017051926</v>
      </c>
      <c r="X40" s="461" t="s">
        <v>460</v>
      </c>
      <c r="Y40" s="248">
        <f t="shared" si="15"/>
        <v>1824928</v>
      </c>
      <c r="Z40" s="248">
        <f t="shared" si="16"/>
        <v>2439434.5577505417</v>
      </c>
      <c r="AA40" s="248">
        <f t="shared" si="17"/>
        <v>1117106</v>
      </c>
      <c r="AB40" s="1">
        <f t="shared" si="18"/>
        <v>-0.38786297322414909</v>
      </c>
      <c r="AC40" s="358">
        <f t="shared" si="19"/>
        <v>0.45793644943281814</v>
      </c>
      <c r="AE40" s="461" t="s">
        <v>460</v>
      </c>
      <c r="AF40" s="248">
        <f t="shared" si="20"/>
        <v>5700435.2758620689</v>
      </c>
      <c r="AG40" s="248">
        <f t="shared" si="21"/>
        <v>7450207.6240357421</v>
      </c>
      <c r="AH40" s="248">
        <f t="shared" si="22"/>
        <v>5210126</v>
      </c>
      <c r="AI40" s="1">
        <f t="shared" si="23"/>
        <v>-8.6012602921435644E-2</v>
      </c>
      <c r="AJ40" s="358">
        <f t="shared" si="24"/>
        <v>0.69932628228925775</v>
      </c>
    </row>
    <row r="41" spans="2:37" ht="14.25" customHeight="1" x14ac:dyDescent="0.35">
      <c r="B41" s="38">
        <v>46170</v>
      </c>
      <c r="C41" s="449">
        <f t="shared" si="7"/>
        <v>4742036</v>
      </c>
      <c r="D41" s="424">
        <f>+'BD MF'!K151</f>
        <v>3618780</v>
      </c>
      <c r="E41" s="424">
        <f>+'BD MF'!O151</f>
        <v>13833</v>
      </c>
      <c r="F41" s="424">
        <f>+'BD MF'!Q151</f>
        <v>1382</v>
      </c>
      <c r="G41" s="424">
        <f>+'BD MF'!S151</f>
        <v>98131</v>
      </c>
      <c r="H41" s="424">
        <f>+'BD MF'!U151</f>
        <v>756891</v>
      </c>
      <c r="I41" s="424">
        <f>+'BD MF'!W151</f>
        <v>201932</v>
      </c>
      <c r="J41" s="424">
        <f>+'BD MF'!Y151</f>
        <v>33137</v>
      </c>
      <c r="K41" s="424">
        <f>+'BD MF'!AA151</f>
        <v>11225</v>
      </c>
      <c r="L41" s="424">
        <f>+'BD MF'!AC151</f>
        <v>4271</v>
      </c>
      <c r="M41" s="424">
        <f>+'BD MF'!AE151</f>
        <v>2454</v>
      </c>
      <c r="N41" s="424">
        <f t="shared" si="8"/>
        <v>3732126</v>
      </c>
      <c r="O41" s="424">
        <f t="shared" si="9"/>
        <v>1009910</v>
      </c>
      <c r="Q41" s="461" t="s">
        <v>461</v>
      </c>
      <c r="R41" s="248">
        <f t="shared" si="10"/>
        <v>3180331.3793103448</v>
      </c>
      <c r="S41" s="248">
        <f t="shared" si="11"/>
        <v>4109781.6677747727</v>
      </c>
      <c r="T41" s="248">
        <f t="shared" si="12"/>
        <v>3732126</v>
      </c>
      <c r="U41" s="1">
        <f t="shared" si="13"/>
        <v>0.17350224076627896</v>
      </c>
      <c r="V41" s="358">
        <f t="shared" si="14"/>
        <v>0.9081080947107214</v>
      </c>
      <c r="X41" s="461" t="s">
        <v>461</v>
      </c>
      <c r="Y41" s="248">
        <f t="shared" si="15"/>
        <v>1555529</v>
      </c>
      <c r="Z41" s="248">
        <f t="shared" si="16"/>
        <v>2079692.9810445481</v>
      </c>
      <c r="AA41" s="248">
        <f t="shared" si="17"/>
        <v>1009910</v>
      </c>
      <c r="AB41" s="1">
        <f t="shared" si="18"/>
        <v>-0.35076105942094293</v>
      </c>
      <c r="AC41" s="358">
        <f t="shared" si="19"/>
        <v>0.48560533175082499</v>
      </c>
      <c r="AE41" s="461" t="s">
        <v>461</v>
      </c>
      <c r="AF41" s="248">
        <f t="shared" si="20"/>
        <v>4735860.3793103453</v>
      </c>
      <c r="AG41" s="248">
        <f t="shared" si="21"/>
        <v>6189474.6488193208</v>
      </c>
      <c r="AH41" s="248">
        <f t="shared" si="22"/>
        <v>4742036</v>
      </c>
      <c r="AI41" s="1">
        <f t="shared" si="23"/>
        <v>1.3040124064118697E-3</v>
      </c>
      <c r="AJ41" s="358">
        <f t="shared" si="24"/>
        <v>0.76614515270768124</v>
      </c>
    </row>
    <row r="42" spans="2:37" ht="14.25" customHeight="1" x14ac:dyDescent="0.35">
      <c r="B42" s="38">
        <v>46171</v>
      </c>
      <c r="C42" s="449">
        <f t="shared" si="7"/>
        <v>3862330</v>
      </c>
      <c r="D42" s="424">
        <f>+'BD MF'!K152</f>
        <v>2759171</v>
      </c>
      <c r="E42" s="424">
        <f>+'BD MF'!O152</f>
        <v>29617</v>
      </c>
      <c r="F42" s="424">
        <f>+'BD MF'!Q152</f>
        <v>4838</v>
      </c>
      <c r="G42" s="424">
        <f>+'BD MF'!S152</f>
        <v>97357</v>
      </c>
      <c r="H42" s="424">
        <f>+'BD MF'!U152</f>
        <v>753282</v>
      </c>
      <c r="I42" s="424">
        <f>+'BD MF'!W152</f>
        <v>172862</v>
      </c>
      <c r="J42" s="424">
        <f>+'BD MF'!Y152</f>
        <v>24477</v>
      </c>
      <c r="K42" s="424">
        <f>+'BD MF'!AA152</f>
        <v>13363</v>
      </c>
      <c r="L42" s="424">
        <f>+'BD MF'!AC152</f>
        <v>6072</v>
      </c>
      <c r="M42" s="424">
        <f>+'BD MF'!AE152</f>
        <v>1291</v>
      </c>
      <c r="N42" s="424">
        <f t="shared" si="8"/>
        <v>2890983</v>
      </c>
      <c r="O42" s="424">
        <f t="shared" si="9"/>
        <v>971347</v>
      </c>
      <c r="Q42" s="461" t="s">
        <v>462</v>
      </c>
      <c r="R42" s="248">
        <f t="shared" si="10"/>
        <v>2687683.2413793104</v>
      </c>
      <c r="S42" s="248">
        <f t="shared" si="11"/>
        <v>3454416.016601461</v>
      </c>
      <c r="T42" s="248">
        <f t="shared" si="12"/>
        <v>2890983</v>
      </c>
      <c r="U42" s="1">
        <f t="shared" si="13"/>
        <v>7.5641264376212991E-2</v>
      </c>
      <c r="V42" s="358">
        <f t="shared" si="14"/>
        <v>0.83689485751175385</v>
      </c>
      <c r="X42" s="461" t="s">
        <v>462</v>
      </c>
      <c r="Y42" s="248">
        <f t="shared" si="15"/>
        <v>1523216</v>
      </c>
      <c r="Z42" s="248">
        <f t="shared" si="16"/>
        <v>2031463.7237514448</v>
      </c>
      <c r="AA42" s="248">
        <f t="shared" si="17"/>
        <v>971347</v>
      </c>
      <c r="AB42" s="1">
        <f t="shared" si="18"/>
        <v>-0.36230514910557665</v>
      </c>
      <c r="AC42" s="358">
        <f t="shared" si="19"/>
        <v>0.47815128995079559</v>
      </c>
      <c r="AE42" s="461" t="s">
        <v>462</v>
      </c>
      <c r="AF42" s="248">
        <f t="shared" si="20"/>
        <v>4210899.2413793104</v>
      </c>
      <c r="AG42" s="248">
        <f t="shared" si="21"/>
        <v>5485879.7403529063</v>
      </c>
      <c r="AH42" s="248">
        <f t="shared" si="22"/>
        <v>3862330</v>
      </c>
      <c r="AI42" s="1">
        <f t="shared" si="23"/>
        <v>-8.2777863206514035E-2</v>
      </c>
      <c r="AJ42" s="358">
        <f t="shared" si="24"/>
        <v>0.70404933808329095</v>
      </c>
      <c r="AK42" s="113">
        <f>AH42-AG42</f>
        <v>-1623549.7403529063</v>
      </c>
    </row>
    <row r="43" spans="2:37" ht="14.25" customHeight="1" x14ac:dyDescent="0.35">
      <c r="B43" s="38">
        <v>46172</v>
      </c>
      <c r="C43" s="449">
        <f t="shared" si="7"/>
        <v>3560176</v>
      </c>
      <c r="D43" s="424">
        <f>+'BD MF'!K153</f>
        <v>2444647</v>
      </c>
      <c r="E43" s="424">
        <f>+'BD MF'!O153</f>
        <v>334</v>
      </c>
      <c r="F43" s="424">
        <f>+'BD MF'!Q153</f>
        <v>732</v>
      </c>
      <c r="G43" s="424">
        <f>+'BD MF'!S153</f>
        <v>102241</v>
      </c>
      <c r="H43" s="424">
        <f>+'BD MF'!U153</f>
        <v>813542</v>
      </c>
      <c r="I43" s="424">
        <f>+'BD MF'!W153</f>
        <v>157583</v>
      </c>
      <c r="J43" s="424">
        <f>+'BD MF'!Y153</f>
        <v>22067</v>
      </c>
      <c r="K43" s="424">
        <f>+'BD MF'!AA153</f>
        <v>9771</v>
      </c>
      <c r="L43" s="424">
        <f>+'BD MF'!AC153</f>
        <v>1250</v>
      </c>
      <c r="M43" s="424">
        <f>+'BD MF'!AE153</f>
        <v>8009</v>
      </c>
      <c r="N43" s="424">
        <f t="shared" si="8"/>
        <v>2547954</v>
      </c>
      <c r="O43" s="424">
        <f t="shared" si="9"/>
        <v>1012222</v>
      </c>
      <c r="Q43" s="461" t="s">
        <v>463</v>
      </c>
      <c r="R43" s="248">
        <f t="shared" si="10"/>
        <v>2475282.7931034481</v>
      </c>
      <c r="S43" s="248">
        <f t="shared" si="11"/>
        <v>3181448.1200861223</v>
      </c>
      <c r="T43" s="248">
        <f t="shared" si="12"/>
        <v>2547954</v>
      </c>
      <c r="U43" s="1">
        <f t="shared" si="13"/>
        <v>2.9358749270598894E-2</v>
      </c>
      <c r="V43" s="358">
        <f t="shared" si="14"/>
        <v>0.80087868914581783</v>
      </c>
      <c r="X43" s="461" t="s">
        <v>463</v>
      </c>
      <c r="Y43" s="248">
        <f t="shared" si="15"/>
        <v>1346167</v>
      </c>
      <c r="Z43" s="248">
        <f t="shared" si="16"/>
        <v>1802150.1324166413</v>
      </c>
      <c r="AA43" s="248">
        <f t="shared" si="17"/>
        <v>1012222</v>
      </c>
      <c r="AB43" s="1">
        <f t="shared" si="18"/>
        <v>-0.24807100456332687</v>
      </c>
      <c r="AC43" s="358">
        <f t="shared" si="19"/>
        <v>0.5616746251005369</v>
      </c>
      <c r="AE43" s="461" t="s">
        <v>463</v>
      </c>
      <c r="AF43" s="248">
        <f t="shared" si="20"/>
        <v>3821449.7931034481</v>
      </c>
      <c r="AG43" s="248">
        <f t="shared" si="21"/>
        <v>4983598.2525027636</v>
      </c>
      <c r="AH43" s="248">
        <f t="shared" si="22"/>
        <v>3560176</v>
      </c>
      <c r="AI43" s="1">
        <f t="shared" si="23"/>
        <v>-6.8370332530592881E-2</v>
      </c>
      <c r="AJ43" s="358">
        <f t="shared" si="24"/>
        <v>0.7143786115207178</v>
      </c>
      <c r="AK43" s="113">
        <f>AH43-AG43</f>
        <v>-1423422.2525027636</v>
      </c>
    </row>
    <row r="44" spans="2:37" ht="14.25" customHeight="1" x14ac:dyDescent="0.35">
      <c r="B44" s="38">
        <v>46173</v>
      </c>
      <c r="C44" s="449">
        <f t="shared" si="7"/>
        <v>4090231</v>
      </c>
      <c r="D44" s="424">
        <f>+'BD MF'!K154</f>
        <v>2739282</v>
      </c>
      <c r="E44" s="424">
        <f>+'BD MF'!O154</f>
        <v>7405</v>
      </c>
      <c r="F44" s="424">
        <f>+'BD MF'!Q154</f>
        <v>4382</v>
      </c>
      <c r="G44" s="424">
        <f>+'BD MF'!S154</f>
        <v>80380</v>
      </c>
      <c r="H44" s="424">
        <f>+'BD MF'!U154</f>
        <v>1043225</v>
      </c>
      <c r="I44" s="424">
        <f>+'BD MF'!W154</f>
        <v>173161</v>
      </c>
      <c r="J44" s="424">
        <f>+'BD MF'!Y154</f>
        <v>23659</v>
      </c>
      <c r="K44" s="424">
        <f>+'BD MF'!AA154</f>
        <v>10923</v>
      </c>
      <c r="L44" s="424">
        <f>+'BD MF'!AC154</f>
        <v>2086</v>
      </c>
      <c r="M44" s="424">
        <f>+'BD MF'!AE154</f>
        <v>5728</v>
      </c>
      <c r="N44" s="424">
        <f t="shared" si="8"/>
        <v>2831449</v>
      </c>
      <c r="O44" s="424">
        <f t="shared" si="9"/>
        <v>1258782</v>
      </c>
      <c r="Q44" s="461" t="s">
        <v>464</v>
      </c>
      <c r="R44" s="248">
        <f t="shared" si="10"/>
        <v>2869134.5517241377</v>
      </c>
      <c r="S44" s="248">
        <f t="shared" si="11"/>
        <v>3688020.1859307229</v>
      </c>
      <c r="T44" s="248">
        <f t="shared" si="12"/>
        <v>2831449</v>
      </c>
      <c r="U44" s="1">
        <f t="shared" si="13"/>
        <v>-1.3134815061737526E-2</v>
      </c>
      <c r="V44" s="358">
        <f t="shared" si="14"/>
        <v>0.76774227288711128</v>
      </c>
      <c r="X44" s="461" t="s">
        <v>464</v>
      </c>
      <c r="Y44" s="248">
        <f t="shared" si="15"/>
        <v>1458042</v>
      </c>
      <c r="Z44" s="248">
        <f t="shared" si="16"/>
        <v>1947106.2582789112</v>
      </c>
      <c r="AA44" s="248">
        <f t="shared" si="17"/>
        <v>1258782</v>
      </c>
      <c r="AB44" s="1">
        <f t="shared" si="18"/>
        <v>-0.13666272988020922</v>
      </c>
      <c r="AC44" s="358">
        <f t="shared" si="19"/>
        <v>0.64648860053105894</v>
      </c>
      <c r="AE44" s="461" t="s">
        <v>464</v>
      </c>
      <c r="AF44" s="248">
        <f t="shared" si="20"/>
        <v>4327176.5517241377</v>
      </c>
      <c r="AG44" s="248">
        <f t="shared" si="21"/>
        <v>5635126.4442096343</v>
      </c>
      <c r="AH44" s="248">
        <f t="shared" si="22"/>
        <v>4090231</v>
      </c>
      <c r="AI44" s="1">
        <f t="shared" si="23"/>
        <v>-5.4757541988835201E-2</v>
      </c>
      <c r="AJ44" s="358">
        <f t="shared" si="24"/>
        <v>0.72584546957289853</v>
      </c>
      <c r="AK44" s="113">
        <f>AH44-AG44</f>
        <v>-1544895.4442096343</v>
      </c>
    </row>
    <row r="45" spans="2:37" ht="14.25" customHeight="1" x14ac:dyDescent="0.35">
      <c r="B45" s="38">
        <v>46174</v>
      </c>
      <c r="C45" s="449">
        <f t="shared" si="7"/>
        <v>5292328</v>
      </c>
      <c r="D45" s="424">
        <f>+'BD MF'!K155</f>
        <v>4064668</v>
      </c>
      <c r="E45" s="424">
        <f>+'BD MF'!O155</f>
        <v>26689</v>
      </c>
      <c r="F45" s="424">
        <f>+'BD MF'!Q155</f>
        <v>10478</v>
      </c>
      <c r="G45" s="424">
        <f>+'BD MF'!S155</f>
        <v>92432</v>
      </c>
      <c r="H45" s="424">
        <f>+'BD MF'!U155</f>
        <v>904974</v>
      </c>
      <c r="I45" s="424">
        <f>+'BD MF'!W155</f>
        <v>135586</v>
      </c>
      <c r="J45" s="424">
        <f>+'BD MF'!Y155</f>
        <v>29579</v>
      </c>
      <c r="K45" s="424">
        <f>+'BD MF'!AA155</f>
        <v>10801</v>
      </c>
      <c r="L45" s="424">
        <f>+'BD MF'!AC155</f>
        <v>8208</v>
      </c>
      <c r="M45" s="424">
        <f>+'BD MF'!AE155</f>
        <v>8913</v>
      </c>
      <c r="N45" s="424">
        <f t="shared" si="8"/>
        <v>4194267</v>
      </c>
      <c r="O45" s="424">
        <f t="shared" si="9"/>
        <v>1098061</v>
      </c>
      <c r="Q45" s="461" t="s">
        <v>465</v>
      </c>
      <c r="R45" s="248">
        <f t="shared" si="10"/>
        <v>3812724.3103448278</v>
      </c>
      <c r="S45" s="248">
        <f t="shared" si="11"/>
        <v>4912363.7215467421</v>
      </c>
      <c r="T45" s="248">
        <f t="shared" si="12"/>
        <v>4194267</v>
      </c>
      <c r="U45" s="1">
        <f t="shared" si="13"/>
        <v>0.10007088333660952</v>
      </c>
      <c r="V45" s="358">
        <f t="shared" si="14"/>
        <v>0.85381849507661511</v>
      </c>
      <c r="X45" s="461" t="s">
        <v>465</v>
      </c>
      <c r="Y45" s="248">
        <f t="shared" si="15"/>
        <v>1482423</v>
      </c>
      <c r="Z45" s="248">
        <f t="shared" si="16"/>
        <v>2000560.2773309266</v>
      </c>
      <c r="AA45" s="248">
        <f t="shared" si="17"/>
        <v>1098061</v>
      </c>
      <c r="AB45" s="1">
        <f t="shared" si="18"/>
        <v>-0.25927957135041757</v>
      </c>
      <c r="AC45" s="358">
        <f t="shared" si="19"/>
        <v>0.54887673840299989</v>
      </c>
      <c r="AE45" s="461" t="s">
        <v>465</v>
      </c>
      <c r="AF45" s="248">
        <f t="shared" si="20"/>
        <v>5295147.3103448283</v>
      </c>
      <c r="AG45" s="248">
        <f t="shared" si="21"/>
        <v>6912923.9988776688</v>
      </c>
      <c r="AH45" s="248">
        <f t="shared" si="22"/>
        <v>5292328</v>
      </c>
      <c r="AI45" s="1">
        <f t="shared" si="23"/>
        <v>-5.3243284456327977E-4</v>
      </c>
      <c r="AJ45" s="358">
        <f t="shared" si="24"/>
        <v>0.76557011199012504</v>
      </c>
      <c r="AK45" s="113">
        <f>AH45-AG45</f>
        <v>-1620595.9988776688</v>
      </c>
    </row>
    <row r="46" spans="2:37" ht="14.25" customHeight="1" x14ac:dyDescent="0.35">
      <c r="B46" s="38">
        <v>46175</v>
      </c>
      <c r="C46" s="449">
        <f t="shared" si="7"/>
        <v>5906174</v>
      </c>
      <c r="D46" s="424">
        <f>+'BD MF'!K156</f>
        <v>4572359</v>
      </c>
      <c r="E46" s="424">
        <f>+'BD MF'!O156</f>
        <v>47963</v>
      </c>
      <c r="F46" s="424">
        <f>+'BD MF'!Q156</f>
        <v>15476</v>
      </c>
      <c r="G46" s="424">
        <f>+'BD MF'!S156</f>
        <v>108290</v>
      </c>
      <c r="H46" s="424">
        <f>+'BD MF'!U156</f>
        <v>930339</v>
      </c>
      <c r="I46" s="424">
        <f>+'BD MF'!W156</f>
        <v>178091</v>
      </c>
      <c r="J46" s="424">
        <f>+'BD MF'!Y156</f>
        <v>32506</v>
      </c>
      <c r="K46" s="424">
        <f>+'BD MF'!AA156</f>
        <v>12255</v>
      </c>
      <c r="L46" s="424">
        <f>+'BD MF'!AC156</f>
        <v>4331</v>
      </c>
      <c r="M46" s="424">
        <f>+'BD MF'!AE156</f>
        <v>4564</v>
      </c>
      <c r="N46" s="424">
        <f t="shared" si="8"/>
        <v>4744088</v>
      </c>
      <c r="O46" s="424">
        <f t="shared" si="9"/>
        <v>1162086</v>
      </c>
      <c r="Q46" s="461" t="s">
        <v>466</v>
      </c>
      <c r="R46" s="248">
        <f t="shared" si="10"/>
        <v>4893991.6896551726</v>
      </c>
      <c r="S46" s="248">
        <f t="shared" si="11"/>
        <v>6316753.2982030474</v>
      </c>
      <c r="T46" s="248">
        <f t="shared" si="12"/>
        <v>4744088</v>
      </c>
      <c r="U46" s="1">
        <f t="shared" si="13"/>
        <v>-3.0630147977577571E-2</v>
      </c>
      <c r="V46" s="358">
        <f t="shared" si="14"/>
        <v>0.75103265491618454</v>
      </c>
      <c r="X46" s="461" t="s">
        <v>466</v>
      </c>
      <c r="Y46" s="248">
        <f t="shared" si="15"/>
        <v>1894924</v>
      </c>
      <c r="Z46" s="248">
        <f t="shared" si="16"/>
        <v>2539966.382047601</v>
      </c>
      <c r="AA46" s="248">
        <f t="shared" si="17"/>
        <v>1162086</v>
      </c>
      <c r="AB46" s="1">
        <f t="shared" si="18"/>
        <v>-0.38673741004916296</v>
      </c>
      <c r="AC46" s="358">
        <f t="shared" si="19"/>
        <v>0.45752022869813774</v>
      </c>
      <c r="AE46" s="461" t="s">
        <v>466</v>
      </c>
      <c r="AF46" s="248">
        <f t="shared" si="20"/>
        <v>6788915.6896551726</v>
      </c>
      <c r="AG46" s="248">
        <f t="shared" si="21"/>
        <v>8856719.6802506484</v>
      </c>
      <c r="AH46" s="248">
        <f t="shared" si="22"/>
        <v>5906174</v>
      </c>
      <c r="AI46" s="1">
        <f t="shared" si="23"/>
        <v>-0.13002690414910856</v>
      </c>
      <c r="AJ46" s="358">
        <f t="shared" si="24"/>
        <v>0.66685795793785962</v>
      </c>
      <c r="AK46" s="113">
        <f>AH46-AG46</f>
        <v>-2950545.6802506484</v>
      </c>
    </row>
    <row r="47" spans="2:37" ht="14.25" customHeight="1" x14ac:dyDescent="0.35">
      <c r="B47" s="444" t="s">
        <v>258</v>
      </c>
      <c r="C47" s="451">
        <f t="shared" ref="C47:O47" si="25">+SUM(C38:C46)</f>
        <v>44730330</v>
      </c>
      <c r="D47" s="451">
        <f t="shared" si="25"/>
        <v>33457525</v>
      </c>
      <c r="E47" s="451">
        <f t="shared" si="25"/>
        <v>259842</v>
      </c>
      <c r="F47" s="451">
        <f t="shared" si="25"/>
        <v>59528</v>
      </c>
      <c r="G47" s="451">
        <f t="shared" si="25"/>
        <v>832566</v>
      </c>
      <c r="H47" s="451">
        <f t="shared" si="25"/>
        <v>8029295</v>
      </c>
      <c r="I47" s="451">
        <f t="shared" si="25"/>
        <v>1647563</v>
      </c>
      <c r="J47" s="451">
        <f t="shared" si="25"/>
        <v>254239</v>
      </c>
      <c r="K47" s="451">
        <f t="shared" si="25"/>
        <v>103203</v>
      </c>
      <c r="L47" s="451">
        <f t="shared" si="25"/>
        <v>39936</v>
      </c>
      <c r="M47" s="451">
        <f t="shared" si="25"/>
        <v>46633</v>
      </c>
      <c r="N47" s="451">
        <f t="shared" si="25"/>
        <v>34609461</v>
      </c>
      <c r="O47" s="451">
        <f t="shared" si="25"/>
        <v>10120869</v>
      </c>
      <c r="Q47" s="465" t="s">
        <v>258</v>
      </c>
      <c r="R47" s="466">
        <f>+SUM(R38:R46)</f>
        <v>31747594.689655177</v>
      </c>
      <c r="S47" s="466">
        <f>+SUM(S38:S46)</f>
        <v>40975787.742224678</v>
      </c>
      <c r="T47" s="466">
        <f>+SUM(T38:T46)</f>
        <v>34609461</v>
      </c>
      <c r="U47" s="467">
        <f t="shared" si="13"/>
        <v>9.0144350723910138E-2</v>
      </c>
      <c r="V47" s="468">
        <f t="shared" si="14"/>
        <v>0.84463198652153515</v>
      </c>
      <c r="X47" s="465" t="s">
        <v>258</v>
      </c>
      <c r="Y47" s="466">
        <f>+SUM(Y38:Y46)</f>
        <v>13601420</v>
      </c>
      <c r="Z47" s="466">
        <f>+SUM(Z38:Z46)</f>
        <v>18207957.269180171</v>
      </c>
      <c r="AA47" s="466">
        <f>+SUM(AA38:AA46)</f>
        <v>10120869</v>
      </c>
      <c r="AB47" s="467">
        <f t="shared" si="18"/>
        <v>-0.25589614907855207</v>
      </c>
      <c r="AC47" s="468">
        <f t="shared" si="19"/>
        <v>0.55584867925471027</v>
      </c>
      <c r="AE47" s="465" t="s">
        <v>258</v>
      </c>
      <c r="AF47" s="466">
        <f>+SUM(AF38:AF46)</f>
        <v>45349014.689655177</v>
      </c>
      <c r="AG47" s="466">
        <f>+SUM(AG38:AG46)</f>
        <v>59183745.011404857</v>
      </c>
      <c r="AH47" s="466">
        <f>+SUM(AH38:AH46)</f>
        <v>44730330</v>
      </c>
      <c r="AI47" s="467">
        <f t="shared" si="23"/>
        <v>-1.3642737199234256E-2</v>
      </c>
      <c r="AJ47" s="468">
        <f t="shared" si="24"/>
        <v>0.7557874208768024</v>
      </c>
    </row>
    <row r="48" spans="2:37" ht="14.25" customHeight="1" x14ac:dyDescent="0.35">
      <c r="D48" s="113">
        <f>+D47-(SUM(D5:D8))</f>
        <v>19188053</v>
      </c>
      <c r="N48" s="113">
        <f>+N47-(SUM(O5:O8))</f>
        <v>19600682.896551721</v>
      </c>
      <c r="U48" s="113">
        <f>+T47-R47</f>
        <v>2861866.3103448227</v>
      </c>
      <c r="V48" s="113">
        <f>+T47-S47</f>
        <v>-6366326.7422246784</v>
      </c>
      <c r="AB48" s="113">
        <f>+AA47-Y47</f>
        <v>-3480551</v>
      </c>
      <c r="AC48" s="113">
        <f>AA47-Z47</f>
        <v>-8087088.2691801712</v>
      </c>
      <c r="AG48" s="113">
        <f>+AG47-AF47</f>
        <v>13834730.32174968</v>
      </c>
    </row>
    <row r="49" spans="2:36" ht="14.25" customHeight="1" x14ac:dyDescent="0.35">
      <c r="S49" s="113"/>
      <c r="T49" s="113"/>
      <c r="V49" s="469">
        <f>100%-V47</f>
        <v>0.15536801347846485</v>
      </c>
      <c r="Y49" s="113"/>
      <c r="Z49" s="113"/>
      <c r="AA49" s="113"/>
      <c r="AC49" s="5">
        <f>+AC47-1</f>
        <v>-0.44415132074528973</v>
      </c>
      <c r="AH49" s="113">
        <f>+AH47-AG47</f>
        <v>-14453415.011404857</v>
      </c>
      <c r="AJ49" s="5">
        <f>1-AJ47</f>
        <v>0.2442125791231976</v>
      </c>
    </row>
    <row r="50" spans="2:36" ht="14.25" customHeight="1" x14ac:dyDescent="0.35">
      <c r="T50" s="113"/>
      <c r="AA50" s="113"/>
    </row>
    <row r="51" spans="2:36" ht="14.25" customHeight="1" x14ac:dyDescent="0.35">
      <c r="B51" s="444" t="s">
        <v>454</v>
      </c>
      <c r="C51" s="445" t="s">
        <v>258</v>
      </c>
      <c r="D51" s="446" t="s">
        <v>265</v>
      </c>
      <c r="E51" s="446" t="s">
        <v>356</v>
      </c>
      <c r="F51" s="446" t="s">
        <v>354</v>
      </c>
      <c r="G51" s="446" t="s">
        <v>446</v>
      </c>
      <c r="H51" s="447" t="s">
        <v>334</v>
      </c>
      <c r="I51" s="447" t="s">
        <v>335</v>
      </c>
      <c r="J51" s="447" t="s">
        <v>447</v>
      </c>
      <c r="K51" s="447" t="s">
        <v>448</v>
      </c>
      <c r="L51" s="444" t="s">
        <v>449</v>
      </c>
      <c r="M51" s="444" t="s">
        <v>339</v>
      </c>
      <c r="N51" s="418" t="s">
        <v>40</v>
      </c>
      <c r="O51" s="418" t="s">
        <v>267</v>
      </c>
    </row>
    <row r="52" spans="2:36" ht="14.25" customHeight="1" x14ac:dyDescent="0.35">
      <c r="B52" s="38">
        <v>46167</v>
      </c>
      <c r="C52" s="18">
        <f t="shared" ref="C52:L52" si="26">+C38/C21</f>
        <v>0.98990944552202675</v>
      </c>
      <c r="D52" s="18">
        <f t="shared" si="26"/>
        <v>1.0191442655219469</v>
      </c>
      <c r="E52" s="18">
        <f t="shared" si="26"/>
        <v>0.62838578032732861</v>
      </c>
      <c r="F52" s="18">
        <f t="shared" si="26"/>
        <v>0.44353968102324476</v>
      </c>
      <c r="G52" s="18">
        <f t="shared" si="26"/>
        <v>0.62734353463178549</v>
      </c>
      <c r="H52" s="18">
        <f t="shared" si="26"/>
        <v>0.94428677850852849</v>
      </c>
      <c r="I52" s="18">
        <f t="shared" si="26"/>
        <v>1.0457304396560232</v>
      </c>
      <c r="J52" s="18">
        <f t="shared" si="26"/>
        <v>0.87365659293902098</v>
      </c>
      <c r="K52" s="18">
        <f t="shared" si="26"/>
        <v>0.67184304855863364</v>
      </c>
      <c r="L52" s="18">
        <f t="shared" si="26"/>
        <v>0.10315764410341148</v>
      </c>
      <c r="M52" s="18"/>
      <c r="N52" s="18">
        <f t="shared" ref="N52:O60" si="27">+N38/N21</f>
        <v>1.0033341842439014</v>
      </c>
      <c r="O52" s="18">
        <f t="shared" si="27"/>
        <v>0.94034829013180077</v>
      </c>
    </row>
    <row r="53" spans="2:36" ht="14.25" customHeight="1" x14ac:dyDescent="0.35">
      <c r="B53" s="38">
        <v>46168</v>
      </c>
      <c r="C53" s="18">
        <f t="shared" ref="C53:L53" si="28">+C39/C22</f>
        <v>0.79926135857713954</v>
      </c>
      <c r="D53" s="18">
        <f t="shared" si="28"/>
        <v>0.87402758216196375</v>
      </c>
      <c r="E53" s="18">
        <f t="shared" si="28"/>
        <v>1.0516673375570866</v>
      </c>
      <c r="F53" s="18">
        <f t="shared" si="28"/>
        <v>0.42125163070096783</v>
      </c>
      <c r="G53" s="18">
        <f t="shared" si="28"/>
        <v>0.5859027697205943</v>
      </c>
      <c r="H53" s="18">
        <f t="shared" si="28"/>
        <v>0.6762097016199371</v>
      </c>
      <c r="I53" s="18">
        <f t="shared" si="28"/>
        <v>0.44027773706961199</v>
      </c>
      <c r="J53" s="18">
        <f t="shared" si="28"/>
        <v>0.48879639518729223</v>
      </c>
      <c r="K53" s="18">
        <f t="shared" si="28"/>
        <v>0.66062412127833825</v>
      </c>
      <c r="L53" s="18">
        <f t="shared" si="28"/>
        <v>9.5469643150202024E-2</v>
      </c>
      <c r="M53" s="18"/>
      <c r="N53" s="18">
        <f t="shared" si="27"/>
        <v>0.86725211510379097</v>
      </c>
      <c r="O53" s="18">
        <f t="shared" si="27"/>
        <v>0.61749193930781621</v>
      </c>
    </row>
    <row r="54" spans="2:36" ht="14.25" customHeight="1" x14ac:dyDescent="0.35">
      <c r="B54" s="38">
        <v>46169</v>
      </c>
      <c r="C54" s="18">
        <f t="shared" ref="C54:L54" si="29">+C40/C23</f>
        <v>0.69932628228925775</v>
      </c>
      <c r="D54" s="18">
        <f t="shared" si="29"/>
        <v>0.82634875072223835</v>
      </c>
      <c r="E54" s="18">
        <f t="shared" si="29"/>
        <v>0.34015068301197493</v>
      </c>
      <c r="F54" s="18">
        <f t="shared" si="29"/>
        <v>1.0508212877784227</v>
      </c>
      <c r="G54" s="18">
        <f t="shared" si="29"/>
        <v>0.72319699947396288</v>
      </c>
      <c r="H54" s="18">
        <f t="shared" si="29"/>
        <v>0.46982272295430505</v>
      </c>
      <c r="I54" s="18">
        <f t="shared" si="29"/>
        <v>0.45404166363669424</v>
      </c>
      <c r="J54" s="18">
        <f t="shared" si="29"/>
        <v>0.39752964317766387</v>
      </c>
      <c r="K54" s="18">
        <f t="shared" si="29"/>
        <v>0.32401162063415351</v>
      </c>
      <c r="L54" s="18">
        <f t="shared" si="29"/>
        <v>0.12942818487378432</v>
      </c>
      <c r="M54" s="18"/>
      <c r="N54" s="18">
        <f t="shared" si="27"/>
        <v>0.816844017051926</v>
      </c>
      <c r="O54" s="18">
        <f t="shared" si="27"/>
        <v>0.45793644943281814</v>
      </c>
    </row>
    <row r="55" spans="2:36" ht="14.25" customHeight="1" x14ac:dyDescent="0.35">
      <c r="B55" s="38">
        <v>46170</v>
      </c>
      <c r="C55" s="18">
        <f t="shared" ref="C55:L55" si="30">+C41/C24</f>
        <v>0.76614515270768113</v>
      </c>
      <c r="D55" s="18">
        <f t="shared" si="30"/>
        <v>0.92341847232954388</v>
      </c>
      <c r="E55" s="18">
        <f t="shared" si="30"/>
        <v>0.23798559864801244</v>
      </c>
      <c r="F55" s="18">
        <f t="shared" si="30"/>
        <v>0.12196889608956563</v>
      </c>
      <c r="G55" s="18">
        <f t="shared" si="30"/>
        <v>0.80812427177520163</v>
      </c>
      <c r="H55" s="18">
        <f t="shared" si="30"/>
        <v>0.48361050869089256</v>
      </c>
      <c r="I55" s="18">
        <f t="shared" si="30"/>
        <v>0.51610801748339741</v>
      </c>
      <c r="J55" s="18">
        <f t="shared" si="30"/>
        <v>0.54235966603333452</v>
      </c>
      <c r="K55" s="18">
        <f t="shared" si="30"/>
        <v>0.58489390985762513</v>
      </c>
      <c r="L55" s="18">
        <f t="shared" si="30"/>
        <v>9.9185805688711604E-2</v>
      </c>
      <c r="M55" s="18"/>
      <c r="N55" s="18">
        <f t="shared" si="27"/>
        <v>0.9081080947107214</v>
      </c>
      <c r="O55" s="18">
        <f t="shared" si="27"/>
        <v>0.48560533175082499</v>
      </c>
    </row>
    <row r="56" spans="2:36" ht="14.25" customHeight="1" x14ac:dyDescent="0.35">
      <c r="B56" s="38">
        <v>46171</v>
      </c>
      <c r="C56" s="18">
        <f t="shared" ref="C56:L56" si="31">+C42/C25</f>
        <v>0.70404933808329118</v>
      </c>
      <c r="D56" s="18">
        <f t="shared" si="31"/>
        <v>0.84918387003029705</v>
      </c>
      <c r="E56" s="18">
        <f t="shared" si="31"/>
        <v>0.6250625586631815</v>
      </c>
      <c r="F56" s="18">
        <f t="shared" si="31"/>
        <v>0.48595599001645134</v>
      </c>
      <c r="G56" s="18">
        <f t="shared" si="31"/>
        <v>0.65837512284833521</v>
      </c>
      <c r="H56" s="18">
        <f t="shared" si="31"/>
        <v>0.47130380814310241</v>
      </c>
      <c r="I56" s="18">
        <f t="shared" si="31"/>
        <v>0.52897825476791793</v>
      </c>
      <c r="J56" s="18">
        <f t="shared" si="31"/>
        <v>0.48675819217154864</v>
      </c>
      <c r="K56" s="18">
        <f t="shared" si="31"/>
        <v>0.70475942456391727</v>
      </c>
      <c r="L56" s="18">
        <f t="shared" si="31"/>
        <v>0.16349698719473288</v>
      </c>
      <c r="M56" s="18"/>
      <c r="N56" s="18">
        <f t="shared" si="27"/>
        <v>0.83689485751175385</v>
      </c>
      <c r="O56" s="18">
        <f t="shared" si="27"/>
        <v>0.47815128995079559</v>
      </c>
    </row>
    <row r="57" spans="2:36" ht="14.25" customHeight="1" x14ac:dyDescent="0.35">
      <c r="B57" s="38">
        <v>46172</v>
      </c>
      <c r="C57" s="18">
        <f t="shared" ref="C57:L57" si="32">+C43/C26</f>
        <v>0.71437861152071791</v>
      </c>
      <c r="D57" s="18">
        <f t="shared" si="32"/>
        <v>0.8160507088791128</v>
      </c>
      <c r="E57" s="18">
        <f t="shared" si="32"/>
        <v>1.3279750209471858E-2</v>
      </c>
      <c r="F57" s="18">
        <f t="shared" si="32"/>
        <v>0.13561776419442326</v>
      </c>
      <c r="G57" s="18">
        <f t="shared" si="32"/>
        <v>0.65879160224100863</v>
      </c>
      <c r="H57" s="18">
        <f t="shared" si="32"/>
        <v>0.61472345330520661</v>
      </c>
      <c r="I57" s="18">
        <f t="shared" si="32"/>
        <v>0.4315065470149278</v>
      </c>
      <c r="J57" s="18">
        <f t="shared" si="32"/>
        <v>0.42788078236673588</v>
      </c>
      <c r="K57" s="18">
        <f t="shared" si="32"/>
        <v>0.43767790796509681</v>
      </c>
      <c r="L57" s="18">
        <f t="shared" si="32"/>
        <v>3.1539780037183704E-2</v>
      </c>
      <c r="M57" s="18"/>
      <c r="N57" s="18">
        <f t="shared" si="27"/>
        <v>0.80087868914581783</v>
      </c>
      <c r="O57" s="18">
        <f t="shared" si="27"/>
        <v>0.5616746251005369</v>
      </c>
    </row>
    <row r="58" spans="2:36" ht="14.25" customHeight="1" x14ac:dyDescent="0.35">
      <c r="B58" s="38">
        <v>46173</v>
      </c>
      <c r="C58" s="18">
        <f t="shared" ref="C58:L58" si="33">+C44/C27</f>
        <v>0.72584546957289864</v>
      </c>
      <c r="D58" s="18">
        <f t="shared" si="33"/>
        <v>0.79560833567577882</v>
      </c>
      <c r="E58" s="18">
        <f t="shared" si="33"/>
        <v>-24.917297964738712</v>
      </c>
      <c r="F58" s="18">
        <f t="shared" si="33"/>
        <v>2.3962130658936807</v>
      </c>
      <c r="G58" s="18">
        <f t="shared" si="33"/>
        <v>0.33012231730775476</v>
      </c>
      <c r="H58" s="18">
        <f t="shared" si="33"/>
        <v>0.70787955403322644</v>
      </c>
      <c r="I58" s="18">
        <f t="shared" si="33"/>
        <v>0.47545728574781493</v>
      </c>
      <c r="J58" s="18">
        <f t="shared" si="33"/>
        <v>0.44221309977822543</v>
      </c>
      <c r="K58" s="18">
        <f t="shared" si="33"/>
        <v>0.62198724116473203</v>
      </c>
      <c r="L58" s="18">
        <f t="shared" si="33"/>
        <v>5.4733071096088791E-2</v>
      </c>
      <c r="M58" s="18"/>
      <c r="N58" s="18">
        <f t="shared" si="27"/>
        <v>0.76774227288711128</v>
      </c>
      <c r="O58" s="18">
        <f t="shared" si="27"/>
        <v>0.64648860053105894</v>
      </c>
    </row>
    <row r="59" spans="2:36" ht="14.25" customHeight="1" x14ac:dyDescent="0.35">
      <c r="B59" s="38">
        <v>46174</v>
      </c>
      <c r="C59" s="18">
        <f t="shared" ref="C59:L59" si="34">+C45/C28</f>
        <v>0.76557011199012504</v>
      </c>
      <c r="D59" s="18">
        <f t="shared" si="34"/>
        <v>0.87105032498841006</v>
      </c>
      <c r="E59" s="18">
        <f t="shared" si="34"/>
        <v>0.42916557632868957</v>
      </c>
      <c r="F59" s="18">
        <f t="shared" si="34"/>
        <v>1.0120958067351602</v>
      </c>
      <c r="G59" s="18">
        <f t="shared" si="34"/>
        <v>0.53298198798135454</v>
      </c>
      <c r="H59" s="18">
        <f t="shared" si="34"/>
        <v>0.62126197460865773</v>
      </c>
      <c r="I59" s="18">
        <f t="shared" si="34"/>
        <v>0.36781276232005827</v>
      </c>
      <c r="J59" s="18">
        <f t="shared" si="34"/>
        <v>0.33204517758334967</v>
      </c>
      <c r="K59" s="18">
        <f t="shared" si="34"/>
        <v>0.43207437833370999</v>
      </c>
      <c r="L59" s="18">
        <f t="shared" si="34"/>
        <v>0.13415551261844369</v>
      </c>
      <c r="M59" s="18"/>
      <c r="N59" s="18">
        <f t="shared" si="27"/>
        <v>0.85381849507661511</v>
      </c>
      <c r="O59" s="18">
        <f t="shared" si="27"/>
        <v>0.54887673840299989</v>
      </c>
    </row>
    <row r="60" spans="2:36" ht="14.25" customHeight="1" x14ac:dyDescent="0.35">
      <c r="B60" s="38">
        <v>46175</v>
      </c>
      <c r="C60" s="18">
        <f t="shared" ref="C60:L60" si="35">+C46/C29</f>
        <v>0.66685795793785962</v>
      </c>
      <c r="D60" s="18">
        <f t="shared" si="35"/>
        <v>0.75326980493388507</v>
      </c>
      <c r="E60" s="18">
        <f t="shared" si="35"/>
        <v>0.71234254849888345</v>
      </c>
      <c r="F60" s="18">
        <f t="shared" si="35"/>
        <v>1.1607786426270732</v>
      </c>
      <c r="G60" s="18">
        <f t="shared" si="35"/>
        <v>0.65205668821326357</v>
      </c>
      <c r="H60" s="18">
        <f t="shared" si="35"/>
        <v>0.51196837359386793</v>
      </c>
      <c r="I60" s="18">
        <f t="shared" si="35"/>
        <v>0.32484529471286988</v>
      </c>
      <c r="J60" s="18">
        <f t="shared" si="35"/>
        <v>0.33471586609611198</v>
      </c>
      <c r="K60" s="18">
        <f t="shared" si="35"/>
        <v>0.74262620353400377</v>
      </c>
      <c r="L60" s="18">
        <f t="shared" si="35"/>
        <v>7.1075679933508454E-2</v>
      </c>
      <c r="M60" s="18"/>
      <c r="N60" s="18">
        <f t="shared" si="27"/>
        <v>0.75103265491618454</v>
      </c>
      <c r="O60" s="18">
        <f t="shared" si="27"/>
        <v>0.45752022869813774</v>
      </c>
    </row>
    <row r="61" spans="2:36" ht="14.25" customHeight="1" x14ac:dyDescent="0.35">
      <c r="B61" s="444" t="s">
        <v>258</v>
      </c>
      <c r="C61" s="451">
        <f t="shared" ref="C61:O61" si="36">+SUM(C52:C60)</f>
        <v>6.8313437282009977</v>
      </c>
      <c r="D61" s="451">
        <f t="shared" si="36"/>
        <v>7.7281021152431757</v>
      </c>
      <c r="E61" s="451">
        <f t="shared" si="36"/>
        <v>-20.879258131494083</v>
      </c>
      <c r="F61" s="451">
        <f t="shared" si="36"/>
        <v>7.2282427650589884</v>
      </c>
      <c r="G61" s="451">
        <f t="shared" si="36"/>
        <v>5.5768952941932612</v>
      </c>
      <c r="H61" s="451">
        <f t="shared" si="36"/>
        <v>5.5010668754577248</v>
      </c>
      <c r="I61" s="451">
        <f t="shared" si="36"/>
        <v>4.5847580024093153</v>
      </c>
      <c r="J61" s="451">
        <f t="shared" si="36"/>
        <v>4.3259554153332829</v>
      </c>
      <c r="K61" s="451">
        <f t="shared" si="36"/>
        <v>5.1804978558902102</v>
      </c>
      <c r="L61" s="451">
        <f t="shared" si="36"/>
        <v>0.88224230869606712</v>
      </c>
      <c r="M61" s="451">
        <f t="shared" si="36"/>
        <v>0</v>
      </c>
      <c r="N61" s="451">
        <f t="shared" si="36"/>
        <v>7.6059053806478225</v>
      </c>
      <c r="O61" s="451">
        <f t="shared" si="36"/>
        <v>5.1940934933067888</v>
      </c>
    </row>
    <row r="66" spans="2:15" ht="14.25" customHeight="1" x14ac:dyDescent="0.35">
      <c r="B66" s="444" t="s">
        <v>454</v>
      </c>
      <c r="C66" s="445" t="s">
        <v>258</v>
      </c>
      <c r="D66" s="446" t="s">
        <v>265</v>
      </c>
      <c r="E66" s="446" t="s">
        <v>356</v>
      </c>
      <c r="F66" s="446" t="s">
        <v>354</v>
      </c>
      <c r="G66" s="446" t="s">
        <v>446</v>
      </c>
      <c r="H66" s="447" t="s">
        <v>334</v>
      </c>
      <c r="I66" s="447" t="s">
        <v>335</v>
      </c>
      <c r="J66" s="447" t="s">
        <v>447</v>
      </c>
      <c r="K66" s="447" t="s">
        <v>448</v>
      </c>
      <c r="L66" s="444" t="s">
        <v>449</v>
      </c>
      <c r="M66" s="444" t="s">
        <v>339</v>
      </c>
      <c r="N66" s="418" t="s">
        <v>40</v>
      </c>
      <c r="O66" s="418" t="s">
        <v>267</v>
      </c>
    </row>
    <row r="67" spans="2:15" ht="14.25" customHeight="1" x14ac:dyDescent="0.35">
      <c r="B67" s="38">
        <v>46167</v>
      </c>
      <c r="C67" s="18">
        <f t="shared" ref="C67:D76" si="37">+C38/C5-1</f>
        <v>0.29159281068702669</v>
      </c>
      <c r="D67" s="18">
        <f t="shared" si="37"/>
        <v>0.32838797454516233</v>
      </c>
      <c r="E67" s="18">
        <f t="shared" ref="E67:K76" si="38">+E38/F5-1</f>
        <v>-0.18094018462195183</v>
      </c>
      <c r="F67" s="18">
        <f t="shared" si="38"/>
        <v>-0.421875</v>
      </c>
      <c r="G67" s="18">
        <f t="shared" si="38"/>
        <v>-0.18229868380143022</v>
      </c>
      <c r="H67" s="18">
        <f t="shared" si="38"/>
        <v>0.23634148447318193</v>
      </c>
      <c r="I67" s="18">
        <f t="shared" si="38"/>
        <v>0.36916025252962026</v>
      </c>
      <c r="J67" s="18">
        <f t="shared" si="38"/>
        <v>0.14386636943075137</v>
      </c>
      <c r="K67" s="18">
        <f t="shared" si="38"/>
        <v>-0.12036528426256521</v>
      </c>
      <c r="L67" s="18"/>
      <c r="M67" s="18"/>
      <c r="N67" s="18">
        <f t="shared" ref="N67:O76" si="39">+N38/O5-1</f>
        <v>0.29893519832347204</v>
      </c>
      <c r="O67" s="18">
        <f t="shared" si="39"/>
        <v>0.26346059265047694</v>
      </c>
    </row>
    <row r="68" spans="2:15" ht="14.25" customHeight="1" x14ac:dyDescent="0.35">
      <c r="B68" s="38">
        <v>46168</v>
      </c>
      <c r="C68" s="18">
        <f t="shared" si="37"/>
        <v>4.4219316550451193E-2</v>
      </c>
      <c r="D68" s="18">
        <f t="shared" si="37"/>
        <v>0.13923785752757656</v>
      </c>
      <c r="E68" s="18">
        <f t="shared" si="38"/>
        <v>0.37077967437445136</v>
      </c>
      <c r="F68" s="18">
        <f t="shared" si="38"/>
        <v>-0.45092601762899875</v>
      </c>
      <c r="G68" s="18">
        <f t="shared" si="38"/>
        <v>-0.23631401374668259</v>
      </c>
      <c r="H68" s="18">
        <f t="shared" si="38"/>
        <v>-0.11464808642514335</v>
      </c>
      <c r="I68" s="18">
        <f t="shared" si="38"/>
        <v>-0.42355051090634177</v>
      </c>
      <c r="J68" s="18">
        <f t="shared" si="38"/>
        <v>-0.3600257097896673</v>
      </c>
      <c r="K68" s="18">
        <f t="shared" si="38"/>
        <v>-0.13505406898729178</v>
      </c>
      <c r="L68" s="18"/>
      <c r="M68" s="18"/>
      <c r="N68" s="18">
        <f t="shared" si="39"/>
        <v>0.12400847863435405</v>
      </c>
      <c r="O68" s="18">
        <f t="shared" si="39"/>
        <v>-0.17553266184111427</v>
      </c>
    </row>
    <row r="69" spans="2:15" ht="14.25" customHeight="1" x14ac:dyDescent="0.35">
      <c r="B69" s="38">
        <v>46169</v>
      </c>
      <c r="C69" s="18">
        <f t="shared" si="37"/>
        <v>-8.6012602921435866E-2</v>
      </c>
      <c r="D69" s="18">
        <f t="shared" si="37"/>
        <v>7.7091615363853228E-2</v>
      </c>
      <c r="E69" s="18">
        <f t="shared" si="38"/>
        <v>-0.55663580502509236</v>
      </c>
      <c r="F69" s="18">
        <f t="shared" si="38"/>
        <v>0.36967690375613649</v>
      </c>
      <c r="G69" s="18">
        <f t="shared" si="38"/>
        <v>-5.7359954003810443E-2</v>
      </c>
      <c r="H69" s="18">
        <f t="shared" si="38"/>
        <v>-0.3848676737230069</v>
      </c>
      <c r="I69" s="18">
        <f t="shared" si="38"/>
        <v>-0.40552959417699441</v>
      </c>
      <c r="J69" s="18">
        <f t="shared" si="38"/>
        <v>-0.47951999291502456</v>
      </c>
      <c r="K69" s="18">
        <f t="shared" si="38"/>
        <v>-0.57577611255543659</v>
      </c>
      <c r="L69" s="18"/>
      <c r="M69" s="18"/>
      <c r="N69" s="18">
        <f t="shared" si="39"/>
        <v>5.6124968592543123E-2</v>
      </c>
      <c r="O69" s="18">
        <f t="shared" si="39"/>
        <v>-0.38786297322414909</v>
      </c>
    </row>
    <row r="70" spans="2:15" ht="14.25" customHeight="1" x14ac:dyDescent="0.35">
      <c r="B70" s="38">
        <v>46170</v>
      </c>
      <c r="C70" s="18">
        <f t="shared" si="37"/>
        <v>1.3040124064107594E-3</v>
      </c>
      <c r="D70" s="18">
        <f t="shared" si="37"/>
        <v>0.20361565640288282</v>
      </c>
      <c r="E70" s="18">
        <f t="shared" si="38"/>
        <v>-0.68980131856303539</v>
      </c>
      <c r="F70" s="18">
        <f t="shared" si="38"/>
        <v>-0.84102151156102611</v>
      </c>
      <c r="G70" s="18">
        <f t="shared" si="38"/>
        <v>5.333719756982469E-2</v>
      </c>
      <c r="H70" s="18">
        <f t="shared" si="38"/>
        <v>-0.36681551851641159</v>
      </c>
      <c r="I70" s="18">
        <f t="shared" si="38"/>
        <v>-0.32426698434582413</v>
      </c>
      <c r="J70" s="18">
        <f t="shared" si="38"/>
        <v>-0.28989606771670418</v>
      </c>
      <c r="K70" s="18">
        <f t="shared" si="38"/>
        <v>-0.23420657661345345</v>
      </c>
      <c r="L70" s="18"/>
      <c r="M70" s="18"/>
      <c r="N70" s="18">
        <f t="shared" si="39"/>
        <v>0.17350224076627896</v>
      </c>
      <c r="O70" s="18">
        <f t="shared" si="39"/>
        <v>-0.35076105942094293</v>
      </c>
    </row>
    <row r="71" spans="2:15" ht="14.25" customHeight="1" x14ac:dyDescent="0.35">
      <c r="B71" s="38">
        <v>46171</v>
      </c>
      <c r="C71" s="18">
        <f t="shared" si="37"/>
        <v>-8.2777863206514035E-2</v>
      </c>
      <c r="D71" s="18">
        <f t="shared" si="37"/>
        <v>0.10685570167855363</v>
      </c>
      <c r="E71" s="18">
        <f t="shared" si="38"/>
        <v>-0.185271786971831</v>
      </c>
      <c r="F71" s="18">
        <f t="shared" si="38"/>
        <v>-0.36658811207122288</v>
      </c>
      <c r="G71" s="18">
        <f t="shared" si="38"/>
        <v>-0.14185103569854562</v>
      </c>
      <c r="H71" s="18">
        <f t="shared" si="38"/>
        <v>-0.38292850958068769</v>
      </c>
      <c r="I71" s="18">
        <f t="shared" si="38"/>
        <v>-0.30741616250651072</v>
      </c>
      <c r="J71" s="18">
        <f t="shared" si="38"/>
        <v>-0.36269430051813467</v>
      </c>
      <c r="K71" s="18">
        <f t="shared" si="38"/>
        <v>-7.7268333103162501E-2</v>
      </c>
      <c r="L71" s="18"/>
      <c r="M71" s="18"/>
      <c r="N71" s="18">
        <f t="shared" si="39"/>
        <v>7.5641264376212991E-2</v>
      </c>
      <c r="O71" s="18">
        <f t="shared" si="39"/>
        <v>-0.36230514910557665</v>
      </c>
    </row>
    <row r="72" spans="2:15" ht="14.25" customHeight="1" x14ac:dyDescent="0.35">
      <c r="B72" s="38">
        <v>46172</v>
      </c>
      <c r="C72" s="18">
        <f t="shared" si="37"/>
        <v>-6.8370332530593325E-2</v>
      </c>
      <c r="D72" s="18">
        <f t="shared" si="37"/>
        <v>6.3668790540552189E-2</v>
      </c>
      <c r="E72" s="18">
        <f t="shared" si="38"/>
        <v>-0.98269071310116085</v>
      </c>
      <c r="F72" s="18">
        <f t="shared" si="38"/>
        <v>-0.82323110359816476</v>
      </c>
      <c r="G72" s="18">
        <f t="shared" si="38"/>
        <v>-0.14130818201669659</v>
      </c>
      <c r="H72" s="18">
        <f t="shared" si="38"/>
        <v>-0.19515117218918465</v>
      </c>
      <c r="I72" s="18">
        <f t="shared" si="38"/>
        <v>-0.43503450748409067</v>
      </c>
      <c r="J72" s="18">
        <f t="shared" si="38"/>
        <v>-0.43978167047473982</v>
      </c>
      <c r="K72" s="18">
        <f t="shared" si="38"/>
        <v>-0.42695443082517159</v>
      </c>
      <c r="L72" s="18"/>
      <c r="M72" s="18"/>
      <c r="N72" s="18">
        <f t="shared" si="39"/>
        <v>2.9358749270598894E-2</v>
      </c>
      <c r="O72" s="18">
        <f t="shared" si="39"/>
        <v>-0.24807100456332687</v>
      </c>
    </row>
    <row r="73" spans="2:15" ht="14.25" customHeight="1" x14ac:dyDescent="0.35">
      <c r="B73" s="38">
        <v>46173</v>
      </c>
      <c r="C73" s="18">
        <f t="shared" si="37"/>
        <v>-5.4757541988835645E-2</v>
      </c>
      <c r="D73" s="18">
        <f t="shared" si="37"/>
        <v>3.7023492467305408E-2</v>
      </c>
      <c r="E73" s="18">
        <f t="shared" si="38"/>
        <v>-33.478070175438596</v>
      </c>
      <c r="F73" s="18">
        <f t="shared" si="38"/>
        <v>2.1233071988595866</v>
      </c>
      <c r="G73" s="18">
        <f t="shared" si="38"/>
        <v>-0.56970712461791306</v>
      </c>
      <c r="H73" s="18">
        <f t="shared" si="38"/>
        <v>-7.3183191186922514E-2</v>
      </c>
      <c r="I73" s="18">
        <f t="shared" si="38"/>
        <v>-0.37749041938986072</v>
      </c>
      <c r="J73" s="18">
        <f t="shared" si="38"/>
        <v>-0.42101656755500083</v>
      </c>
      <c r="K73" s="18">
        <f t="shared" si="38"/>
        <v>-0.18564079624245133</v>
      </c>
      <c r="L73" s="18"/>
      <c r="M73" s="18"/>
      <c r="N73" s="18">
        <f t="shared" si="39"/>
        <v>-1.3134815061737526E-2</v>
      </c>
      <c r="O73" s="18">
        <f t="shared" si="39"/>
        <v>-0.13666272988020922</v>
      </c>
    </row>
    <row r="74" spans="2:15" ht="14.25" customHeight="1" x14ac:dyDescent="0.35">
      <c r="B74" s="38">
        <v>46174</v>
      </c>
      <c r="C74" s="18">
        <f t="shared" si="37"/>
        <v>-5.3243284456361284E-4</v>
      </c>
      <c r="D74" s="18">
        <f t="shared" si="37"/>
        <v>0.13189254246057613</v>
      </c>
      <c r="E74" s="18">
        <f t="shared" si="38"/>
        <v>-0.44231773826190524</v>
      </c>
      <c r="F74" s="18">
        <f t="shared" si="38"/>
        <v>0.31517509727626458</v>
      </c>
      <c r="G74" s="18">
        <f t="shared" si="38"/>
        <v>-0.30741276347042912</v>
      </c>
      <c r="H74" s="18">
        <f t="shared" si="38"/>
        <v>-0.18723500180968899</v>
      </c>
      <c r="I74" s="18">
        <f t="shared" si="38"/>
        <v>-0.5188095339494343</v>
      </c>
      <c r="J74" s="18">
        <f t="shared" si="38"/>
        <v>-0.56560242025494922</v>
      </c>
      <c r="K74" s="18">
        <f t="shared" si="38"/>
        <v>-0.43473937617751723</v>
      </c>
      <c r="L74" s="18"/>
      <c r="M74" s="18"/>
      <c r="N74" s="18">
        <f t="shared" si="39"/>
        <v>0.10007088333660952</v>
      </c>
      <c r="O74" s="18">
        <f t="shared" si="39"/>
        <v>-0.25927957135041757</v>
      </c>
    </row>
    <row r="75" spans="2:15" ht="14.25" customHeight="1" x14ac:dyDescent="0.35">
      <c r="B75" s="38">
        <v>46175</v>
      </c>
      <c r="C75" s="18">
        <f t="shared" si="37"/>
        <v>-0.13002690414910822</v>
      </c>
      <c r="D75" s="18">
        <f t="shared" si="37"/>
        <v>-2.1158192350433813E-2</v>
      </c>
      <c r="E75" s="18">
        <f t="shared" si="38"/>
        <v>-7.4341406928495557E-2</v>
      </c>
      <c r="F75" s="18">
        <f t="shared" si="38"/>
        <v>0.50838206627680305</v>
      </c>
      <c r="G75" s="18">
        <f t="shared" si="38"/>
        <v>-0.15268029701963182</v>
      </c>
      <c r="H75" s="18">
        <f t="shared" si="38"/>
        <v>-0.33021818291771599</v>
      </c>
      <c r="I75" s="18">
        <f t="shared" si="38"/>
        <v>-0.57502165566185193</v>
      </c>
      <c r="J75" s="18">
        <f t="shared" si="38"/>
        <v>-0.56210849622135706</v>
      </c>
      <c r="K75" s="18">
        <f t="shared" si="38"/>
        <v>-2.8460440780085583E-2</v>
      </c>
      <c r="L75" s="18"/>
      <c r="M75" s="18"/>
      <c r="N75" s="18">
        <f t="shared" si="39"/>
        <v>-3.0630147977577571E-2</v>
      </c>
      <c r="O75" s="18">
        <f t="shared" si="39"/>
        <v>-0.38673741004916296</v>
      </c>
    </row>
    <row r="76" spans="2:15" ht="14.25" customHeight="1" x14ac:dyDescent="0.35">
      <c r="B76" s="444" t="s">
        <v>258</v>
      </c>
      <c r="C76" s="18">
        <f t="shared" si="37"/>
        <v>-1.36427371992347E-2</v>
      </c>
      <c r="D76" s="18">
        <f t="shared" si="37"/>
        <v>0.11657941395868887</v>
      </c>
      <c r="E76" s="18">
        <f t="shared" si="38"/>
        <v>-0.26468690573213804</v>
      </c>
      <c r="F76" s="18">
        <f t="shared" si="38"/>
        <v>-0.11266136004531502</v>
      </c>
      <c r="G76" s="18">
        <f t="shared" si="38"/>
        <v>-0.22794962457679691</v>
      </c>
      <c r="H76" s="18">
        <f t="shared" si="38"/>
        <v>-0.22651491155871217</v>
      </c>
      <c r="I76" s="18">
        <f t="shared" si="38"/>
        <v>-0.37739683604981999</v>
      </c>
      <c r="J76" s="18">
        <f t="shared" si="38"/>
        <v>-0.40844936060905013</v>
      </c>
      <c r="K76" s="18">
        <f t="shared" si="38"/>
        <v>-0.28685347061465638</v>
      </c>
      <c r="L76" s="451"/>
      <c r="M76" s="451"/>
      <c r="N76" s="18">
        <f t="shared" si="39"/>
        <v>9.0144350723910138E-2</v>
      </c>
      <c r="O76" s="18">
        <f t="shared" si="39"/>
        <v>-0.25589614907855207</v>
      </c>
    </row>
  </sheetData>
  <mergeCells count="11">
    <mergeCell ref="R36:V36"/>
    <mergeCell ref="Y36:AC36"/>
    <mergeCell ref="AF36:AJ36"/>
    <mergeCell ref="S5:S11"/>
    <mergeCell ref="T5:T11"/>
    <mergeCell ref="U5:U11"/>
    <mergeCell ref="V5:V11"/>
    <mergeCell ref="S12:S13"/>
    <mergeCell ref="T12:T13"/>
    <mergeCell ref="U12:U13"/>
    <mergeCell ref="V12:V13"/>
  </mergeCells>
  <conditionalFormatting sqref="C67:K76">
    <cfRule type="cellIs" dxfId="52" priority="7" operator="greaterThan">
      <formula>0</formula>
    </cfRule>
    <cfRule type="cellIs" dxfId="51" priority="8" operator="lessThan">
      <formula>0</formula>
    </cfRule>
    <cfRule type="cellIs" dxfId="50" priority="9" operator="lessThan">
      <formula>0.9</formula>
    </cfRule>
    <cfRule type="cellIs" dxfId="49" priority="10" operator="between">
      <formula>0.9</formula>
      <formula>1</formula>
    </cfRule>
    <cfRule type="cellIs" dxfId="48" priority="11" operator="greaterThan">
      <formula>1</formula>
    </cfRule>
  </conditionalFormatting>
  <conditionalFormatting sqref="C52:L52 N52:O52">
    <cfRule type="cellIs" dxfId="47" priority="16" operator="lessThan">
      <formula>0.9</formula>
    </cfRule>
    <cfRule type="cellIs" dxfId="46" priority="17" operator="between">
      <formula>0.9</formula>
      <formula>1</formula>
    </cfRule>
    <cfRule type="cellIs" dxfId="45" priority="18" operator="greaterThan">
      <formula>1</formula>
    </cfRule>
  </conditionalFormatting>
  <conditionalFormatting sqref="M67:O75">
    <cfRule type="cellIs" dxfId="44" priority="12" operator="greaterThan">
      <formula>0</formula>
    </cfRule>
    <cfRule type="cellIs" dxfId="43" priority="13" operator="lessThan">
      <formula>0</formula>
    </cfRule>
  </conditionalFormatting>
  <conditionalFormatting sqref="N67:O75">
    <cfRule type="cellIs" dxfId="42" priority="14" operator="lessThan">
      <formula>0.9</formula>
    </cfRule>
    <cfRule type="cellIs" dxfId="41" priority="15" operator="between">
      <formula>0.9</formula>
      <formula>1</formula>
    </cfRule>
  </conditionalFormatting>
  <conditionalFormatting sqref="N67:O76">
    <cfRule type="cellIs" dxfId="40" priority="6" operator="greaterThan">
      <formula>1</formula>
    </cfRule>
  </conditionalFormatting>
  <conditionalFormatting sqref="N76:O76">
    <cfRule type="cellIs" dxfId="39" priority="2" operator="greaterThan">
      <formula>0</formula>
    </cfRule>
    <cfRule type="cellIs" dxfId="38" priority="3" operator="lessThan">
      <formula>0</formula>
    </cfRule>
    <cfRule type="cellIs" dxfId="37" priority="4" operator="lessThan">
      <formula>0.9</formula>
    </cfRule>
    <cfRule type="cellIs" dxfId="36" priority="5" operator="between">
      <formula>0.9</formula>
      <formula>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crecimientos</vt:lpstr>
      <vt:lpstr>afil</vt:lpstr>
      <vt:lpstr>2025</vt:lpstr>
      <vt:lpstr>may-ago</vt:lpstr>
      <vt:lpstr>BD MD</vt:lpstr>
      <vt:lpstr>Hoja1</vt:lpstr>
      <vt:lpstr>BD MF</vt:lpstr>
      <vt:lpstr>Dashboard MD</vt:lpstr>
      <vt:lpstr>Dashboard MF</vt:lpstr>
      <vt:lpstr>Metas 2026</vt:lpstr>
      <vt:lpstr>JULIO</vt:lpstr>
      <vt:lpstr>Semana Santa</vt:lpstr>
      <vt:lpstr>Hot Sale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Carlos Lopez Diaz</dc:creator>
  <cp:keywords/>
  <dc:description/>
  <cp:lastModifiedBy>Mariana Muñoz Bernal</cp:lastModifiedBy>
  <cp:revision>0</cp:revision>
  <dcterms:created xsi:type="dcterms:W3CDTF">2026-02-26T18:02:43Z</dcterms:created>
  <dcterms:modified xsi:type="dcterms:W3CDTF">2026-09-30T15:53:19Z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4efea4ff-fefc-49a0-8bb3-b130dd6bc5d8</vt:lpwstr>
  </property>
</Properties>
</file>